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shares'!$A$1:$FA$223</definedName>
    <definedName name="Expry_Roll___20" localSheetId="17">'NIFTY GRP'!$A$1:$EY$51</definedName>
    <definedName name="fii" localSheetId="18">FII!$A$1:$N$16</definedName>
    <definedName name="_xlnm.Print_Area" localSheetId="14">Disclaimar!$A$1:$A$24</definedName>
    <definedName name="stats__2" localSheetId="15">'Data Vlaue (Cr)'!$A$1:$FB$223</definedName>
  </definedNames>
  <calcPr calcId="144525"/>
</workbook>
</file>

<file path=xl/calcChain.xml><?xml version="1.0" encoding="utf-8"?>
<calcChain xmlns="http://schemas.openxmlformats.org/spreadsheetml/2006/main">
  <c r="L3" i="21" l="1"/>
  <c r="L4" i="21"/>
  <c r="F139" i="18" l="1"/>
  <c r="F211" i="18"/>
  <c r="F13" i="18"/>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16" i="18"/>
  <c r="F116" i="18"/>
  <c r="E113" i="18"/>
  <c r="F113" i="18"/>
  <c r="E86" i="18"/>
  <c r="F86" i="18"/>
  <c r="E144" i="18"/>
  <c r="F144" i="18"/>
  <c r="E67" i="18"/>
  <c r="F67" i="18"/>
  <c r="E110" i="18"/>
  <c r="F110" i="18"/>
  <c r="E207" i="18"/>
  <c r="F207" i="18"/>
  <c r="E97" i="18"/>
  <c r="F97" i="18"/>
  <c r="E9" i="18"/>
  <c r="F9" i="18"/>
  <c r="E24" i="18"/>
  <c r="F24" i="18"/>
  <c r="E79" i="18"/>
  <c r="F79" i="18"/>
  <c r="E208" i="18"/>
  <c r="F208" i="18"/>
  <c r="E46" i="18"/>
  <c r="F46" i="18"/>
  <c r="E6" i="18"/>
  <c r="F6" i="18"/>
  <c r="E199" i="18"/>
  <c r="F199" i="18"/>
  <c r="E220" i="18"/>
  <c r="F220" i="18"/>
  <c r="E166" i="18"/>
  <c r="F166" i="18"/>
  <c r="E136" i="18"/>
  <c r="F136" i="18"/>
  <c r="E39" i="18"/>
  <c r="F39" i="18"/>
  <c r="E183" i="18"/>
  <c r="F183" i="18"/>
  <c r="E219" i="18"/>
  <c r="F219" i="18"/>
  <c r="E210" i="18"/>
  <c r="F210" i="18"/>
  <c r="E212" i="18"/>
  <c r="F212" i="18"/>
  <c r="E7" i="18"/>
  <c r="F7" i="18"/>
  <c r="E173" i="18"/>
  <c r="F173" i="18"/>
  <c r="E88" i="18"/>
  <c r="F88" i="18"/>
  <c r="E71" i="18"/>
  <c r="F71" i="18"/>
  <c r="E164" i="18"/>
  <c r="F164" i="18"/>
  <c r="F189" i="18"/>
  <c r="E171" i="18"/>
  <c r="F171" i="18"/>
  <c r="E130" i="18"/>
  <c r="F130" i="18"/>
  <c r="E26" i="18"/>
  <c r="F26" i="18"/>
  <c r="E124" i="18"/>
  <c r="F124" i="18"/>
  <c r="E85" i="18"/>
  <c r="F85" i="18"/>
  <c r="E180" i="18"/>
  <c r="F180" i="18"/>
  <c r="E98" i="18"/>
  <c r="F98" i="18"/>
  <c r="E147" i="18"/>
  <c r="F147" i="18"/>
  <c r="E135" i="18"/>
  <c r="F135" i="18"/>
  <c r="E82" i="18"/>
  <c r="F82" i="18"/>
  <c r="E14" i="18"/>
  <c r="F14" i="18"/>
  <c r="E66" i="18"/>
  <c r="F66" i="18"/>
  <c r="E16" i="18"/>
  <c r="F16" i="18"/>
  <c r="E62" i="18"/>
  <c r="F62" i="18"/>
  <c r="E197" i="18"/>
  <c r="F197" i="18"/>
  <c r="E47" i="18"/>
  <c r="F47" i="18"/>
  <c r="E61" i="18"/>
  <c r="F61" i="18"/>
  <c r="E179" i="18"/>
  <c r="F179" i="18"/>
  <c r="E42" i="18"/>
  <c r="F42" i="18"/>
  <c r="E20" i="18"/>
  <c r="F20" i="18"/>
  <c r="E21" i="18"/>
  <c r="F21" i="18"/>
  <c r="E45" i="18"/>
  <c r="F45" i="18"/>
  <c r="E143" i="18"/>
  <c r="F143" i="18"/>
  <c r="E194" i="18"/>
  <c r="F194" i="18"/>
  <c r="E128" i="18"/>
  <c r="F128" i="18"/>
  <c r="E118" i="18"/>
  <c r="F118" i="18"/>
  <c r="E106" i="18"/>
  <c r="F106" i="18"/>
  <c r="E204" i="18"/>
  <c r="F204" i="18"/>
  <c r="E184" i="18"/>
  <c r="F184" i="18"/>
  <c r="E63" i="18"/>
  <c r="F63" i="18"/>
  <c r="E53" i="18"/>
  <c r="F53" i="18"/>
  <c r="E209" i="18"/>
  <c r="F209" i="18"/>
  <c r="E201" i="18"/>
  <c r="F201" i="18"/>
  <c r="E93" i="18"/>
  <c r="F93" i="18"/>
  <c r="E73" i="18"/>
  <c r="F73" i="18"/>
  <c r="E78" i="18"/>
  <c r="F78" i="18"/>
  <c r="E134" i="18"/>
  <c r="F134" i="18"/>
  <c r="E15" i="18"/>
  <c r="F15" i="18"/>
  <c r="E75" i="18"/>
  <c r="F75" i="18"/>
  <c r="E57" i="18"/>
  <c r="F57" i="18"/>
  <c r="E91" i="18"/>
  <c r="F91" i="18"/>
  <c r="E122" i="18"/>
  <c r="F122" i="18"/>
  <c r="E121" i="18"/>
  <c r="F121" i="18"/>
  <c r="E119" i="18"/>
  <c r="F119" i="18"/>
  <c r="E49" i="18"/>
  <c r="F49" i="18"/>
  <c r="E176" i="18"/>
  <c r="F176" i="18"/>
  <c r="E169" i="18"/>
  <c r="F169" i="18"/>
  <c r="E40" i="18"/>
  <c r="F40" i="18"/>
  <c r="E160" i="18"/>
  <c r="F160" i="18"/>
  <c r="E34" i="18"/>
  <c r="F34" i="18"/>
  <c r="E206" i="18"/>
  <c r="F206" i="18"/>
  <c r="E198" i="18"/>
  <c r="F198" i="18"/>
  <c r="E214" i="18"/>
  <c r="F214" i="18"/>
  <c r="E10" i="18"/>
  <c r="F10" i="18"/>
  <c r="E145" i="18"/>
  <c r="F145" i="18"/>
  <c r="E217" i="18"/>
  <c r="F217" i="18"/>
  <c r="E195" i="18"/>
  <c r="F195" i="18"/>
  <c r="E84" i="18"/>
  <c r="F84" i="18"/>
  <c r="E129" i="18"/>
  <c r="F129" i="18"/>
  <c r="E5" i="18"/>
  <c r="F5" i="18"/>
  <c r="E27" i="18"/>
  <c r="F27" i="18"/>
  <c r="E25" i="18"/>
  <c r="F25" i="18"/>
  <c r="E203" i="18"/>
  <c r="F203" i="18"/>
  <c r="E87" i="18"/>
  <c r="F87" i="18"/>
  <c r="E182" i="18"/>
  <c r="F182" i="18"/>
  <c r="E181" i="18"/>
  <c r="F181" i="18"/>
  <c r="E154" i="18"/>
  <c r="F154" i="18"/>
  <c r="E19" i="18"/>
  <c r="F19" i="18"/>
  <c r="E187" i="18"/>
  <c r="F187" i="18"/>
  <c r="E111" i="18"/>
  <c r="F111" i="18"/>
  <c r="E123" i="18"/>
  <c r="F123" i="18"/>
  <c r="E114" i="18"/>
  <c r="F114" i="18"/>
  <c r="E69" i="18"/>
  <c r="F69" i="18"/>
  <c r="E23" i="18"/>
  <c r="F23" i="18"/>
  <c r="F149" i="18"/>
  <c r="E193" i="18"/>
  <c r="F193" i="18"/>
  <c r="E205" i="18"/>
  <c r="F205" i="18"/>
  <c r="E68" i="18"/>
  <c r="F68" i="18"/>
  <c r="E132" i="18"/>
  <c r="F132" i="18"/>
  <c r="E103" i="18"/>
  <c r="F103" i="18"/>
  <c r="E213" i="18"/>
  <c r="F213" i="18"/>
  <c r="E95" i="18"/>
  <c r="F95" i="18"/>
  <c r="E12" i="18"/>
  <c r="F12" i="18"/>
  <c r="E100" i="18"/>
  <c r="F100" i="18"/>
  <c r="E168" i="18"/>
  <c r="F168" i="18"/>
  <c r="E30" i="18"/>
  <c r="F30" i="18"/>
  <c r="E127" i="18"/>
  <c r="F127" i="18"/>
  <c r="E125" i="18"/>
  <c r="F125" i="18"/>
  <c r="E22" i="18"/>
  <c r="F22" i="18"/>
  <c r="E28" i="18"/>
  <c r="F28" i="18"/>
  <c r="E218" i="18"/>
  <c r="F218" i="18"/>
  <c r="E48" i="18"/>
  <c r="F48" i="18"/>
  <c r="E107" i="18"/>
  <c r="F107" i="18"/>
  <c r="E104" i="18"/>
  <c r="F104" i="18"/>
  <c r="E150" i="18"/>
  <c r="F150" i="18"/>
  <c r="E172" i="18"/>
  <c r="F172" i="18"/>
  <c r="E37" i="18"/>
  <c r="F37" i="18"/>
  <c r="E58" i="18"/>
  <c r="F58" i="18"/>
  <c r="E72" i="18"/>
  <c r="F72" i="18"/>
  <c r="E90" i="18"/>
  <c r="F90" i="18"/>
  <c r="E50" i="18"/>
  <c r="F50" i="18"/>
  <c r="E8" i="18"/>
  <c r="F8" i="18"/>
  <c r="E31" i="18"/>
  <c r="F31" i="18"/>
  <c r="F52" i="18"/>
  <c r="E83" i="18"/>
  <c r="F83" i="18"/>
  <c r="E44" i="18"/>
  <c r="F44" i="18"/>
  <c r="E70" i="18"/>
  <c r="F70" i="18"/>
  <c r="E162" i="18"/>
  <c r="F162" i="18"/>
  <c r="E141" i="18"/>
  <c r="F141" i="18"/>
  <c r="E109" i="18"/>
  <c r="F109" i="18"/>
  <c r="E165" i="18"/>
  <c r="F165" i="18"/>
  <c r="E146" i="18"/>
  <c r="F146" i="18"/>
  <c r="E151" i="18"/>
  <c r="F151" i="18"/>
  <c r="E112" i="18"/>
  <c r="F112" i="18"/>
  <c r="E140" i="18"/>
  <c r="F140" i="18"/>
  <c r="E38" i="18"/>
  <c r="F38" i="18"/>
  <c r="E65" i="18"/>
  <c r="F65" i="18"/>
  <c r="E74" i="18"/>
  <c r="F74" i="18"/>
  <c r="E138" i="18"/>
  <c r="F138" i="18"/>
  <c r="E191" i="18"/>
  <c r="F191" i="18"/>
  <c r="E101" i="18"/>
  <c r="F101" i="18"/>
  <c r="E153" i="18"/>
  <c r="F153" i="18"/>
  <c r="E36" i="18"/>
  <c r="F36" i="18"/>
  <c r="E94" i="18"/>
  <c r="F94" i="18"/>
  <c r="E117" i="18"/>
  <c r="F117" i="18"/>
  <c r="E54" i="18"/>
  <c r="F54" i="18"/>
  <c r="E99" i="18"/>
  <c r="F99" i="18"/>
  <c r="E41" i="18"/>
  <c r="F41" i="18"/>
  <c r="E89" i="18"/>
  <c r="F89" i="18"/>
  <c r="E32" i="18"/>
  <c r="F32" i="18"/>
  <c r="E158" i="18"/>
  <c r="F158" i="18"/>
  <c r="E161" i="18"/>
  <c r="F161" i="18"/>
  <c r="E163" i="18"/>
  <c r="F163" i="18"/>
  <c r="E196" i="18"/>
  <c r="F196" i="18"/>
  <c r="E157" i="18"/>
  <c r="F157" i="18"/>
  <c r="E96" i="18"/>
  <c r="F96" i="18"/>
  <c r="E174" i="18"/>
  <c r="F174" i="18"/>
  <c r="E55" i="18"/>
  <c r="F55" i="18"/>
  <c r="E192" i="18"/>
  <c r="F192" i="18"/>
  <c r="E126" i="18"/>
  <c r="F126" i="18"/>
  <c r="E178" i="18"/>
  <c r="F178" i="18"/>
  <c r="E177" i="18"/>
  <c r="F177" i="18"/>
  <c r="E56" i="18"/>
  <c r="F56" i="18"/>
  <c r="E142" i="18"/>
  <c r="F142" i="18"/>
  <c r="E190" i="18"/>
  <c r="F190" i="18"/>
  <c r="E170" i="18"/>
  <c r="F170" i="18"/>
  <c r="E17" i="18"/>
  <c r="F17" i="18"/>
  <c r="E175" i="18"/>
  <c r="F175" i="18"/>
  <c r="E59" i="18"/>
  <c r="F59" i="18"/>
  <c r="E152" i="18"/>
  <c r="F152" i="18"/>
  <c r="E81" i="18"/>
  <c r="F81" i="18"/>
  <c r="E159" i="18"/>
  <c r="F159" i="18"/>
  <c r="E60" i="18"/>
  <c r="F60" i="18"/>
  <c r="E18" i="18"/>
  <c r="F18" i="18"/>
  <c r="E120" i="18"/>
  <c r="F120" i="18"/>
  <c r="E216" i="18"/>
  <c r="F216" i="18"/>
  <c r="E11" i="18"/>
  <c r="F11" i="18"/>
  <c r="F167" i="18"/>
  <c r="E200" i="18"/>
  <c r="F200" i="18"/>
  <c r="E92" i="18"/>
  <c r="F92" i="18"/>
  <c r="E215" i="18"/>
  <c r="F215" i="18"/>
  <c r="E115" i="18"/>
  <c r="F115" i="18"/>
  <c r="E202" i="18"/>
  <c r="F202" i="18"/>
  <c r="E188" i="18"/>
  <c r="F188" i="18"/>
  <c r="E105" i="18"/>
  <c r="F105" i="18"/>
  <c r="E156" i="18"/>
  <c r="F156" i="18"/>
  <c r="E77" i="18"/>
  <c r="F77" i="18"/>
  <c r="E137" i="18"/>
  <c r="F137" i="18"/>
  <c r="E186" i="18"/>
  <c r="F186" i="18"/>
  <c r="E131" i="18"/>
  <c r="F131" i="18"/>
  <c r="E80" i="18"/>
  <c r="F80" i="18"/>
  <c r="E33" i="18"/>
  <c r="F33" i="18"/>
  <c r="E35" i="18"/>
  <c r="F35" i="18"/>
  <c r="E148" i="18"/>
  <c r="F148" i="18"/>
  <c r="E43" i="18"/>
  <c r="F43" i="18"/>
  <c r="E185" i="18"/>
  <c r="F185" i="18"/>
  <c r="E76" i="18"/>
  <c r="F76" i="18"/>
  <c r="E64" i="18"/>
  <c r="F64" i="18"/>
  <c r="E29" i="18"/>
  <c r="F29" i="18"/>
  <c r="E51" i="18"/>
  <c r="F51" i="18"/>
  <c r="E108" i="18"/>
  <c r="F108" i="18"/>
  <c r="E102" i="18"/>
  <c r="F102"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4" i="6"/>
  <c r="H144" i="6" s="1"/>
  <c r="A145" i="6"/>
  <c r="F145" i="6" s="1"/>
  <c r="A146" i="6"/>
  <c r="E146" i="6" s="1"/>
  <c r="A147" i="6"/>
  <c r="A148" i="6"/>
  <c r="I148" i="6" s="1"/>
  <c r="A149" i="6"/>
  <c r="E149" i="6" s="1"/>
  <c r="A150" i="6"/>
  <c r="A151" i="6"/>
  <c r="F151" i="6" s="1"/>
  <c r="A152" i="6"/>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6" i="6"/>
  <c r="E186" i="6" s="1"/>
  <c r="A187" i="6"/>
  <c r="A188" i="6"/>
  <c r="I188" i="6" s="1"/>
  <c r="A189" i="6"/>
  <c r="A189" i="7" s="1"/>
  <c r="B189" i="7" s="1"/>
  <c r="A29" i="7"/>
  <c r="L29" i="7" s="1"/>
  <c r="A42" i="7"/>
  <c r="B42" i="7" s="1"/>
  <c r="A64" i="7"/>
  <c r="C64" i="7" s="1"/>
  <c r="A101" i="7"/>
  <c r="A112" i="7"/>
  <c r="H112" i="7" s="1"/>
  <c r="A114" i="7"/>
  <c r="D114" i="7" s="1"/>
  <c r="A119" i="7"/>
  <c r="N119" i="7" s="1"/>
  <c r="A136" i="7"/>
  <c r="O136" i="7" s="1"/>
  <c r="A143" i="7"/>
  <c r="F143" i="7" s="1"/>
  <c r="A148" i="7"/>
  <c r="I148" i="7" s="1"/>
  <c r="A152" i="7"/>
  <c r="G152" i="7" s="1"/>
  <c r="A159" i="7"/>
  <c r="A173" i="7"/>
  <c r="L173" i="7" s="1"/>
  <c r="A183" i="7"/>
  <c r="I183" i="7" s="1"/>
  <c r="A185" i="7"/>
  <c r="F185"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I4" i="21"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90" i="7" l="1"/>
  <c r="A60" i="7"/>
  <c r="A52" i="7"/>
  <c r="F52" i="7" s="1"/>
  <c r="A171" i="7"/>
  <c r="D171" i="7" s="1"/>
  <c r="A78" i="7"/>
  <c r="J78" i="7" s="1"/>
  <c r="A30" i="7"/>
  <c r="B30" i="7" s="1"/>
  <c r="A163" i="7"/>
  <c r="B163" i="7" s="1"/>
  <c r="A131" i="7"/>
  <c r="B131" i="7" s="1"/>
  <c r="A107" i="7"/>
  <c r="A47" i="7"/>
  <c r="H47" i="7" s="1"/>
  <c r="A155" i="7"/>
  <c r="J155" i="7" s="1"/>
  <c r="A59" i="7"/>
  <c r="C59" i="7" s="1"/>
  <c r="A35" i="7"/>
  <c r="B35" i="7" s="1"/>
  <c r="A11" i="7"/>
  <c r="I11" i="7" s="1"/>
  <c r="A181" i="7"/>
  <c r="H181" i="7" s="1"/>
  <c r="A94" i="7"/>
  <c r="F94" i="7" s="1"/>
  <c r="A178" i="7"/>
  <c r="A46" i="7"/>
  <c r="J46" i="7" s="1"/>
  <c r="A177" i="7"/>
  <c r="E177" i="7" s="1"/>
  <c r="A82" i="7"/>
  <c r="F82" i="7" s="1"/>
  <c r="B104" i="13"/>
  <c r="A130" i="7"/>
  <c r="B130" i="7" s="1"/>
  <c r="A80" i="7"/>
  <c r="K80" i="7" s="1"/>
  <c r="A34" i="7"/>
  <c r="G34" i="7" s="1"/>
  <c r="C4" i="21" s="1"/>
  <c r="C240" i="2"/>
  <c r="F240" i="2" s="1"/>
  <c r="A169" i="7"/>
  <c r="F169" i="7" s="1"/>
  <c r="A127" i="7"/>
  <c r="B127" i="7" s="1"/>
  <c r="A67" i="7"/>
  <c r="O67" i="7" s="1"/>
  <c r="A16" i="7"/>
  <c r="F19" i="14"/>
  <c r="A97" i="7"/>
  <c r="G97" i="7" s="1"/>
  <c r="L155" i="6"/>
  <c r="J155" i="6"/>
  <c r="E155" i="6"/>
  <c r="A146" i="7"/>
  <c r="D146" i="7" s="1"/>
  <c r="A122" i="7"/>
  <c r="A96" i="7"/>
  <c r="G96" i="7" s="1"/>
  <c r="A50" i="7"/>
  <c r="F50" i="7" s="1"/>
  <c r="A170" i="7"/>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A113" i="7"/>
  <c r="C113" i="7" s="1"/>
  <c r="A85" i="7"/>
  <c r="C85" i="7" s="1"/>
  <c r="A68" i="7"/>
  <c r="D68" i="7" s="1"/>
  <c r="A17" i="7"/>
  <c r="A134" i="7"/>
  <c r="E134" i="7" s="1"/>
  <c r="A84" i="7"/>
  <c r="O84" i="7" s="1"/>
  <c r="A38" i="7"/>
  <c r="B38" i="7" s="1"/>
  <c r="A180" i="7"/>
  <c r="C180" i="7" s="1"/>
  <c r="A133" i="7"/>
  <c r="C133" i="7" s="1"/>
  <c r="A111" i="7"/>
  <c r="B111" i="7" s="1"/>
  <c r="A37" i="7"/>
  <c r="O37" i="7" s="1"/>
  <c r="A179" i="7"/>
  <c r="A132" i="7"/>
  <c r="J132" i="7" s="1"/>
  <c r="A108" i="7"/>
  <c r="B108" i="7" s="1"/>
  <c r="A61" i="7"/>
  <c r="C61" i="7" s="1"/>
  <c r="A36" i="7"/>
  <c r="D36" i="7" s="1"/>
  <c r="A13" i="7"/>
  <c r="A129" i="7"/>
  <c r="G129" i="7" s="1"/>
  <c r="A33" i="7"/>
  <c r="C33" i="7" s="1"/>
  <c r="A162" i="7"/>
  <c r="E162" i="7" s="1"/>
  <c r="A123" i="7"/>
  <c r="J123" i="7" s="1"/>
  <c r="A45" i="7"/>
  <c r="I45" i="7" s="1"/>
  <c r="A175" i="7"/>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O176" i="7" s="1"/>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L10" i="7"/>
  <c r="N35" i="6"/>
  <c r="H242" i="2"/>
  <c r="B56" i="3"/>
  <c r="O165" i="5"/>
  <c r="A158" i="7"/>
  <c r="H158" i="7" s="1"/>
  <c r="M116" i="7"/>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70" i="7"/>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G116" i="7"/>
  <c r="N98" i="7"/>
  <c r="K95" i="7"/>
  <c r="G21" i="7"/>
  <c r="L132" i="6"/>
  <c r="G130" i="6"/>
  <c r="E119" i="6"/>
  <c r="I133" i="10"/>
  <c r="E121" i="10"/>
  <c r="E109" i="10"/>
  <c r="F88" i="10"/>
  <c r="H25" i="10"/>
  <c r="L187" i="2"/>
  <c r="J135" i="3"/>
  <c r="P36" i="3"/>
  <c r="L146" i="7"/>
  <c r="O116" i="7"/>
  <c r="C116" i="7"/>
  <c r="F95" i="7"/>
  <c r="C27" i="7"/>
  <c r="L179" i="6"/>
  <c r="F177" i="6"/>
  <c r="M36" i="6"/>
  <c r="O16" i="6"/>
  <c r="L11" i="6"/>
  <c r="O11" i="12" s="1"/>
  <c r="F8" i="6"/>
  <c r="O176" i="10"/>
  <c r="I157" i="10"/>
  <c r="E133" i="10"/>
  <c r="M13" i="10"/>
  <c r="D187" i="2"/>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131" i="7"/>
  <c r="K123" i="7"/>
  <c r="B118" i="7"/>
  <c r="N116" i="7"/>
  <c r="I116" i="7"/>
  <c r="B116" i="7"/>
  <c r="F111" i="7"/>
  <c r="O96" i="7"/>
  <c r="J91" i="7"/>
  <c r="H89" i="7"/>
  <c r="G81"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K116" i="7"/>
  <c r="F116" i="7"/>
  <c r="G112" i="7"/>
  <c r="N100" i="7"/>
  <c r="E33"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K183" i="3" s="1"/>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I175" i="7"/>
  <c r="K127" i="7"/>
  <c r="G175" i="7"/>
  <c r="F127" i="7"/>
  <c r="H94" i="7"/>
  <c r="L97" i="7"/>
  <c r="J30" i="7"/>
  <c r="E97" i="7"/>
  <c r="O131" i="7"/>
  <c r="C97"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E183" i="3" s="1"/>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7" i="7"/>
  <c r="B175" i="7"/>
  <c r="L171" i="7"/>
  <c r="F154" i="7"/>
  <c r="L113" i="7"/>
  <c r="M100" i="7"/>
  <c r="M96" i="7"/>
  <c r="R191" i="2"/>
  <c r="Q173" i="2"/>
  <c r="L171" i="3"/>
  <c r="D171" i="3"/>
  <c r="G127" i="3"/>
  <c r="Q72" i="3"/>
  <c r="L189" i="7"/>
  <c r="F177" i="7"/>
  <c r="I171" i="7"/>
  <c r="M118" i="7"/>
  <c r="G113" i="7"/>
  <c r="M112" i="7"/>
  <c r="G100" i="7"/>
  <c r="H96" i="7"/>
  <c r="B90" i="7"/>
  <c r="F90" i="7"/>
  <c r="L90" i="7"/>
  <c r="I191" i="2"/>
  <c r="Q188" i="2"/>
  <c r="S181" i="2"/>
  <c r="C173" i="2"/>
  <c r="R167" i="2"/>
  <c r="D165" i="2"/>
  <c r="E140" i="2"/>
  <c r="M136" i="2"/>
  <c r="I133" i="2"/>
  <c r="B128" i="2"/>
  <c r="Q106" i="2"/>
  <c r="R104" i="2"/>
  <c r="H96" i="2"/>
  <c r="C87" i="2"/>
  <c r="B12" i="2"/>
  <c r="Q187" i="3"/>
  <c r="G187" i="3"/>
  <c r="H187" i="3" s="1"/>
  <c r="O178" i="3"/>
  <c r="P171" i="3"/>
  <c r="J171" i="3"/>
  <c r="K171" i="3" s="1"/>
  <c r="C171" i="3"/>
  <c r="L162" i="3"/>
  <c r="Q156" i="3"/>
  <c r="B127" i="3"/>
  <c r="I112" i="3"/>
  <c r="Q109" i="3"/>
  <c r="L108" i="3"/>
  <c r="Q104" i="3"/>
  <c r="L94" i="3"/>
  <c r="L92" i="3"/>
  <c r="G72" i="3"/>
  <c r="E72" i="5" s="1"/>
  <c r="P68" i="3"/>
  <c r="L67" i="3"/>
  <c r="Q64" i="3"/>
  <c r="G59" i="3"/>
  <c r="P47" i="3"/>
  <c r="J28" i="3"/>
  <c r="H189" i="7"/>
  <c r="N181" i="7"/>
  <c r="E171" i="7"/>
  <c r="G136" i="7"/>
  <c r="E118" i="7"/>
  <c r="E116" i="7"/>
  <c r="E113" i="7"/>
  <c r="S75" i="2"/>
  <c r="D100" i="7"/>
  <c r="B100" i="7"/>
  <c r="I100" i="7"/>
  <c r="C100" i="7"/>
  <c r="K100" i="7"/>
  <c r="C96" i="7"/>
  <c r="I96" i="7"/>
  <c r="D96" i="7"/>
  <c r="L96" i="7"/>
  <c r="G72" i="7"/>
  <c r="C72" i="7"/>
  <c r="O72" i="7"/>
  <c r="D72" i="7"/>
  <c r="I72" i="7"/>
  <c r="I12" i="10"/>
  <c r="L18" i="7"/>
  <c r="J10" i="7"/>
  <c r="I183" i="6"/>
  <c r="K169" i="6"/>
  <c r="L52" i="6"/>
  <c r="O52" i="12" s="1"/>
  <c r="M187" i="10"/>
  <c r="L133" i="10"/>
  <c r="H133" i="10"/>
  <c r="D133" i="10"/>
  <c r="O132" i="10"/>
  <c r="J132" i="10"/>
  <c r="E132" i="10"/>
  <c r="J125" i="10"/>
  <c r="N69" i="10"/>
  <c r="O68" i="10"/>
  <c r="L57" i="10"/>
  <c r="M49" i="10"/>
  <c r="K33" i="7"/>
  <c r="F18" i="7"/>
  <c r="F10"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33" i="7"/>
  <c r="I21" i="7"/>
  <c r="B18" i="7"/>
  <c r="E10"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P97" i="5" s="1"/>
  <c r="K95" i="5"/>
  <c r="C93" i="5"/>
  <c r="N89" i="5"/>
  <c r="O85" i="5"/>
  <c r="K83" i="5"/>
  <c r="C81" i="5"/>
  <c r="C77" i="5"/>
  <c r="N73" i="5"/>
  <c r="O69" i="5"/>
  <c r="P69" i="5" s="1"/>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P101" i="5" s="1"/>
  <c r="K99" i="5"/>
  <c r="C97" i="5"/>
  <c r="N93" i="5"/>
  <c r="K91" i="5"/>
  <c r="C89" i="5"/>
  <c r="C85" i="5"/>
  <c r="N81" i="5"/>
  <c r="P81" i="5" s="1"/>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C165" i="6"/>
  <c r="E165" i="6"/>
  <c r="B138" i="6"/>
  <c r="K138" i="6"/>
  <c r="P120" i="2"/>
  <c r="E120" i="2"/>
  <c r="P48" i="2"/>
  <c r="E48" i="2"/>
  <c r="Q34" i="2"/>
  <c r="L182" i="3"/>
  <c r="M166" i="3"/>
  <c r="M157" i="3"/>
  <c r="N147" i="3"/>
  <c r="Q133" i="3"/>
  <c r="O104" i="3"/>
  <c r="I94" i="3"/>
  <c r="Q93" i="3"/>
  <c r="G93" i="3"/>
  <c r="Q92" i="3"/>
  <c r="G92" i="3"/>
  <c r="O85" i="3"/>
  <c r="G85" i="3"/>
  <c r="E85" i="5" s="1"/>
  <c r="L47" i="3"/>
  <c r="P40" i="3"/>
  <c r="Q39" i="3"/>
  <c r="I91" i="7"/>
  <c r="H70" i="7"/>
  <c r="O61" i="7"/>
  <c r="L165" i="6"/>
  <c r="F165" i="6"/>
  <c r="C161" i="6"/>
  <c r="I161" i="6"/>
  <c r="F161" i="6"/>
  <c r="E112" i="6"/>
  <c r="L112" i="6"/>
  <c r="I112" i="6"/>
  <c r="Q112" i="12" s="1"/>
  <c r="C95" i="6"/>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M175" i="7"/>
  <c r="F175" i="7"/>
  <c r="I93" i="7"/>
  <c r="O91" i="7"/>
  <c r="E91" i="7"/>
  <c r="F70" i="7"/>
  <c r="N27" i="7"/>
  <c r="F27" i="7"/>
  <c r="N26" i="7"/>
  <c r="M181" i="6"/>
  <c r="G181" i="6"/>
  <c r="M180" i="6"/>
  <c r="O169" i="6"/>
  <c r="G169" i="6"/>
  <c r="M168" i="6"/>
  <c r="F167" i="6"/>
  <c r="J165" i="6"/>
  <c r="D165" i="6"/>
  <c r="E128" i="6"/>
  <c r="H128" i="6"/>
  <c r="P128" i="12" s="1"/>
  <c r="G128" i="6"/>
  <c r="B101" i="6"/>
  <c r="F101" i="6"/>
  <c r="I101" i="6"/>
  <c r="E101" i="6"/>
  <c r="N101" i="6"/>
  <c r="I72" i="6"/>
  <c r="M72" i="12" s="1"/>
  <c r="K72" i="6"/>
  <c r="G72" i="6"/>
  <c r="C44" i="6"/>
  <c r="G44" i="6"/>
  <c r="H44" i="6"/>
  <c r="E44" i="6"/>
  <c r="M44" i="6"/>
  <c r="I31" i="6"/>
  <c r="Q31" i="12" s="1"/>
  <c r="O31" i="6"/>
  <c r="G31" i="6"/>
  <c r="I177" i="10"/>
  <c r="H177" i="10"/>
  <c r="B149" i="10"/>
  <c r="K149" i="10"/>
  <c r="F149" i="10"/>
  <c r="G120" i="2"/>
  <c r="I173" i="2"/>
  <c r="M147" i="2"/>
  <c r="L144" i="2"/>
  <c r="I184" i="2"/>
  <c r="I182" i="2"/>
  <c r="D175" i="2"/>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K175" i="7"/>
  <c r="L118" i="7"/>
  <c r="H113" i="7"/>
  <c r="O100" i="7"/>
  <c r="J100" i="7"/>
  <c r="E100" i="7"/>
  <c r="K97" i="7"/>
  <c r="J97" i="12" s="1"/>
  <c r="J94" i="7"/>
  <c r="D93" i="7"/>
  <c r="K91" i="7"/>
  <c r="H72" i="7"/>
  <c r="N71" i="7"/>
  <c r="M70" i="7"/>
  <c r="E70" i="7"/>
  <c r="K27" i="7"/>
  <c r="E27" i="7"/>
  <c r="L26"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P42" i="5" s="1"/>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G31" i="14" s="1"/>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L189" i="3"/>
  <c r="F189" i="3"/>
  <c r="Q189" i="3"/>
  <c r="C188" i="3"/>
  <c r="M188" i="3"/>
  <c r="F188" i="3"/>
  <c r="N188" i="3"/>
  <c r="C125" i="3"/>
  <c r="B125" i="3"/>
  <c r="M125" i="3"/>
  <c r="F125" i="3"/>
  <c r="N125" i="3"/>
  <c r="I125" i="3"/>
  <c r="K125" i="3" s="1"/>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N92" i="2" s="1"/>
  <c r="O92" i="2" s="1"/>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M179" i="7"/>
  <c r="E179" i="7"/>
  <c r="C165" i="7"/>
  <c r="E165" i="7"/>
  <c r="C161" i="7"/>
  <c r="H161" i="7"/>
  <c r="C157" i="7"/>
  <c r="L157" i="7"/>
  <c r="D152" i="7"/>
  <c r="E152" i="7"/>
  <c r="J152" i="7"/>
  <c r="O152" i="7"/>
  <c r="C145" i="7"/>
  <c r="G145" i="7"/>
  <c r="D136" i="7"/>
  <c r="C136" i="7"/>
  <c r="I136" i="7"/>
  <c r="N136" i="7"/>
  <c r="C109" i="7"/>
  <c r="D109" i="7"/>
  <c r="O109" i="7"/>
  <c r="G109" i="7"/>
  <c r="B107" i="7"/>
  <c r="N107" i="7"/>
  <c r="E13" i="7"/>
  <c r="G13" i="7"/>
  <c r="I13" i="7"/>
  <c r="K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E178" i="3" s="1"/>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C187" i="7" s="1"/>
  <c r="M186" i="7"/>
  <c r="M181" i="7"/>
  <c r="E180" i="7"/>
  <c r="C177" i="7"/>
  <c r="J177" i="7"/>
  <c r="D175" i="7"/>
  <c r="E175" i="7"/>
  <c r="J175" i="7"/>
  <c r="O175" i="7"/>
  <c r="M171" i="7"/>
  <c r="J169" i="7"/>
  <c r="I161" i="7"/>
  <c r="M152" i="7"/>
  <c r="F152" i="7"/>
  <c r="J148" i="7"/>
  <c r="L144" i="7"/>
  <c r="M136" i="7"/>
  <c r="F136" i="7"/>
  <c r="A135" i="7"/>
  <c r="B135" i="7" s="1"/>
  <c r="K132" i="7"/>
  <c r="K129" i="7"/>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F181" i="7"/>
  <c r="B171" i="7"/>
  <c r="H171" i="7"/>
  <c r="L165" i="7"/>
  <c r="D161" i="7"/>
  <c r="B158" i="7"/>
  <c r="K152" i="7"/>
  <c r="C152" i="7"/>
  <c r="B151" i="7"/>
  <c r="K151" i="7"/>
  <c r="A147" i="7"/>
  <c r="L147" i="7" s="1"/>
  <c r="K136" i="7"/>
  <c r="E136" i="7"/>
  <c r="L126" i="7"/>
  <c r="E126" i="7"/>
  <c r="B123" i="7"/>
  <c r="E123" i="7"/>
  <c r="O123" i="7"/>
  <c r="F123" i="7"/>
  <c r="L121" i="7"/>
  <c r="C119" i="7"/>
  <c r="F119" i="7"/>
  <c r="L109" i="7"/>
  <c r="C77" i="7"/>
  <c r="D77" i="7"/>
  <c r="O77" i="7"/>
  <c r="G77" i="7"/>
  <c r="I77" i="7"/>
  <c r="C8"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I182" i="7"/>
  <c r="E182" i="7"/>
  <c r="B180" i="7"/>
  <c r="K180" i="7"/>
  <c r="J180" i="12" s="1"/>
  <c r="E170" i="7"/>
  <c r="M170" i="7"/>
  <c r="F165" i="7"/>
  <c r="I163" i="7"/>
  <c r="N161" i="7"/>
  <c r="B161" i="7"/>
  <c r="I152" i="7"/>
  <c r="B152" i="7"/>
  <c r="E148" i="7"/>
  <c r="B148" i="7"/>
  <c r="L145" i="7"/>
  <c r="B144" i="7"/>
  <c r="D144" i="7"/>
  <c r="J136" i="7"/>
  <c r="B136" i="7"/>
  <c r="B134" i="7"/>
  <c r="L134" i="7"/>
  <c r="D132" i="7"/>
  <c r="E132" i="7"/>
  <c r="O132" i="7"/>
  <c r="F132" i="7"/>
  <c r="I109" i="7"/>
  <c r="C107" i="7"/>
  <c r="D86" i="7"/>
  <c r="B86" i="7"/>
  <c r="M86" i="7"/>
  <c r="F86" i="7"/>
  <c r="H86" i="7"/>
  <c r="C37" i="7"/>
  <c r="D37" i="7"/>
  <c r="I37" i="7"/>
  <c r="L37" i="7"/>
  <c r="B14" i="7"/>
  <c r="H14" i="7"/>
  <c r="L187" i="6"/>
  <c r="K160" i="6"/>
  <c r="A160" i="7"/>
  <c r="I160" i="7" s="1"/>
  <c r="B152" i="6"/>
  <c r="I152" i="6"/>
  <c r="Q152" i="12" s="1"/>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N51" i="6"/>
  <c r="E51" i="6"/>
  <c r="O51" i="6"/>
  <c r="F51" i="6"/>
  <c r="J51" i="6"/>
  <c r="E28" i="6"/>
  <c r="A28" i="7"/>
  <c r="K173" i="10"/>
  <c r="F98" i="7"/>
  <c r="E94" i="7"/>
  <c r="E89" i="7"/>
  <c r="C73" i="7"/>
  <c r="J70" i="7"/>
  <c r="K65" i="7"/>
  <c r="D61" i="7"/>
  <c r="L52" i="7"/>
  <c r="F42" i="7"/>
  <c r="J35" i="7"/>
  <c r="O33" i="7"/>
  <c r="I33" i="7"/>
  <c r="D33" i="7"/>
  <c r="K31" i="7"/>
  <c r="M27" i="7"/>
  <c r="G27" i="7"/>
  <c r="I26" i="7"/>
  <c r="O21" i="7"/>
  <c r="C21" i="7"/>
  <c r="M12" i="7"/>
  <c r="N10" i="7"/>
  <c r="I10" i="7"/>
  <c r="D10" i="7"/>
  <c r="K7" i="7"/>
  <c r="G180" i="6"/>
  <c r="M177" i="6"/>
  <c r="E177" i="6"/>
  <c r="I176" i="6"/>
  <c r="M176" i="12" s="1"/>
  <c r="I175" i="6"/>
  <c r="O173" i="6"/>
  <c r="H171" i="6"/>
  <c r="L163" i="6"/>
  <c r="O163" i="12" s="1"/>
  <c r="L161" i="6"/>
  <c r="E161" i="6"/>
  <c r="N155" i="6"/>
  <c r="I155" i="6"/>
  <c r="D155" i="6"/>
  <c r="E234" i="2" s="1"/>
  <c r="M153" i="6"/>
  <c r="L151" i="6"/>
  <c r="O151" i="12" s="1"/>
  <c r="M149" i="6"/>
  <c r="I138" i="6"/>
  <c r="G132" i="6"/>
  <c r="D10" i="28" s="1"/>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H97" i="7"/>
  <c r="L94" i="7"/>
  <c r="B94" i="7"/>
  <c r="L89" i="7"/>
  <c r="C89" i="7"/>
  <c r="C65" i="7"/>
  <c r="G57" i="7"/>
  <c r="B52" i="7"/>
  <c r="L49" i="7"/>
  <c r="L38" i="7"/>
  <c r="M33" i="7"/>
  <c r="H33" i="7"/>
  <c r="I31" i="7"/>
  <c r="I12" i="7"/>
  <c r="M10" i="7"/>
  <c r="H10" i="7"/>
  <c r="B10" i="7"/>
  <c r="N183" i="6"/>
  <c r="F183" i="6"/>
  <c r="K181" i="6"/>
  <c r="E181" i="6"/>
  <c r="O180" i="6"/>
  <c r="E180" i="6"/>
  <c r="J177" i="6"/>
  <c r="F175" i="6"/>
  <c r="J161" i="6"/>
  <c r="D161" i="6"/>
  <c r="M155" i="6"/>
  <c r="H155" i="6"/>
  <c r="P155" i="12" s="1"/>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E36" i="6"/>
  <c r="C36" i="6"/>
  <c r="I36" i="6"/>
  <c r="M36" i="12" s="1"/>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P131" i="5" s="1"/>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J3" i="21" s="1"/>
  <c r="R155" i="2"/>
  <c r="D152" i="2"/>
  <c r="C150" i="2"/>
  <c r="L148" i="2"/>
  <c r="Q147" i="2"/>
  <c r="E147" i="2"/>
  <c r="S140" i="2"/>
  <c r="I140" i="2"/>
  <c r="J140" i="2" s="1"/>
  <c r="K140" i="2" s="1"/>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N76" i="2" s="1"/>
  <c r="O76" i="2" s="1"/>
  <c r="R76" i="2"/>
  <c r="I74" i="2"/>
  <c r="R72" i="2"/>
  <c r="H72" i="2"/>
  <c r="S68" i="2"/>
  <c r="L68" i="2"/>
  <c r="Q64" i="2"/>
  <c r="S59" i="2"/>
  <c r="E56" i="2"/>
  <c r="H56" i="2"/>
  <c r="S56" i="2"/>
  <c r="D48" i="2"/>
  <c r="G48" i="2" s="1"/>
  <c r="L48" i="2"/>
  <c r="R48" i="2"/>
  <c r="I44" i="2"/>
  <c r="J44" i="2" s="1"/>
  <c r="K44" i="2" s="1"/>
  <c r="D40" i="2"/>
  <c r="C40" i="2"/>
  <c r="R40" i="2"/>
  <c r="L38" i="2"/>
  <c r="E28" i="2"/>
  <c r="Q28" i="2"/>
  <c r="C28" i="2"/>
  <c r="F28" i="2" s="1"/>
  <c r="L28" i="2"/>
  <c r="D26" i="2"/>
  <c r="I26" i="2"/>
  <c r="D16" i="2"/>
  <c r="L16" i="2"/>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E3" i="21" s="1"/>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C95" i="2"/>
  <c r="P88" i="2"/>
  <c r="H88" i="2"/>
  <c r="J88" i="2" s="1"/>
  <c r="K88" i="2" s="1"/>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J74" i="3"/>
  <c r="L62" i="3"/>
  <c r="J61" i="3"/>
  <c r="L60" i="3"/>
  <c r="S36" i="2"/>
  <c r="I36" i="2"/>
  <c r="L33" i="2"/>
  <c r="R32" i="2"/>
  <c r="D32" i="2"/>
  <c r="S27" i="2"/>
  <c r="M20" i="2"/>
  <c r="N20" i="2" s="1"/>
  <c r="O20" i="2" s="1"/>
  <c r="I12" i="2"/>
  <c r="N187" i="3"/>
  <c r="I187" i="3"/>
  <c r="K187" i="3" s="1"/>
  <c r="L186" i="3"/>
  <c r="Q184" i="3"/>
  <c r="O179" i="3"/>
  <c r="D179" i="3"/>
  <c r="P166" i="3"/>
  <c r="Q157" i="3"/>
  <c r="M156" i="3"/>
  <c r="F152" i="3"/>
  <c r="P149" i="3"/>
  <c r="M143" i="3"/>
  <c r="M141" i="3"/>
  <c r="I139" i="3"/>
  <c r="N135" i="3"/>
  <c r="I135" i="3"/>
  <c r="K135" i="3" s="1"/>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B183" i="7"/>
  <c r="D183" i="7"/>
  <c r="L183" i="7"/>
  <c r="E183" i="7"/>
  <c r="M183" i="7"/>
  <c r="C181" i="7"/>
  <c r="B181" i="7"/>
  <c r="I181" i="7"/>
  <c r="I181" i="12" s="1"/>
  <c r="D181" i="7"/>
  <c r="L181" i="7"/>
  <c r="I169" i="7"/>
  <c r="F167" i="7"/>
  <c r="M163" i="7"/>
  <c r="E163" i="7"/>
  <c r="I162" i="7"/>
  <c r="M162" i="7"/>
  <c r="J158" i="7"/>
  <c r="K155" i="7"/>
  <c r="F150" i="7"/>
  <c r="N148" i="7"/>
  <c r="F148" i="7"/>
  <c r="O47" i="3"/>
  <c r="G47" i="3"/>
  <c r="J45" i="3"/>
  <c r="P44" i="3"/>
  <c r="M42" i="3"/>
  <c r="F42" i="3"/>
  <c r="Q37" i="3"/>
  <c r="G37" i="3"/>
  <c r="F34" i="3"/>
  <c r="M34" i="3"/>
  <c r="G31" i="3"/>
  <c r="L31" i="3"/>
  <c r="C28" i="3"/>
  <c r="E28" i="3" s="1"/>
  <c r="I28" i="3"/>
  <c r="K28" i="3" s="1"/>
  <c r="N28" i="3"/>
  <c r="Q26" i="3"/>
  <c r="D26" i="3"/>
  <c r="M23" i="3"/>
  <c r="J21" i="3"/>
  <c r="J13" i="3"/>
  <c r="I9" i="3"/>
  <c r="F9" i="3"/>
  <c r="C189" i="7"/>
  <c r="D189" i="7"/>
  <c r="I189" i="7"/>
  <c r="N189" i="7"/>
  <c r="J163" i="7"/>
  <c r="M150" i="7"/>
  <c r="M148" i="7"/>
  <c r="M77" i="3"/>
  <c r="M72" i="3"/>
  <c r="F72" i="3"/>
  <c r="P71" i="3"/>
  <c r="M68" i="3"/>
  <c r="F68" i="3"/>
  <c r="O67" i="3"/>
  <c r="M66" i="3"/>
  <c r="M64" i="3"/>
  <c r="F64" i="3"/>
  <c r="H64" i="3" s="1"/>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G163" i="7"/>
  <c r="C3" i="21" s="1"/>
  <c r="K163" i="7"/>
  <c r="O163" i="7"/>
  <c r="D163" i="7"/>
  <c r="H163" i="7"/>
  <c r="L163" i="7"/>
  <c r="B155" i="7"/>
  <c r="E155" i="7"/>
  <c r="O155" i="7"/>
  <c r="F155" i="7"/>
  <c r="D150" i="7"/>
  <c r="F37" i="3"/>
  <c r="N37" i="3"/>
  <c r="I26" i="3"/>
  <c r="P26" i="3"/>
  <c r="C8" i="3"/>
  <c r="I8" i="3"/>
  <c r="N163" i="7"/>
  <c r="F163" i="7"/>
  <c r="E158" i="7"/>
  <c r="L158" i="7"/>
  <c r="F158" i="7"/>
  <c r="M158" i="7"/>
  <c r="C148" i="7"/>
  <c r="G148" i="7"/>
  <c r="K148" i="7"/>
  <c r="O148" i="7"/>
  <c r="D148" i="7"/>
  <c r="H148" i="7"/>
  <c r="L148" i="7"/>
  <c r="H144" i="7"/>
  <c r="J134" i="7"/>
  <c r="L133" i="7"/>
  <c r="N132" i="7"/>
  <c r="I132" i="7"/>
  <c r="C132" i="7"/>
  <c r="M131" i="7"/>
  <c r="F131" i="7"/>
  <c r="G121" i="7"/>
  <c r="N114" i="7"/>
  <c r="I107" i="7"/>
  <c r="J86" i="7"/>
  <c r="E86" i="7"/>
  <c r="O68" i="7"/>
  <c r="G67" i="7"/>
  <c r="E67" i="7"/>
  <c r="H65" i="7"/>
  <c r="M57" i="7"/>
  <c r="J54" i="7"/>
  <c r="H52" i="7"/>
  <c r="G51" i="7"/>
  <c r="E51" i="7"/>
  <c r="O51" i="7"/>
  <c r="G49" i="7"/>
  <c r="L45" i="7"/>
  <c r="H38"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P165" i="5"/>
  <c r="I180" i="7"/>
  <c r="I180" i="12" s="1"/>
  <c r="L175" i="7"/>
  <c r="H175" i="7"/>
  <c r="J165" i="7"/>
  <c r="O164" i="7"/>
  <c r="M161" i="7"/>
  <c r="F161" i="7"/>
  <c r="M144" i="7"/>
  <c r="E144" i="7"/>
  <c r="L136" i="7"/>
  <c r="H136" i="7"/>
  <c r="K135" i="7"/>
  <c r="F134" i="7"/>
  <c r="G133" i="7"/>
  <c r="M132" i="7"/>
  <c r="G132" i="7"/>
  <c r="B132" i="7"/>
  <c r="K131" i="7"/>
  <c r="E131" i="7"/>
  <c r="E129" i="7"/>
  <c r="M121" i="7"/>
  <c r="C121" i="7"/>
  <c r="L116" i="7"/>
  <c r="H116" i="7"/>
  <c r="L114" i="7"/>
  <c r="K112" i="7"/>
  <c r="K111" i="7"/>
  <c r="J111" i="12" s="1"/>
  <c r="G107" i="7"/>
  <c r="M105" i="7"/>
  <c r="M97" i="7"/>
  <c r="M94" i="7"/>
  <c r="L92" i="7"/>
  <c r="M89" i="7"/>
  <c r="K88" i="7"/>
  <c r="N86" i="7"/>
  <c r="I86" i="7"/>
  <c r="M72" i="7"/>
  <c r="N68" i="7"/>
  <c r="F68" i="7"/>
  <c r="E62" i="7"/>
  <c r="F62" i="7"/>
  <c r="M62" i="7"/>
  <c r="K41" i="7"/>
  <c r="F38" i="7"/>
  <c r="M35" i="7"/>
  <c r="M30" i="7"/>
  <c r="M25" i="7"/>
  <c r="C18" i="7"/>
  <c r="D18" i="7"/>
  <c r="I18" i="7"/>
  <c r="N18" i="7"/>
  <c r="E18" i="7"/>
  <c r="J18" i="7"/>
  <c r="J14" i="7"/>
  <c r="O7" i="7"/>
  <c r="E189" i="6"/>
  <c r="I189" i="6"/>
  <c r="M190" i="12" s="1"/>
  <c r="M189" i="6"/>
  <c r="C187" i="6"/>
  <c r="D187" i="6"/>
  <c r="I187" i="6"/>
  <c r="N187" i="6"/>
  <c r="E187" i="6"/>
  <c r="J187" i="6"/>
  <c r="N179" i="6"/>
  <c r="C177" i="6"/>
  <c r="G177" i="6"/>
  <c r="K177" i="6"/>
  <c r="N177" i="12" s="1"/>
  <c r="O177" i="6"/>
  <c r="D177" i="6"/>
  <c r="H177" i="6"/>
  <c r="L177" i="6"/>
  <c r="D176" i="6"/>
  <c r="E176" i="6"/>
  <c r="M176" i="6"/>
  <c r="G176" i="6"/>
  <c r="O176" i="6"/>
  <c r="M171" i="6"/>
  <c r="B164" i="6"/>
  <c r="C164" i="6"/>
  <c r="L164" i="5" s="1"/>
  <c r="O164" i="6"/>
  <c r="G164" i="6"/>
  <c r="C157" i="6"/>
  <c r="L157" i="5" s="1"/>
  <c r="M157" i="5" s="1"/>
  <c r="E157" i="6"/>
  <c r="I157" i="6"/>
  <c r="M157" i="6"/>
  <c r="B151" i="6"/>
  <c r="H151" i="6"/>
  <c r="L151" i="12" s="1"/>
  <c r="M151" i="6"/>
  <c r="D151" i="6"/>
  <c r="I151" i="6"/>
  <c r="M151" i="12" s="1"/>
  <c r="N151" i="6"/>
  <c r="E151" i="6"/>
  <c r="J151" i="6"/>
  <c r="C143" i="6"/>
  <c r="L143" i="5" s="1"/>
  <c r="M143" i="5" s="1"/>
  <c r="E143" i="6"/>
  <c r="I143" i="6"/>
  <c r="M143" i="6"/>
  <c r="J131" i="7"/>
  <c r="C49" i="7"/>
  <c r="H49" i="7"/>
  <c r="M49" i="7"/>
  <c r="D49" i="7"/>
  <c r="I49" i="7"/>
  <c r="O49" i="7"/>
  <c r="C45" i="7"/>
  <c r="D45" i="7"/>
  <c r="O45" i="7"/>
  <c r="G45" i="7"/>
  <c r="C43" i="7"/>
  <c r="F43" i="7"/>
  <c r="I43" i="7"/>
  <c r="M38"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K121" i="7"/>
  <c r="D65" i="7"/>
  <c r="E65" i="7"/>
  <c r="L65" i="7"/>
  <c r="C60" i="7"/>
  <c r="I60" i="7"/>
  <c r="B58" i="7"/>
  <c r="F58" i="7"/>
  <c r="L58" i="7"/>
  <c r="C57" i="7"/>
  <c r="K57" i="7"/>
  <c r="E57" i="7"/>
  <c r="L57" i="7"/>
  <c r="B54" i="7"/>
  <c r="H54" i="7"/>
  <c r="M54" i="7"/>
  <c r="D54" i="7"/>
  <c r="I54" i="7"/>
  <c r="N54" i="7"/>
  <c r="C52" i="7"/>
  <c r="D52" i="7"/>
  <c r="I52" i="7"/>
  <c r="N52" i="7"/>
  <c r="E52" i="7"/>
  <c r="J52" i="7"/>
  <c r="K49" i="7"/>
  <c r="E41" i="7"/>
  <c r="C41" i="7"/>
  <c r="M41" i="7"/>
  <c r="G41" i="7"/>
  <c r="D38" i="7"/>
  <c r="I38" i="7"/>
  <c r="N38" i="7"/>
  <c r="E38" i="7"/>
  <c r="J38" i="7"/>
  <c r="M22" i="7"/>
  <c r="E16" i="7"/>
  <c r="M16" i="7"/>
  <c r="C31" i="7"/>
  <c r="D26" i="7"/>
  <c r="M24" i="7"/>
  <c r="O13" i="7"/>
  <c r="C13" i="7"/>
  <c r="M8" i="7"/>
  <c r="I186" i="6"/>
  <c r="M186" i="12" s="1"/>
  <c r="M183" i="6"/>
  <c r="H183" i="6"/>
  <c r="B183" i="6"/>
  <c r="N181" i="6"/>
  <c r="J181" i="6"/>
  <c r="F181" i="6"/>
  <c r="K180" i="6"/>
  <c r="N180" i="12" s="1"/>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O25" i="6"/>
  <c r="L22" i="6"/>
  <c r="B21" i="6"/>
  <c r="F21" i="6"/>
  <c r="J21" i="6"/>
  <c r="N21" i="6"/>
  <c r="C21" i="6"/>
  <c r="G21" i="6"/>
  <c r="K21" i="6"/>
  <c r="S21" i="12" s="1"/>
  <c r="O21" i="6"/>
  <c r="C189" i="10"/>
  <c r="K189" i="10"/>
  <c r="E189" i="10"/>
  <c r="M189" i="10"/>
  <c r="G189" i="10"/>
  <c r="O189" i="10"/>
  <c r="D81" i="6"/>
  <c r="B81" i="6"/>
  <c r="J81" i="6"/>
  <c r="C67" i="6"/>
  <c r="L67" i="5" s="1"/>
  <c r="M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P36" i="5" s="1"/>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P155" i="5" s="1"/>
  <c r="I150" i="5"/>
  <c r="N143" i="5"/>
  <c r="P143" i="5" s="1"/>
  <c r="O137" i="5"/>
  <c r="P137" i="5" s="1"/>
  <c r="C135" i="5"/>
  <c r="I134" i="5"/>
  <c r="N127" i="5"/>
  <c r="O121" i="5"/>
  <c r="C119" i="5"/>
  <c r="I118" i="5"/>
  <c r="N111" i="5"/>
  <c r="P111" i="5" s="1"/>
  <c r="N108" i="5"/>
  <c r="N107" i="5"/>
  <c r="N104" i="5"/>
  <c r="N103" i="5"/>
  <c r="N100" i="5"/>
  <c r="N99" i="5"/>
  <c r="P99" i="5" s="1"/>
  <c r="N96" i="5"/>
  <c r="N95" i="5"/>
  <c r="N92" i="5"/>
  <c r="N91" i="5"/>
  <c r="N88" i="5"/>
  <c r="N87" i="5"/>
  <c r="P87" i="5" s="1"/>
  <c r="N84" i="5"/>
  <c r="N83" i="5"/>
  <c r="P83" i="5" s="1"/>
  <c r="N80" i="5"/>
  <c r="N79" i="5"/>
  <c r="N76" i="5"/>
  <c r="N75" i="5"/>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G23" i="14" s="1"/>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B11" i="14"/>
  <c r="F9" i="14"/>
  <c r="C183" i="2"/>
  <c r="I183" i="2"/>
  <c r="E183" i="2"/>
  <c r="Q183" i="2"/>
  <c r="B183" i="2"/>
  <c r="H183" i="2"/>
  <c r="M183" i="2"/>
  <c r="D183" i="2"/>
  <c r="P183" i="2"/>
  <c r="C179" i="2"/>
  <c r="D179" i="2"/>
  <c r="L179" i="2"/>
  <c r="Q179" i="2"/>
  <c r="E179" i="2"/>
  <c r="M179" i="2"/>
  <c r="R179" i="2"/>
  <c r="B179" i="2"/>
  <c r="I179" i="2"/>
  <c r="J179" i="2" s="1"/>
  <c r="K179" i="2" s="1"/>
  <c r="P179" i="2"/>
  <c r="F175" i="2"/>
  <c r="G96" i="2"/>
  <c r="C185" i="2"/>
  <c r="D185" i="2"/>
  <c r="G185" i="2" s="1"/>
  <c r="P185" i="2"/>
  <c r="B185" i="2"/>
  <c r="H185" i="2"/>
  <c r="M185" i="2"/>
  <c r="R185" i="2"/>
  <c r="I185" i="2"/>
  <c r="S185" i="2"/>
  <c r="D193" i="2"/>
  <c r="P193" i="2"/>
  <c r="B193" i="2"/>
  <c r="H193" i="2"/>
  <c r="M193" i="2"/>
  <c r="R193" i="2"/>
  <c r="C193" i="2"/>
  <c r="I193" i="2"/>
  <c r="S193" i="2"/>
  <c r="R183" i="2"/>
  <c r="C180" i="2"/>
  <c r="Q180" i="2"/>
  <c r="I180" i="2"/>
  <c r="L193" i="2"/>
  <c r="F191" i="2"/>
  <c r="G189" i="2"/>
  <c r="Q185" i="2"/>
  <c r="L183" i="2"/>
  <c r="G163" i="2"/>
  <c r="G147" i="2"/>
  <c r="E167" i="2"/>
  <c r="R181" i="2"/>
  <c r="Q171" i="2"/>
  <c r="L171" i="2"/>
  <c r="E171" i="2"/>
  <c r="Q167" i="2"/>
  <c r="L167" i="2"/>
  <c r="D167" i="2"/>
  <c r="L159" i="2"/>
  <c r="D159" i="2"/>
  <c r="I3" i="21" s="1"/>
  <c r="M192" i="2"/>
  <c r="E177" i="2"/>
  <c r="G177" i="2" s="1"/>
  <c r="I174" i="2"/>
  <c r="P171" i="2"/>
  <c r="D171" i="2"/>
  <c r="F171" i="2" s="1"/>
  <c r="C167" i="2"/>
  <c r="P159" i="2"/>
  <c r="D3" i="21" s="1"/>
  <c r="C159" i="2"/>
  <c r="H3" i="21" s="1"/>
  <c r="Q158" i="2"/>
  <c r="Q157" i="2"/>
  <c r="P155" i="2"/>
  <c r="I155" i="2"/>
  <c r="D155" i="2"/>
  <c r="P151" i="2"/>
  <c r="C151" i="2"/>
  <c r="Q150" i="2"/>
  <c r="Q149" i="2"/>
  <c r="L141" i="2"/>
  <c r="Q191" i="2"/>
  <c r="E191" i="2"/>
  <c r="G191" i="2" s="1"/>
  <c r="S190" i="2"/>
  <c r="E190" i="2"/>
  <c r="R187" i="2"/>
  <c r="M187" i="2"/>
  <c r="E187" i="2"/>
  <c r="G187" i="2" s="1"/>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N88" i="2"/>
  <c r="O88" i="2" s="1"/>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O109" i="3"/>
  <c r="G107" i="3"/>
  <c r="E107" i="5" s="1"/>
  <c r="L107" i="3"/>
  <c r="D88" i="3"/>
  <c r="J88" i="3"/>
  <c r="O88" i="3"/>
  <c r="B88" i="3"/>
  <c r="G88" i="3"/>
  <c r="E88" i="5" s="1"/>
  <c r="M88" i="3"/>
  <c r="Q88" i="3"/>
  <c r="C88" i="3"/>
  <c r="I88" i="3"/>
  <c r="N88" i="3"/>
  <c r="D84" i="3"/>
  <c r="J84" i="3"/>
  <c r="O84" i="3"/>
  <c r="B84" i="3"/>
  <c r="G84" i="3"/>
  <c r="M84" i="3"/>
  <c r="Q84" i="3"/>
  <c r="C84" i="3"/>
  <c r="I84" i="3"/>
  <c r="N84" i="3"/>
  <c r="H171" i="2"/>
  <c r="J171" i="2" s="1"/>
  <c r="K171" i="2" s="1"/>
  <c r="Q132" i="2"/>
  <c r="L132" i="2"/>
  <c r="E132" i="2"/>
  <c r="Q130" i="2"/>
  <c r="C64" i="2"/>
  <c r="H64" i="2"/>
  <c r="P64" i="2"/>
  <c r="I55" i="2"/>
  <c r="Q55" i="2"/>
  <c r="C52" i="2"/>
  <c r="I52" i="2"/>
  <c r="S52" i="2"/>
  <c r="C43" i="2"/>
  <c r="S43" i="2"/>
  <c r="D37" i="2"/>
  <c r="I37" i="2"/>
  <c r="G32" i="2"/>
  <c r="I31" i="2"/>
  <c r="C31" i="2"/>
  <c r="D29" i="2"/>
  <c r="L29" i="2"/>
  <c r="D24" i="2"/>
  <c r="I24" i="2"/>
  <c r="Q24" i="2"/>
  <c r="D185" i="3"/>
  <c r="M185" i="3"/>
  <c r="D181" i="3"/>
  <c r="P181" i="3"/>
  <c r="I173" i="3"/>
  <c r="Q173" i="3"/>
  <c r="D169" i="3"/>
  <c r="M169" i="3"/>
  <c r="D167" i="3"/>
  <c r="J167" i="3"/>
  <c r="O167" i="3"/>
  <c r="B158" i="3"/>
  <c r="C158" i="3"/>
  <c r="E158" i="3" s="1"/>
  <c r="L158" i="3"/>
  <c r="Q158" i="3"/>
  <c r="B151" i="3"/>
  <c r="G151" i="3"/>
  <c r="M151" i="3"/>
  <c r="Q151" i="3"/>
  <c r="B150" i="3"/>
  <c r="G150" i="3"/>
  <c r="E150" i="5" s="1"/>
  <c r="O150" i="3"/>
  <c r="B139" i="3"/>
  <c r="G139" i="3"/>
  <c r="E139" i="5" s="1"/>
  <c r="M139" i="3"/>
  <c r="Q139" i="3"/>
  <c r="B138" i="3"/>
  <c r="G138" i="3"/>
  <c r="E138" i="5" s="1"/>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N136" i="2"/>
  <c r="O136" i="2" s="1"/>
  <c r="P132" i="2"/>
  <c r="D132" i="2"/>
  <c r="L130" i="2"/>
  <c r="Q129" i="2"/>
  <c r="Q112" i="2"/>
  <c r="I112" i="2"/>
  <c r="D112" i="2"/>
  <c r="N104" i="2"/>
  <c r="O104" i="2" s="1"/>
  <c r="P100" i="2"/>
  <c r="D100" i="2"/>
  <c r="G100" i="2" s="1"/>
  <c r="L98" i="2"/>
  <c r="Q97" i="2"/>
  <c r="Q80" i="2"/>
  <c r="I80" i="2"/>
  <c r="D80" i="2"/>
  <c r="I73" i="2"/>
  <c r="Q73" i="2"/>
  <c r="M64" i="2"/>
  <c r="E64" i="2"/>
  <c r="B60" i="2"/>
  <c r="H60" i="2"/>
  <c r="J60" i="2" s="1"/>
  <c r="K60" i="2" s="1"/>
  <c r="M60" i="2"/>
  <c r="R60" i="2"/>
  <c r="Q58" i="2"/>
  <c r="M52" i="2"/>
  <c r="E52" i="2"/>
  <c r="I49" i="2"/>
  <c r="L49" i="2"/>
  <c r="Q42" i="2"/>
  <c r="B40" i="2"/>
  <c r="M40" i="2"/>
  <c r="S40" i="2"/>
  <c r="G28"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G40" i="2" s="1"/>
  <c r="C32" i="2"/>
  <c r="F32" i="2" s="1"/>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E162" i="3"/>
  <c r="M160" i="3"/>
  <c r="B160" i="3"/>
  <c r="N160" i="3"/>
  <c r="M159" i="3"/>
  <c r="F159" i="3"/>
  <c r="H159" i="3" s="1"/>
  <c r="P158" i="3"/>
  <c r="G158" i="3"/>
  <c r="C155" i="3"/>
  <c r="E155" i="3" s="1"/>
  <c r="I155" i="3"/>
  <c r="K155" i="3" s="1"/>
  <c r="N155" i="3"/>
  <c r="L151" i="3"/>
  <c r="D151" i="3"/>
  <c r="E151" i="3" s="1"/>
  <c r="P150" i="3"/>
  <c r="D150" i="3"/>
  <c r="M149" i="3"/>
  <c r="D147" i="3"/>
  <c r="E147" i="3" s="1"/>
  <c r="J147" i="3"/>
  <c r="K147" i="3" s="1"/>
  <c r="O147" i="3"/>
  <c r="I146" i="3"/>
  <c r="B140" i="3"/>
  <c r="Q140" i="3"/>
  <c r="L139" i="3"/>
  <c r="D139" i="3"/>
  <c r="E139" i="3" s="1"/>
  <c r="P138" i="3"/>
  <c r="D138" i="3"/>
  <c r="I136" i="3"/>
  <c r="B134" i="3"/>
  <c r="D134" i="3"/>
  <c r="M134" i="3"/>
  <c r="N131" i="3"/>
  <c r="F131" i="3"/>
  <c r="Q130" i="3"/>
  <c r="I130" i="3"/>
  <c r="P129" i="3"/>
  <c r="I129" i="3"/>
  <c r="K129" i="3" s="1"/>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K24" i="3" s="1"/>
  <c r="O24" i="3"/>
  <c r="B22" i="3"/>
  <c r="L22" i="3"/>
  <c r="B21" i="3"/>
  <c r="I21" i="3"/>
  <c r="K21" i="3" s="1"/>
  <c r="O21" i="3"/>
  <c r="M20" i="3"/>
  <c r="F20" i="3"/>
  <c r="H20" i="3" s="1"/>
  <c r="G19" i="3"/>
  <c r="E19" i="5" s="1"/>
  <c r="F19" i="5" s="1"/>
  <c r="G19" i="5" s="1"/>
  <c r="Q19" i="3"/>
  <c r="J18" i="3"/>
  <c r="B17" i="3"/>
  <c r="F17" i="3"/>
  <c r="M16" i="3"/>
  <c r="F16" i="3"/>
  <c r="P15" i="3"/>
  <c r="G15" i="3"/>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H44" i="3" s="1"/>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B179" i="7"/>
  <c r="F179" i="7"/>
  <c r="J179" i="7"/>
  <c r="N179" i="7"/>
  <c r="C179" i="7"/>
  <c r="G179" i="7"/>
  <c r="K179" i="7"/>
  <c r="O179" i="7"/>
  <c r="D179" i="7"/>
  <c r="H179" i="7"/>
  <c r="L179" i="7"/>
  <c r="E64" i="3"/>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K10" i="3" s="1"/>
  <c r="P10" i="3"/>
  <c r="N8" i="3"/>
  <c r="F8" i="3"/>
  <c r="I184" i="7"/>
  <c r="I179" i="7"/>
  <c r="F173" i="7"/>
  <c r="O183" i="7"/>
  <c r="K183" i="7"/>
  <c r="G183" i="7"/>
  <c r="C183" i="7"/>
  <c r="N177" i="7"/>
  <c r="I177" i="7"/>
  <c r="D177" i="7"/>
  <c r="O171" i="7"/>
  <c r="K171" i="7"/>
  <c r="G171" i="7"/>
  <c r="C171" i="7"/>
  <c r="I170" i="7"/>
  <c r="I170" i="12" s="1"/>
  <c r="N165" i="7"/>
  <c r="I165" i="7"/>
  <c r="D165" i="7"/>
  <c r="M164" i="7"/>
  <c r="E164" i="7"/>
  <c r="I157" i="7"/>
  <c r="N155" i="7"/>
  <c r="I155" i="7"/>
  <c r="C155" i="7"/>
  <c r="F151" i="7"/>
  <c r="K145" i="7"/>
  <c r="E145" i="7"/>
  <c r="O144" i="7"/>
  <c r="K144" i="7"/>
  <c r="G144" i="7"/>
  <c r="C144" i="7"/>
  <c r="I135" i="7"/>
  <c r="N134" i="7"/>
  <c r="I134" i="7"/>
  <c r="D134" i="7"/>
  <c r="I129" i="7"/>
  <c r="D129" i="7"/>
  <c r="N123" i="7"/>
  <c r="I123" i="7"/>
  <c r="C123" i="7"/>
  <c r="B119" i="7"/>
  <c r="I119" i="7"/>
  <c r="D118" i="7"/>
  <c r="I118" i="7"/>
  <c r="N118" i="7"/>
  <c r="K113" i="7"/>
  <c r="B112" i="7"/>
  <c r="F112" i="7"/>
  <c r="J112" i="7"/>
  <c r="N112" i="7"/>
  <c r="K107" i="7"/>
  <c r="K105" i="7"/>
  <c r="N103" i="7"/>
  <c r="G92" i="7"/>
  <c r="F88" i="7"/>
  <c r="B87" i="7"/>
  <c r="C87" i="7"/>
  <c r="N87" i="7"/>
  <c r="I87" i="7"/>
  <c r="K87" i="7"/>
  <c r="K83" i="7"/>
  <c r="N183" i="7"/>
  <c r="J183" i="7"/>
  <c r="F183" i="7"/>
  <c r="J181" i="7"/>
  <c r="E181" i="7"/>
  <c r="O180" i="7"/>
  <c r="G180" i="7"/>
  <c r="M177" i="7"/>
  <c r="H177" i="7"/>
  <c r="B177" i="7"/>
  <c r="N171" i="7"/>
  <c r="J171" i="7"/>
  <c r="F171" i="7"/>
  <c r="H167" i="7"/>
  <c r="M166" i="7"/>
  <c r="M165" i="7"/>
  <c r="H165" i="7"/>
  <c r="B165" i="7"/>
  <c r="K164" i="7"/>
  <c r="C164" i="7"/>
  <c r="J161" i="7"/>
  <c r="E161" i="7"/>
  <c r="G157" i="7"/>
  <c r="M155" i="7"/>
  <c r="G155" i="7"/>
  <c r="L152" i="7"/>
  <c r="H152" i="7"/>
  <c r="N151" i="7"/>
  <c r="C151" i="7"/>
  <c r="O145" i="7"/>
  <c r="I145" i="7"/>
  <c r="D145" i="7"/>
  <c r="N144" i="7"/>
  <c r="J144" i="7"/>
  <c r="F144" i="7"/>
  <c r="F135" i="7"/>
  <c r="M134" i="7"/>
  <c r="H134" i="7"/>
  <c r="L132" i="7"/>
  <c r="H132" i="7"/>
  <c r="M123" i="7"/>
  <c r="G123" i="7"/>
  <c r="H121" i="7"/>
  <c r="K119" i="7"/>
  <c r="F118" i="7"/>
  <c r="B114" i="7"/>
  <c r="I114" i="7"/>
  <c r="D113" i="7"/>
  <c r="I113" i="7"/>
  <c r="O113" i="7"/>
  <c r="E107" i="7"/>
  <c r="J107" i="7"/>
  <c r="O107" i="7"/>
  <c r="F107" i="7"/>
  <c r="M107" i="7"/>
  <c r="G105" i="7"/>
  <c r="F103" i="7"/>
  <c r="M92" i="7"/>
  <c r="M88" i="7"/>
  <c r="B82" i="7"/>
  <c r="D82" i="7"/>
  <c r="N82" i="7"/>
  <c r="I82" i="7"/>
  <c r="I82" i="12" s="1"/>
  <c r="L82" i="7"/>
  <c r="E166" i="7"/>
  <c r="O157" i="7"/>
  <c r="D157" i="7"/>
  <c r="M145" i="7"/>
  <c r="H145" i="7"/>
  <c r="N135" i="7"/>
  <c r="C135" i="7"/>
  <c r="N130" i="7"/>
  <c r="C117"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B99" i="7"/>
  <c r="J99" i="7"/>
  <c r="H92" i="7"/>
  <c r="G88" i="7"/>
  <c r="F83" i="7"/>
  <c r="M83" i="7"/>
  <c r="E83" i="7"/>
  <c r="O83" i="7"/>
  <c r="G83" i="7"/>
  <c r="L80" i="7"/>
  <c r="E80" i="7"/>
  <c r="O80" i="7"/>
  <c r="E78" i="7"/>
  <c r="L78" i="7"/>
  <c r="H78" i="7"/>
  <c r="H78" i="12" s="1"/>
  <c r="B78" i="7"/>
  <c r="M78" i="7"/>
  <c r="F78" i="7"/>
  <c r="B96" i="7"/>
  <c r="F96" i="7"/>
  <c r="J96" i="7"/>
  <c r="N96" i="7"/>
  <c r="C93" i="7"/>
  <c r="G93" i="7"/>
  <c r="B91" i="7"/>
  <c r="G91" i="7"/>
  <c r="M91" i="7"/>
  <c r="C84" i="7"/>
  <c r="K84" i="7"/>
  <c r="B79" i="7"/>
  <c r="K79" i="7"/>
  <c r="B72" i="7"/>
  <c r="F72" i="7"/>
  <c r="J72" i="7"/>
  <c r="N72" i="7"/>
  <c r="K67" i="7"/>
  <c r="M64" i="7"/>
  <c r="E64" i="7"/>
  <c r="M60" i="7"/>
  <c r="E60" i="7"/>
  <c r="E59" i="7"/>
  <c r="O59" i="7"/>
  <c r="K55" i="7"/>
  <c r="K51" i="7"/>
  <c r="N43" i="7"/>
  <c r="C29" i="7"/>
  <c r="G29" i="7"/>
  <c r="I24" i="7"/>
  <c r="I16" i="7"/>
  <c r="C185" i="6"/>
  <c r="G185" i="6"/>
  <c r="K185" i="6"/>
  <c r="N185" i="12" s="1"/>
  <c r="O185" i="6"/>
  <c r="D185" i="6"/>
  <c r="H185" i="6"/>
  <c r="L185" i="6"/>
  <c r="B185" i="6"/>
  <c r="F185" i="6"/>
  <c r="J185" i="6"/>
  <c r="N185" i="6"/>
  <c r="B98" i="7"/>
  <c r="I98" i="7"/>
  <c r="D97" i="7"/>
  <c r="I97" i="7"/>
  <c r="O97" i="7"/>
  <c r="K96" i="7"/>
  <c r="E96" i="7"/>
  <c r="L93" i="7"/>
  <c r="N91" i="7"/>
  <c r="F91" i="7"/>
  <c r="E73" i="7"/>
  <c r="K72" i="7"/>
  <c r="E72" i="7"/>
  <c r="B71" i="7"/>
  <c r="I71" i="7"/>
  <c r="D70" i="7"/>
  <c r="I70" i="7"/>
  <c r="N70" i="7"/>
  <c r="K64" i="7"/>
  <c r="K60" i="7"/>
  <c r="B43" i="7"/>
  <c r="G43" i="7"/>
  <c r="M43" i="7"/>
  <c r="E43" i="7"/>
  <c r="J43" i="7"/>
  <c r="O43"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C53" i="7"/>
  <c r="G53" i="7"/>
  <c r="B51" i="7"/>
  <c r="J51" i="7"/>
  <c r="F51" i="7"/>
  <c r="M51" i="7"/>
  <c r="D11" i="7"/>
  <c r="E11" i="7"/>
  <c r="M11" i="7"/>
  <c r="G11" i="7"/>
  <c r="O11" i="7"/>
  <c r="C11" i="7"/>
  <c r="K11" i="7"/>
  <c r="D188" i="6"/>
  <c r="E188" i="6"/>
  <c r="M188" i="6"/>
  <c r="G188" i="6"/>
  <c r="O188" i="6"/>
  <c r="C188" i="6"/>
  <c r="K188" i="6"/>
  <c r="O65" i="7"/>
  <c r="I65" i="7"/>
  <c r="O52" i="7"/>
  <c r="K52" i="7"/>
  <c r="G52" i="7"/>
  <c r="L46" i="7"/>
  <c r="L42" i="7"/>
  <c r="L41" i="7"/>
  <c r="G37" i="7"/>
  <c r="K35" i="7"/>
  <c r="F31" i="7"/>
  <c r="L30" i="7"/>
  <c r="F26" i="7"/>
  <c r="L25" i="7"/>
  <c r="N22" i="7"/>
  <c r="I22" i="7"/>
  <c r="D22" i="7"/>
  <c r="M21" i="7"/>
  <c r="N14" i="7"/>
  <c r="I14" i="7"/>
  <c r="D14" i="7"/>
  <c r="M13" i="7"/>
  <c r="O8" i="7"/>
  <c r="K8" i="7"/>
  <c r="M7" i="7"/>
  <c r="E7" i="7"/>
  <c r="J179" i="6"/>
  <c r="E179" i="6"/>
  <c r="I178" i="6"/>
  <c r="J175" i="6"/>
  <c r="E175" i="6"/>
  <c r="L173" i="6"/>
  <c r="H173" i="6"/>
  <c r="D173" i="6"/>
  <c r="O172" i="6"/>
  <c r="G172" i="6"/>
  <c r="N171" i="6"/>
  <c r="I171" i="6"/>
  <c r="L169" i="6"/>
  <c r="H169" i="6"/>
  <c r="D169" i="6"/>
  <c r="O168" i="6"/>
  <c r="G168" i="6"/>
  <c r="N167" i="6"/>
  <c r="I167" i="6"/>
  <c r="O165" i="6"/>
  <c r="K165" i="6"/>
  <c r="R165" i="12" s="1"/>
  <c r="G165" i="6"/>
  <c r="M164" i="6"/>
  <c r="E164" i="6"/>
  <c r="M163" i="6"/>
  <c r="E233" i="2" s="1"/>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H139" i="6"/>
  <c r="P139" i="12" s="1"/>
  <c r="D139" i="6"/>
  <c r="O138" i="6"/>
  <c r="J138" i="6"/>
  <c r="E138" i="6"/>
  <c r="N137" i="6"/>
  <c r="D137" i="6"/>
  <c r="K136" i="6"/>
  <c r="C136" i="6"/>
  <c r="M133" i="6"/>
  <c r="H133" i="6"/>
  <c r="B133" i="6"/>
  <c r="I132" i="6"/>
  <c r="O131" i="6"/>
  <c r="K131" i="6"/>
  <c r="G131" i="6"/>
  <c r="M130" i="6"/>
  <c r="F130" i="6"/>
  <c r="F129" i="6"/>
  <c r="L128" i="6"/>
  <c r="O128" i="12" s="1"/>
  <c r="M127" i="6"/>
  <c r="H127" i="6"/>
  <c r="F125" i="6"/>
  <c r="M125" i="6"/>
  <c r="M123" i="6"/>
  <c r="G123" i="6"/>
  <c r="K122" i="6"/>
  <c r="C120" i="6"/>
  <c r="K120" i="6"/>
  <c r="N120" i="12" s="1"/>
  <c r="J117" i="6"/>
  <c r="M115" i="6"/>
  <c r="H115" i="6"/>
  <c r="F114" i="6"/>
  <c r="M114" i="6"/>
  <c r="D111" i="6"/>
  <c r="H111" i="6"/>
  <c r="L111" i="6"/>
  <c r="B110" i="6"/>
  <c r="C110" i="6"/>
  <c r="N110" i="6"/>
  <c r="K107" i="6"/>
  <c r="S107" i="12" s="1"/>
  <c r="E107" i="6"/>
  <c r="J105" i="6"/>
  <c r="I104" i="6"/>
  <c r="Q104" i="12" s="1"/>
  <c r="O103" i="6"/>
  <c r="I103" i="6"/>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L116" i="5" s="1"/>
  <c r="I116" i="6"/>
  <c r="Q116" i="12" s="1"/>
  <c r="J115" i="6"/>
  <c r="E115" i="6"/>
  <c r="M107" i="6"/>
  <c r="H107" i="6"/>
  <c r="M105" i="6"/>
  <c r="F105" i="6"/>
  <c r="O104" i="6"/>
  <c r="B103" i="6"/>
  <c r="F103" i="6"/>
  <c r="J103" i="6"/>
  <c r="N103" i="6"/>
  <c r="K100" i="6"/>
  <c r="R100" i="12" s="1"/>
  <c r="D97" i="6"/>
  <c r="I97" i="6"/>
  <c r="N97" i="6"/>
  <c r="M95" i="6"/>
  <c r="H95" i="6"/>
  <c r="P95" i="12" s="1"/>
  <c r="C94" i="6"/>
  <c r="E94" i="6"/>
  <c r="K91" i="6"/>
  <c r="E91" i="6"/>
  <c r="J89" i="6"/>
  <c r="I88" i="6"/>
  <c r="C86" i="6"/>
  <c r="M86" i="6"/>
  <c r="E86" i="6"/>
  <c r="D83" i="6"/>
  <c r="H83" i="6"/>
  <c r="L83" i="6"/>
  <c r="B83" i="6"/>
  <c r="F83" i="6"/>
  <c r="J83" i="6"/>
  <c r="N83" i="6"/>
  <c r="O79" i="6"/>
  <c r="G79" i="6"/>
  <c r="K75" i="6"/>
  <c r="D71" i="6"/>
  <c r="H71" i="6"/>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N89" i="6"/>
  <c r="G88" i="6"/>
  <c r="M79" i="6"/>
  <c r="E79" i="6"/>
  <c r="C78" i="6"/>
  <c r="M78" i="6"/>
  <c r="E78" i="6"/>
  <c r="D75" i="6"/>
  <c r="H75" i="6"/>
  <c r="L75" i="6"/>
  <c r="O75" i="12" s="1"/>
  <c r="B75" i="6"/>
  <c r="F75" i="6"/>
  <c r="J75" i="6"/>
  <c r="N75" i="6"/>
  <c r="H65" i="6"/>
  <c r="P65" i="12" s="1"/>
  <c r="D63" i="6"/>
  <c r="H63" i="6"/>
  <c r="L63" i="6"/>
  <c r="B63" i="6"/>
  <c r="F63" i="6"/>
  <c r="J63" i="6"/>
  <c r="N63" i="6"/>
  <c r="F62" i="6"/>
  <c r="B57" i="6"/>
  <c r="H57" i="6"/>
  <c r="L57" i="12" s="1"/>
  <c r="M57" i="6"/>
  <c r="E57" i="6"/>
  <c r="J57" i="6"/>
  <c r="F54" i="6"/>
  <c r="M54" i="6"/>
  <c r="G54" i="6"/>
  <c r="B54" i="6"/>
  <c r="K54" i="6"/>
  <c r="S54" i="12" s="1"/>
  <c r="N81" i="6"/>
  <c r="I81" i="6"/>
  <c r="M80" i="6"/>
  <c r="N73" i="6"/>
  <c r="I73" i="6"/>
  <c r="M72" i="6"/>
  <c r="L64" i="6"/>
  <c r="O59" i="6"/>
  <c r="K59" i="6"/>
  <c r="G59" i="6"/>
  <c r="L55" i="6"/>
  <c r="H55" i="6"/>
  <c r="P55" i="12" s="1"/>
  <c r="D55" i="6"/>
  <c r="D51" i="6"/>
  <c r="H51" i="6"/>
  <c r="L51" i="6"/>
  <c r="O51" i="12" s="1"/>
  <c r="C50" i="6"/>
  <c r="N50" i="6"/>
  <c r="L48" i="6"/>
  <c r="M47" i="6"/>
  <c r="H47" i="6"/>
  <c r="K46" i="6"/>
  <c r="S46" i="12" s="1"/>
  <c r="M43" i="6"/>
  <c r="G43" i="6"/>
  <c r="M39" i="6"/>
  <c r="H39" i="6"/>
  <c r="L39" i="12" s="1"/>
  <c r="E38" i="6"/>
  <c r="K38" i="6"/>
  <c r="M35" i="6"/>
  <c r="D31" i="6"/>
  <c r="H31" i="6"/>
  <c r="L31" i="6"/>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C42" i="6"/>
  <c r="L42" i="5" s="1"/>
  <c r="N42" i="6"/>
  <c r="B39" i="6"/>
  <c r="F39" i="6"/>
  <c r="J39" i="6"/>
  <c r="N39" i="6"/>
  <c r="D26" i="6"/>
  <c r="O26" i="6"/>
  <c r="I26" i="6"/>
  <c r="Q26" i="12" s="1"/>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E39" i="6"/>
  <c r="D37" i="6"/>
  <c r="F37" i="6"/>
  <c r="D35" i="6"/>
  <c r="H35" i="6"/>
  <c r="L35" i="6"/>
  <c r="B35" i="6"/>
  <c r="F35" i="6"/>
  <c r="J35" i="6"/>
  <c r="D27" i="6"/>
  <c r="H27" i="6"/>
  <c r="L27" i="6"/>
  <c r="B27" i="6"/>
  <c r="F27" i="6"/>
  <c r="J27" i="6"/>
  <c r="N27" i="6"/>
  <c r="K24" i="6"/>
  <c r="O22" i="6"/>
  <c r="L19" i="6"/>
  <c r="O19" i="12" s="1"/>
  <c r="D14" i="6"/>
  <c r="C14" i="6"/>
  <c r="K14" i="6"/>
  <c r="S14" i="12" s="1"/>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O33" i="12" s="1"/>
  <c r="N29" i="6"/>
  <c r="I29" i="6"/>
  <c r="M29" i="12" s="1"/>
  <c r="D29" i="6"/>
  <c r="O17" i="6"/>
  <c r="K17" i="6"/>
  <c r="G17" i="6"/>
  <c r="N16" i="6"/>
  <c r="I16" i="6"/>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I162" i="5"/>
  <c r="K160" i="5"/>
  <c r="C160" i="5"/>
  <c r="O160" i="5"/>
  <c r="P160" i="5" s="1"/>
  <c r="I156" i="5"/>
  <c r="C150" i="5"/>
  <c r="O150" i="5"/>
  <c r="P150" i="5" s="1"/>
  <c r="K150" i="5"/>
  <c r="H68" i="3"/>
  <c r="P163" i="5"/>
  <c r="P159" i="5"/>
  <c r="P151" i="5"/>
  <c r="K146" i="5"/>
  <c r="K142" i="5"/>
  <c r="P139" i="5"/>
  <c r="K138" i="5"/>
  <c r="K134" i="5"/>
  <c r="K130" i="5"/>
  <c r="K126" i="5"/>
  <c r="K122" i="5"/>
  <c r="K118" i="5"/>
  <c r="K114" i="5"/>
  <c r="K110" i="5"/>
  <c r="O108" i="5"/>
  <c r="P108" i="5" s="1"/>
  <c r="C108" i="5"/>
  <c r="P107" i="5"/>
  <c r="K106" i="5"/>
  <c r="O104" i="5"/>
  <c r="P104" i="5" s="1"/>
  <c r="C104" i="5"/>
  <c r="K102" i="5"/>
  <c r="O100" i="5"/>
  <c r="C100" i="5"/>
  <c r="K98" i="5"/>
  <c r="O96" i="5"/>
  <c r="C96" i="5"/>
  <c r="K94" i="5"/>
  <c r="O92" i="5"/>
  <c r="P92" i="5" s="1"/>
  <c r="C92" i="5"/>
  <c r="K90" i="5"/>
  <c r="O88" i="5"/>
  <c r="C88" i="5"/>
  <c r="K86" i="5"/>
  <c r="O84" i="5"/>
  <c r="P84" i="5" s="1"/>
  <c r="C84" i="5"/>
  <c r="K82" i="5"/>
  <c r="O80" i="5"/>
  <c r="P80" i="5" s="1"/>
  <c r="C80" i="5"/>
  <c r="K78" i="5"/>
  <c r="O76" i="5"/>
  <c r="C76" i="5"/>
  <c r="K74" i="5"/>
  <c r="O72" i="5"/>
  <c r="P72" i="5" s="1"/>
  <c r="C72" i="5"/>
  <c r="K70" i="5"/>
  <c r="O68" i="5"/>
  <c r="P68" i="5" s="1"/>
  <c r="C68" i="5"/>
  <c r="P67"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K53" i="3"/>
  <c r="H48" i="3"/>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P73" i="5"/>
  <c r="K72" i="5"/>
  <c r="O70" i="5"/>
  <c r="K68" i="5"/>
  <c r="O66" i="5"/>
  <c r="P66" i="5" s="1"/>
  <c r="K64" i="5"/>
  <c r="O49" i="5"/>
  <c r="C49" i="5"/>
  <c r="K47" i="5"/>
  <c r="I46" i="5"/>
  <c r="O45" i="5"/>
  <c r="C45" i="5"/>
  <c r="K43" i="5"/>
  <c r="I42" i="5"/>
  <c r="O41" i="5"/>
  <c r="C41" i="5"/>
  <c r="K39" i="5"/>
  <c r="I38" i="5"/>
  <c r="O37" i="5"/>
  <c r="C37" i="5"/>
  <c r="K35" i="5"/>
  <c r="I34" i="5"/>
  <c r="O33" i="5"/>
  <c r="C33" i="5"/>
  <c r="K31" i="5"/>
  <c r="I30" i="5"/>
  <c r="O29" i="5"/>
  <c r="C29" i="5"/>
  <c r="K27" i="5"/>
  <c r="I26" i="5"/>
  <c r="O25" i="5"/>
  <c r="P25" i="5" s="1"/>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23"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6"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F193"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H160" i="2"/>
  <c r="M160" i="2"/>
  <c r="N160" i="2" s="1"/>
  <c r="O160" i="2" s="1"/>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F132" i="2"/>
  <c r="C130" i="2"/>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F98" i="2" s="1"/>
  <c r="S98" i="2"/>
  <c r="B98" i="2"/>
  <c r="H98" i="2"/>
  <c r="J98" i="2" s="1"/>
  <c r="K98" i="2" s="1"/>
  <c r="M98" i="2"/>
  <c r="R98" i="2"/>
  <c r="E98" i="2"/>
  <c r="G98" i="2" s="1"/>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J74" i="2" s="1"/>
  <c r="K74" i="2" s="1"/>
  <c r="M74" i="2"/>
  <c r="R74" i="2"/>
  <c r="E74" i="2"/>
  <c r="P74" i="2"/>
  <c r="S71" i="2"/>
  <c r="Q70" i="2"/>
  <c r="C66" i="2"/>
  <c r="S66" i="2"/>
  <c r="B66" i="2"/>
  <c r="H66" i="2"/>
  <c r="M66" i="2"/>
  <c r="N66" i="2" s="1"/>
  <c r="O66" i="2" s="1"/>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N34" i="2" s="1"/>
  <c r="O34" i="2" s="1"/>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N169" i="2" s="1"/>
  <c r="O169" i="2" s="1"/>
  <c r="R169" i="2"/>
  <c r="E169" i="2"/>
  <c r="G169" i="2" s="1"/>
  <c r="P169" i="2"/>
  <c r="D164" i="2"/>
  <c r="C161" i="2"/>
  <c r="F161" i="2" s="1"/>
  <c r="S161" i="2"/>
  <c r="B161" i="2"/>
  <c r="H161" i="2"/>
  <c r="M161" i="2"/>
  <c r="N161" i="2" s="1"/>
  <c r="O161" i="2" s="1"/>
  <c r="R161" i="2"/>
  <c r="E161" i="2"/>
  <c r="G161" i="2" s="1"/>
  <c r="P161" i="2"/>
  <c r="D156" i="2"/>
  <c r="C153" i="2"/>
  <c r="F153" i="2" s="1"/>
  <c r="S153" i="2"/>
  <c r="B153" i="2"/>
  <c r="H153" i="2"/>
  <c r="J153" i="2" s="1"/>
  <c r="K153" i="2" s="1"/>
  <c r="M153" i="2"/>
  <c r="R153" i="2"/>
  <c r="E153" i="2"/>
  <c r="G153" i="2" s="1"/>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J123" i="2" s="1"/>
  <c r="K123" i="2" s="1"/>
  <c r="L123" i="2"/>
  <c r="P123" i="2"/>
  <c r="E123" i="2"/>
  <c r="B123" i="2"/>
  <c r="M123" i="2"/>
  <c r="R123" i="2"/>
  <c r="B117" i="2"/>
  <c r="R117" i="2"/>
  <c r="C117" i="2"/>
  <c r="F117" i="2" s="1"/>
  <c r="H117" i="2"/>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N85" i="2" s="1"/>
  <c r="O85" i="2" s="1"/>
  <c r="S85" i="2"/>
  <c r="E85" i="2"/>
  <c r="G85" i="2" s="1"/>
  <c r="P85" i="2"/>
  <c r="D83" i="2"/>
  <c r="H83" i="2"/>
  <c r="J83" i="2" s="1"/>
  <c r="K83" i="2" s="1"/>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F69" i="2" s="1"/>
  <c r="H69" i="2"/>
  <c r="M69" i="2"/>
  <c r="N69" i="2" s="1"/>
  <c r="O69" i="2" s="1"/>
  <c r="S69" i="2"/>
  <c r="E69" i="2"/>
  <c r="G69" i="2" s="1"/>
  <c r="P69" i="2"/>
  <c r="D67" i="2"/>
  <c r="H67" i="2"/>
  <c r="J67" i="2" s="1"/>
  <c r="K67" i="2" s="1"/>
  <c r="L67" i="2"/>
  <c r="P67" i="2"/>
  <c r="E67" i="2"/>
  <c r="B67" i="2"/>
  <c r="M67" i="2"/>
  <c r="R67" i="2"/>
  <c r="B61" i="2"/>
  <c r="R61" i="2"/>
  <c r="C61" i="2"/>
  <c r="F61" i="2" s="1"/>
  <c r="H61" i="2"/>
  <c r="J61" i="2" s="1"/>
  <c r="K61" i="2" s="1"/>
  <c r="M61" i="2"/>
  <c r="S61" i="2"/>
  <c r="E61" i="2"/>
  <c r="G61" i="2" s="1"/>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N45" i="2" s="1"/>
  <c r="O45" i="2" s="1"/>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H4" i="21" s="1"/>
  <c r="S38" i="2"/>
  <c r="E38" i="2"/>
  <c r="P38" i="2"/>
  <c r="D4" i="21" s="1"/>
  <c r="B38" i="2"/>
  <c r="H38" i="2"/>
  <c r="B4" i="21" s="1"/>
  <c r="M38" i="2"/>
  <c r="N38" i="2" s="1"/>
  <c r="O38" i="2" s="1"/>
  <c r="R38" i="2"/>
  <c r="E4" i="21" s="1"/>
  <c r="C30" i="2"/>
  <c r="S30" i="2"/>
  <c r="E30" i="2"/>
  <c r="P30" i="2"/>
  <c r="B30" i="2"/>
  <c r="H30" i="2"/>
  <c r="M30" i="2"/>
  <c r="N30" i="2" s="1"/>
  <c r="O30" i="2" s="1"/>
  <c r="R30" i="2"/>
  <c r="G16" i="2"/>
  <c r="F16"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L184" i="2"/>
  <c r="N184" i="2" s="1"/>
  <c r="O184" i="2" s="1"/>
  <c r="P184" i="2"/>
  <c r="D182" i="2"/>
  <c r="H182" i="2"/>
  <c r="L182" i="2"/>
  <c r="N182" i="2" s="1"/>
  <c r="O182" i="2" s="1"/>
  <c r="P182" i="2"/>
  <c r="B182" i="2"/>
  <c r="R182" i="2"/>
  <c r="M180" i="2"/>
  <c r="E180" i="2"/>
  <c r="F179"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F160" i="2"/>
  <c r="C157" i="2"/>
  <c r="F157" i="2" s="1"/>
  <c r="S157" i="2"/>
  <c r="E157" i="2"/>
  <c r="G157" i="2" s="1"/>
  <c r="P157" i="2"/>
  <c r="B157" i="2"/>
  <c r="H157" i="2"/>
  <c r="J157" i="2" s="1"/>
  <c r="K157" i="2" s="1"/>
  <c r="M157" i="2"/>
  <c r="N157" i="2" s="1"/>
  <c r="O157" i="2" s="1"/>
  <c r="R157" i="2"/>
  <c r="I156" i="2"/>
  <c r="S154" i="2"/>
  <c r="I154" i="2"/>
  <c r="Q153" i="2"/>
  <c r="C149" i="2"/>
  <c r="S149" i="2"/>
  <c r="E149" i="2"/>
  <c r="P149" i="2"/>
  <c r="B149" i="2"/>
  <c r="H149" i="2"/>
  <c r="J149" i="2" s="1"/>
  <c r="K149" i="2" s="1"/>
  <c r="M149" i="2"/>
  <c r="R149" i="2"/>
  <c r="I148" i="2"/>
  <c r="S146" i="2"/>
  <c r="I146" i="2"/>
  <c r="Q145" i="2"/>
  <c r="D143" i="2"/>
  <c r="H143" i="2"/>
  <c r="J143" i="2" s="1"/>
  <c r="M143" i="2"/>
  <c r="N143" i="2" s="1"/>
  <c r="O143" i="2" s="1"/>
  <c r="Q143" i="2"/>
  <c r="B143" i="2"/>
  <c r="S143" i="2"/>
  <c r="E143" i="2"/>
  <c r="P143" i="2"/>
  <c r="I142" i="2"/>
  <c r="Q141" i="2"/>
  <c r="Q139" i="2"/>
  <c r="B137" i="2"/>
  <c r="R137" i="2"/>
  <c r="E137" i="2"/>
  <c r="G137" i="2" s="1"/>
  <c r="P137" i="2"/>
  <c r="C137" i="2"/>
  <c r="F137" i="2" s="1"/>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N105" i="2" s="1"/>
  <c r="O105" i="2" s="1"/>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G81" i="2" s="1"/>
  <c r="P81" i="2"/>
  <c r="C81" i="2"/>
  <c r="F81" i="2" s="1"/>
  <c r="H81" i="2"/>
  <c r="J81" i="2" s="1"/>
  <c r="K81" i="2" s="1"/>
  <c r="M81" i="2"/>
  <c r="S81" i="2"/>
  <c r="D79" i="2"/>
  <c r="H79" i="2"/>
  <c r="L79" i="2"/>
  <c r="P79" i="2"/>
  <c r="B79" i="2"/>
  <c r="M79" i="2"/>
  <c r="R79" i="2"/>
  <c r="E79" i="2"/>
  <c r="I78" i="2"/>
  <c r="Q77" i="2"/>
  <c r="Q75" i="2"/>
  <c r="G74" i="2"/>
  <c r="B73" i="2"/>
  <c r="R73" i="2"/>
  <c r="E73" i="2"/>
  <c r="P73" i="2"/>
  <c r="C73" i="2"/>
  <c r="F73" i="2" s="1"/>
  <c r="H73" i="2"/>
  <c r="J73" i="2" s="1"/>
  <c r="K73" i="2" s="1"/>
  <c r="M73" i="2"/>
  <c r="S73" i="2"/>
  <c r="D71" i="2"/>
  <c r="H71" i="2"/>
  <c r="L71" i="2"/>
  <c r="P71" i="2"/>
  <c r="B71" i="2"/>
  <c r="M71" i="2"/>
  <c r="R71" i="2"/>
  <c r="E71" i="2"/>
  <c r="I70" i="2"/>
  <c r="Q69" i="2"/>
  <c r="Q67" i="2"/>
  <c r="B65" i="2"/>
  <c r="R65" i="2"/>
  <c r="E65" i="2"/>
  <c r="G65" i="2" s="1"/>
  <c r="P65" i="2"/>
  <c r="C65" i="2"/>
  <c r="F65" i="2" s="1"/>
  <c r="H65" i="2"/>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N49" i="2" s="1"/>
  <c r="O49" i="2" s="1"/>
  <c r="S49" i="2"/>
  <c r="D47" i="2"/>
  <c r="H47" i="2"/>
  <c r="J47" i="2" s="1"/>
  <c r="K47" i="2" s="1"/>
  <c r="L47" i="2"/>
  <c r="P47" i="2"/>
  <c r="B47" i="2"/>
  <c r="M47" i="2"/>
  <c r="R47" i="2"/>
  <c r="E47" i="2"/>
  <c r="I46" i="2"/>
  <c r="Q45" i="2"/>
  <c r="Q43" i="2"/>
  <c r="B41" i="2"/>
  <c r="R41" i="2"/>
  <c r="E41" i="2"/>
  <c r="P41" i="2"/>
  <c r="C41" i="2"/>
  <c r="H41" i="2"/>
  <c r="M41" i="2"/>
  <c r="N41" i="2" s="1"/>
  <c r="O41" i="2" s="1"/>
  <c r="S41" i="2"/>
  <c r="D39" i="2"/>
  <c r="H39" i="2"/>
  <c r="J39" i="2" s="1"/>
  <c r="K39" i="2" s="1"/>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J25" i="2" s="1"/>
  <c r="K25" i="2" s="1"/>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G18" i="2" s="1"/>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H168" i="3" s="1"/>
  <c r="O168" i="3"/>
  <c r="C165" i="3"/>
  <c r="E165" i="3" s="1"/>
  <c r="G165" i="3"/>
  <c r="O165" i="3"/>
  <c r="B165" i="3"/>
  <c r="F165" i="3"/>
  <c r="J165" i="3"/>
  <c r="K165" i="3" s="1"/>
  <c r="N165" i="3"/>
  <c r="J164" i="3"/>
  <c r="K164" i="3" s="1"/>
  <c r="L161" i="3"/>
  <c r="N156" i="3"/>
  <c r="F156" i="3"/>
  <c r="P153" i="3"/>
  <c r="K152" i="3"/>
  <c r="D152" i="3"/>
  <c r="L152" i="3"/>
  <c r="P152" i="3"/>
  <c r="C152" i="3"/>
  <c r="G152" i="3"/>
  <c r="O152" i="3"/>
  <c r="C149" i="3"/>
  <c r="E149" i="3" s="1"/>
  <c r="G149" i="3"/>
  <c r="E149" i="5" s="1"/>
  <c r="O149" i="3"/>
  <c r="B149" i="3"/>
  <c r="F149" i="3"/>
  <c r="J149" i="3"/>
  <c r="K149" i="3" s="1"/>
  <c r="N149" i="3"/>
  <c r="J148" i="3"/>
  <c r="K148" i="3" s="1"/>
  <c r="L145" i="3"/>
  <c r="E142" i="3"/>
  <c r="N140" i="3"/>
  <c r="F140" i="3"/>
  <c r="P137" i="3"/>
  <c r="K136" i="3"/>
  <c r="D136" i="3"/>
  <c r="L136" i="3"/>
  <c r="P136" i="3"/>
  <c r="C136" i="3"/>
  <c r="G136" i="3"/>
  <c r="O136" i="3"/>
  <c r="C133" i="3"/>
  <c r="E133" i="3" s="1"/>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F21" i="2" s="1"/>
  <c r="R18" i="2"/>
  <c r="M18" i="2"/>
  <c r="H18" i="2"/>
  <c r="J18" i="2" s="1"/>
  <c r="K18" i="2" s="1"/>
  <c r="R15" i="2"/>
  <c r="M15" i="2"/>
  <c r="S13" i="2"/>
  <c r="M13" i="2"/>
  <c r="N13" i="2" s="1"/>
  <c r="O13" i="2" s="1"/>
  <c r="H13" i="2"/>
  <c r="J13" i="2" s="1"/>
  <c r="K13" i="2" s="1"/>
  <c r="I6" i="3"/>
  <c r="L6" i="3"/>
  <c r="F6" i="3"/>
  <c r="H188" i="3"/>
  <c r="D188" i="3"/>
  <c r="E188" i="3" s="1"/>
  <c r="L188" i="3"/>
  <c r="P188" i="3"/>
  <c r="L185" i="3"/>
  <c r="M184" i="3"/>
  <c r="N180" i="3"/>
  <c r="F180" i="3"/>
  <c r="P177" i="3"/>
  <c r="D176" i="3"/>
  <c r="L176" i="3"/>
  <c r="P176" i="3"/>
  <c r="C176" i="3"/>
  <c r="G176" i="3"/>
  <c r="O176" i="3"/>
  <c r="C173" i="3"/>
  <c r="G173" i="3"/>
  <c r="O173" i="3"/>
  <c r="B173" i="3"/>
  <c r="F173" i="3"/>
  <c r="J173" i="3"/>
  <c r="N173" i="3"/>
  <c r="J172" i="3"/>
  <c r="K172" i="3" s="1"/>
  <c r="H171" i="3"/>
  <c r="L169" i="3"/>
  <c r="M168" i="3"/>
  <c r="N164" i="3"/>
  <c r="F164" i="3"/>
  <c r="P161" i="3"/>
  <c r="K160"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F18" i="2" s="1"/>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K83" i="3" s="1"/>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E41" i="3" s="1"/>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L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H109" i="3"/>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E36"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C8" i="28"/>
  <c r="B7" i="3"/>
  <c r="F7" i="3"/>
  <c r="J7" i="3"/>
  <c r="N7" i="3"/>
  <c r="E166" i="5"/>
  <c r="E162" i="5"/>
  <c r="E159" i="5"/>
  <c r="E158" i="5"/>
  <c r="E151" i="5"/>
  <c r="E147" i="5"/>
  <c r="E137" i="5"/>
  <c r="E123" i="5"/>
  <c r="E116" i="5"/>
  <c r="E109" i="5"/>
  <c r="E103" i="5"/>
  <c r="E101" i="5"/>
  <c r="E97" i="5"/>
  <c r="E95" i="5"/>
  <c r="E93" i="5"/>
  <c r="E92" i="5"/>
  <c r="E84" i="5"/>
  <c r="E77" i="5"/>
  <c r="E76" i="5"/>
  <c r="E71" i="5"/>
  <c r="E68" i="5"/>
  <c r="E67" i="5"/>
  <c r="E64" i="5"/>
  <c r="N62" i="5"/>
  <c r="K61" i="5"/>
  <c r="K60" i="5"/>
  <c r="K59" i="5"/>
  <c r="K58" i="5"/>
  <c r="K57" i="5"/>
  <c r="K56" i="5"/>
  <c r="K55" i="5"/>
  <c r="K54" i="5"/>
  <c r="K53" i="5"/>
  <c r="K52" i="5"/>
  <c r="K51" i="5"/>
  <c r="K50" i="5"/>
  <c r="P37" i="5"/>
  <c r="P13" i="5"/>
  <c r="K188" i="7"/>
  <c r="N186" i="7"/>
  <c r="C178" i="7"/>
  <c r="G178" i="7"/>
  <c r="K178" i="7"/>
  <c r="O178" i="7"/>
  <c r="D178" i="7"/>
  <c r="H178" i="7"/>
  <c r="H178" i="12" s="1"/>
  <c r="L178" i="7"/>
  <c r="K178" i="12" s="1"/>
  <c r="B178" i="7"/>
  <c r="F178" i="7"/>
  <c r="J178" i="7"/>
  <c r="N178" i="7"/>
  <c r="C170" i="7"/>
  <c r="G170" i="7"/>
  <c r="K170" i="7"/>
  <c r="J170" i="12" s="1"/>
  <c r="O170" i="7"/>
  <c r="D170" i="7"/>
  <c r="H170" i="7"/>
  <c r="L170" i="7"/>
  <c r="B170" i="7"/>
  <c r="F170" i="7"/>
  <c r="J170" i="7"/>
  <c r="N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K62"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53" i="5"/>
  <c r="E52" i="5"/>
  <c r="E47" i="5"/>
  <c r="F47" i="5" s="1"/>
  <c r="G47" i="5" s="1"/>
  <c r="E43" i="5"/>
  <c r="F43" i="5" s="1"/>
  <c r="G43" i="5" s="1"/>
  <c r="E39" i="5"/>
  <c r="F39" i="5" s="1"/>
  <c r="G39" i="5" s="1"/>
  <c r="E31" i="5"/>
  <c r="F31" i="5" s="1"/>
  <c r="G31" i="5" s="1"/>
  <c r="E29" i="5"/>
  <c r="F29" i="5" s="1"/>
  <c r="G29" i="5" s="1"/>
  <c r="E15" i="5"/>
  <c r="F15" i="5" s="1"/>
  <c r="G15"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K170" i="3" s="1"/>
  <c r="F170" i="3"/>
  <c r="H170" i="3" s="1"/>
  <c r="N166" i="3"/>
  <c r="J166" i="3"/>
  <c r="K166" i="3" s="1"/>
  <c r="F166" i="3"/>
  <c r="H166" i="3" s="1"/>
  <c r="N162" i="3"/>
  <c r="J162" i="3"/>
  <c r="K162" i="3" s="1"/>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H121" i="3" s="1"/>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H95" i="3" s="1"/>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K79" i="3" s="1"/>
  <c r="N79" i="3"/>
  <c r="M78" i="3"/>
  <c r="B78" i="3"/>
  <c r="N77" i="3"/>
  <c r="I77" i="3"/>
  <c r="K77" i="3" s="1"/>
  <c r="C77" i="3"/>
  <c r="E76" i="3"/>
  <c r="P75" i="3"/>
  <c r="C74" i="3"/>
  <c r="E74" i="3" s="1"/>
  <c r="G74" i="3"/>
  <c r="H74" i="3" s="1"/>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H53" i="3"/>
  <c r="D53" i="3"/>
  <c r="E53" i="3" s="1"/>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E39" i="3" s="1"/>
  <c r="P38" i="3"/>
  <c r="J38" i="3"/>
  <c r="D37" i="3"/>
  <c r="E37" i="3" s="1"/>
  <c r="L37" i="3"/>
  <c r="P37" i="3"/>
  <c r="M35" i="3"/>
  <c r="C35" i="3"/>
  <c r="E35" i="3" s="1"/>
  <c r="N34" i="3"/>
  <c r="I34" i="3"/>
  <c r="D34" i="3"/>
  <c r="O33" i="3"/>
  <c r="J33" i="3"/>
  <c r="B31" i="3"/>
  <c r="F31" i="3"/>
  <c r="H31" i="3" s="1"/>
  <c r="J31" i="3"/>
  <c r="N31" i="3"/>
  <c r="M30" i="3"/>
  <c r="B30" i="3"/>
  <c r="N29" i="3"/>
  <c r="I29" i="3"/>
  <c r="C29" i="3"/>
  <c r="E29" i="3" s="1"/>
  <c r="P27" i="3"/>
  <c r="C26" i="3"/>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H15" i="3" s="1"/>
  <c r="J15" i="3"/>
  <c r="N15" i="3"/>
  <c r="M14" i="3"/>
  <c r="B14" i="3"/>
  <c r="N13" i="3"/>
  <c r="I13" i="3"/>
  <c r="K13" i="3" s="1"/>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J162" i="5" s="1"/>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J152" i="5" s="1"/>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J140" i="5" s="1"/>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J128" i="5" s="1"/>
  <c r="D127" i="5"/>
  <c r="H127" i="5"/>
  <c r="J127" i="5" s="1"/>
  <c r="D126" i="5"/>
  <c r="H126" i="5"/>
  <c r="L126" i="5"/>
  <c r="M126" i="5" s="1"/>
  <c r="D125" i="5"/>
  <c r="H125" i="5"/>
  <c r="J125" i="5" s="1"/>
  <c r="D124" i="5"/>
  <c r="H124" i="5"/>
  <c r="D123" i="5"/>
  <c r="F123" i="5" s="1"/>
  <c r="G123" i="5" s="1"/>
  <c r="H123" i="5"/>
  <c r="J123" i="5" s="1"/>
  <c r="D122" i="5"/>
  <c r="H122" i="5"/>
  <c r="J122" i="5" s="1"/>
  <c r="L122" i="5"/>
  <c r="D121" i="5"/>
  <c r="H121" i="5"/>
  <c r="D120" i="5"/>
  <c r="H120" i="5"/>
  <c r="D119" i="5"/>
  <c r="H119" i="5"/>
  <c r="J119" i="5" s="1"/>
  <c r="D118" i="5"/>
  <c r="H118" i="5"/>
  <c r="D117" i="5"/>
  <c r="H117" i="5"/>
  <c r="D116" i="5"/>
  <c r="H116" i="5"/>
  <c r="J116" i="5" s="1"/>
  <c r="D115" i="5"/>
  <c r="H115" i="5"/>
  <c r="J115" i="5" s="1"/>
  <c r="D114" i="5"/>
  <c r="H114" i="5"/>
  <c r="J114" i="5" s="1"/>
  <c r="D113" i="5"/>
  <c r="H113" i="5"/>
  <c r="J113" i="5" s="1"/>
  <c r="D112" i="5"/>
  <c r="H112" i="5"/>
  <c r="D111" i="5"/>
  <c r="H111" i="5"/>
  <c r="J111" i="5" s="1"/>
  <c r="D110" i="5"/>
  <c r="H110" i="5"/>
  <c r="J110" i="5" s="1"/>
  <c r="L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L102" i="5"/>
  <c r="D101" i="5"/>
  <c r="H101" i="5"/>
  <c r="J101" i="5" s="1"/>
  <c r="D100" i="5"/>
  <c r="H100" i="5"/>
  <c r="J100" i="5" s="1"/>
  <c r="D99" i="5"/>
  <c r="H99" i="5"/>
  <c r="J99" i="5" s="1"/>
  <c r="D98" i="5"/>
  <c r="H98" i="5"/>
  <c r="D97" i="5"/>
  <c r="H97" i="5"/>
  <c r="J97" i="5" s="1"/>
  <c r="D96" i="5"/>
  <c r="H96" i="5"/>
  <c r="J96" i="5" s="1"/>
  <c r="D95" i="5"/>
  <c r="H95" i="5"/>
  <c r="J95" i="5" s="1"/>
  <c r="L95" i="5"/>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M75" i="5" s="1"/>
  <c r="D74" i="5"/>
  <c r="H74" i="5"/>
  <c r="D73" i="5"/>
  <c r="H73" i="5"/>
  <c r="J73" i="5" s="1"/>
  <c r="D72" i="5"/>
  <c r="H72" i="5"/>
  <c r="J72" i="5" s="1"/>
  <c r="D71" i="5"/>
  <c r="H71" i="5"/>
  <c r="J71" i="5" s="1"/>
  <c r="D70" i="5"/>
  <c r="H70" i="5"/>
  <c r="D69" i="5"/>
  <c r="H69" i="5"/>
  <c r="J69" i="5" s="1"/>
  <c r="D68" i="5"/>
  <c r="H68" i="5"/>
  <c r="J68" i="5" s="1"/>
  <c r="D67" i="5"/>
  <c r="H67" i="5"/>
  <c r="J67" i="5" s="1"/>
  <c r="D66" i="5"/>
  <c r="H66" i="5"/>
  <c r="J66" i="5" s="1"/>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2" i="5"/>
  <c r="P20" i="5"/>
  <c r="P8" i="5"/>
  <c r="O188" i="7"/>
  <c r="G188" i="7"/>
  <c r="C182" i="7"/>
  <c r="G182" i="7"/>
  <c r="K182" i="7"/>
  <c r="O182" i="7"/>
  <c r="D182" i="7"/>
  <c r="H182" i="7"/>
  <c r="L182" i="7"/>
  <c r="K182" i="12" s="1"/>
  <c r="B182" i="7"/>
  <c r="F182" i="7"/>
  <c r="J182" i="7"/>
  <c r="N182" i="7"/>
  <c r="C166" i="7"/>
  <c r="G166" i="7"/>
  <c r="K166" i="7"/>
  <c r="O166" i="7"/>
  <c r="D166" i="7"/>
  <c r="H166" i="7"/>
  <c r="H166" i="12" s="1"/>
  <c r="L166" i="7"/>
  <c r="B166" i="7"/>
  <c r="F166" i="7"/>
  <c r="J166" i="7"/>
  <c r="N166" i="7"/>
  <c r="F159" i="7"/>
  <c r="B149" i="7"/>
  <c r="F149" i="7"/>
  <c r="J149" i="7"/>
  <c r="N149" i="7"/>
  <c r="D149" i="7"/>
  <c r="I149" i="7"/>
  <c r="O149" i="7"/>
  <c r="E149" i="7"/>
  <c r="K149" i="7"/>
  <c r="C149" i="7"/>
  <c r="H149" i="7"/>
  <c r="M149" i="7"/>
  <c r="L184" i="7"/>
  <c r="H184" i="7"/>
  <c r="D184" i="7"/>
  <c r="L180" i="7"/>
  <c r="K180" i="12" s="1"/>
  <c r="H180" i="7"/>
  <c r="H180" i="12" s="1"/>
  <c r="D180" i="7"/>
  <c r="H176" i="7"/>
  <c r="L172" i="7"/>
  <c r="K172" i="12" s="1"/>
  <c r="H172" i="7"/>
  <c r="D172" i="7"/>
  <c r="L164" i="7"/>
  <c r="K164" i="12" s="1"/>
  <c r="H164" i="7"/>
  <c r="H164" i="12" s="1"/>
  <c r="D164" i="7"/>
  <c r="L160" i="7"/>
  <c r="H160" i="7"/>
  <c r="D160" i="7"/>
  <c r="C158" i="7"/>
  <c r="G158" i="7"/>
  <c r="K158" i="7"/>
  <c r="O158" i="7"/>
  <c r="K157" i="7"/>
  <c r="E157" i="7"/>
  <c r="O151" i="7"/>
  <c r="J151" i="7"/>
  <c r="E151" i="7"/>
  <c r="E146" i="7"/>
  <c r="O135" i="7"/>
  <c r="J135" i="7"/>
  <c r="E135" i="7"/>
  <c r="M133" i="7"/>
  <c r="H133" i="7"/>
  <c r="D131" i="7"/>
  <c r="H131" i="7"/>
  <c r="L131" i="7"/>
  <c r="M127" i="7"/>
  <c r="G127" i="7"/>
  <c r="B121" i="7"/>
  <c r="F121" i="7"/>
  <c r="J121" i="7"/>
  <c r="N121" i="7"/>
  <c r="O119" i="7"/>
  <c r="J119" i="7"/>
  <c r="E119" i="7"/>
  <c r="M117" i="7"/>
  <c r="H117"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B89" i="7"/>
  <c r="F89" i="7"/>
  <c r="J89" i="7"/>
  <c r="N89" i="7"/>
  <c r="O87" i="7"/>
  <c r="J87" i="7"/>
  <c r="E87" i="7"/>
  <c r="D83" i="7"/>
  <c r="H83" i="7"/>
  <c r="H83" i="12" s="1"/>
  <c r="L83" i="7"/>
  <c r="K83" i="12" s="1"/>
  <c r="J82" i="7"/>
  <c r="E82" i="7"/>
  <c r="M79" i="7"/>
  <c r="G79" i="7"/>
  <c r="C78" i="7"/>
  <c r="G78" i="7"/>
  <c r="K78" i="7"/>
  <c r="O78" i="7"/>
  <c r="K77" i="7"/>
  <c r="E77" i="7"/>
  <c r="M74" i="7"/>
  <c r="H74" i="7"/>
  <c r="F73" i="7"/>
  <c r="O71" i="7"/>
  <c r="J71" i="7"/>
  <c r="E71" i="7"/>
  <c r="M69" i="7"/>
  <c r="H69" i="7"/>
  <c r="D67" i="7"/>
  <c r="H67" i="7"/>
  <c r="L67" i="7"/>
  <c r="M63" i="7"/>
  <c r="G63" i="7"/>
  <c r="C62" i="7"/>
  <c r="G62" i="7"/>
  <c r="K62" i="7"/>
  <c r="O62" i="7"/>
  <c r="M58" i="7"/>
  <c r="H58" i="7"/>
  <c r="B57" i="7"/>
  <c r="F57" i="7"/>
  <c r="J57" i="7"/>
  <c r="N57" i="7"/>
  <c r="O55" i="7"/>
  <c r="J55" i="7"/>
  <c r="E55" i="7"/>
  <c r="M53" i="7"/>
  <c r="H53" i="7"/>
  <c r="D51" i="7"/>
  <c r="H51" i="7"/>
  <c r="L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M118" i="5" s="1"/>
  <c r="I118" i="6"/>
  <c r="Q118" i="12" s="1"/>
  <c r="N118" i="6"/>
  <c r="E118" i="6"/>
  <c r="J118" i="6"/>
  <c r="O118" i="6"/>
  <c r="C113" i="6"/>
  <c r="L113" i="5" s="1"/>
  <c r="M113" i="5" s="1"/>
  <c r="G113" i="6"/>
  <c r="K113" i="6"/>
  <c r="R113" i="12" s="1"/>
  <c r="O113" i="6"/>
  <c r="B113" i="6"/>
  <c r="H113" i="6"/>
  <c r="M113" i="6"/>
  <c r="D113" i="6"/>
  <c r="I113" i="6"/>
  <c r="Q113" i="12" s="1"/>
  <c r="N113" i="6"/>
  <c r="E113" i="6"/>
  <c r="J113" i="6"/>
  <c r="B133" i="7"/>
  <c r="F133" i="7"/>
  <c r="J133" i="7"/>
  <c r="N133" i="7"/>
  <c r="D127" i="7"/>
  <c r="H127" i="7"/>
  <c r="L127" i="7"/>
  <c r="K122" i="7"/>
  <c r="B117" i="7"/>
  <c r="F117" i="7"/>
  <c r="J117" i="7"/>
  <c r="N117" i="7"/>
  <c r="J83" i="12"/>
  <c r="J95" i="12"/>
  <c r="K78" i="12"/>
  <c r="J80" i="12"/>
  <c r="K90" i="12"/>
  <c r="K165" i="12"/>
  <c r="I171" i="12"/>
  <c r="I179" i="12"/>
  <c r="I183" i="12"/>
  <c r="I178" i="12"/>
  <c r="H181" i="12"/>
  <c r="H171" i="12"/>
  <c r="H179" i="12"/>
  <c r="J171" i="12"/>
  <c r="J175" i="12"/>
  <c r="D111" i="7"/>
  <c r="H111" i="7"/>
  <c r="H111" i="12" s="1"/>
  <c r="L111" i="7"/>
  <c r="K111" i="12" s="1"/>
  <c r="B101" i="7"/>
  <c r="F101" i="7"/>
  <c r="J101" i="7"/>
  <c r="N101" i="7"/>
  <c r="D95" i="7"/>
  <c r="H95" i="7"/>
  <c r="L95" i="7"/>
  <c r="K95" i="12" s="1"/>
  <c r="C90" i="7"/>
  <c r="G90" i="7"/>
  <c r="K90" i="7"/>
  <c r="O90" i="7"/>
  <c r="D79" i="7"/>
  <c r="H79" i="7"/>
  <c r="L79" i="7"/>
  <c r="C74" i="7"/>
  <c r="G74" i="7"/>
  <c r="K74" i="7"/>
  <c r="O74" i="7"/>
  <c r="B69" i="7"/>
  <c r="F69" i="7"/>
  <c r="J69" i="7"/>
  <c r="N69" i="7"/>
  <c r="D63" i="7"/>
  <c r="H63" i="7"/>
  <c r="L63" i="7"/>
  <c r="C58" i="7"/>
  <c r="G58" i="7"/>
  <c r="K58" i="7"/>
  <c r="J63" i="12" s="1"/>
  <c r="O58" i="7"/>
  <c r="B53" i="7"/>
  <c r="F53" i="7"/>
  <c r="J53" i="7"/>
  <c r="N53" i="7"/>
  <c r="C42" i="7"/>
  <c r="G42" i="7"/>
  <c r="K42" i="7"/>
  <c r="O42" i="7"/>
  <c r="B37" i="7"/>
  <c r="F37" i="7"/>
  <c r="J37" i="7"/>
  <c r="N37"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O186" i="6"/>
  <c r="D186" i="6"/>
  <c r="H186" i="6"/>
  <c r="L186" i="6"/>
  <c r="O186" i="12" s="1"/>
  <c r="I182" i="6"/>
  <c r="M182" i="12" s="1"/>
  <c r="B178" i="6"/>
  <c r="F178" i="6"/>
  <c r="J178" i="6"/>
  <c r="N178" i="6"/>
  <c r="C178" i="6"/>
  <c r="G178" i="6"/>
  <c r="K178" i="6"/>
  <c r="O178" i="6"/>
  <c r="D178" i="6"/>
  <c r="H178" i="6"/>
  <c r="L178" i="6"/>
  <c r="O178" i="12" s="1"/>
  <c r="I174" i="6"/>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L162" i="6"/>
  <c r="I158" i="6"/>
  <c r="Q158" i="12" s="1"/>
  <c r="B154" i="6"/>
  <c r="F154" i="6"/>
  <c r="J154" i="6"/>
  <c r="N154" i="6"/>
  <c r="C154" i="6"/>
  <c r="G154" i="6"/>
  <c r="K154" i="6"/>
  <c r="O154" i="6"/>
  <c r="D154" i="6"/>
  <c r="H154" i="6"/>
  <c r="L154" i="6"/>
  <c r="I150" i="6"/>
  <c r="Q150" i="12" s="1"/>
  <c r="Q146" i="12"/>
  <c r="B146" i="6"/>
  <c r="F146" i="6"/>
  <c r="J146" i="6"/>
  <c r="N146" i="6"/>
  <c r="C146" i="6"/>
  <c r="L146" i="5" s="1"/>
  <c r="G146" i="6"/>
  <c r="K146" i="6"/>
  <c r="O146" i="6"/>
  <c r="D146" i="6"/>
  <c r="H146" i="6"/>
  <c r="L146" i="6"/>
  <c r="L140" i="6"/>
  <c r="O140" i="12" s="1"/>
  <c r="B124" i="6"/>
  <c r="F124" i="6"/>
  <c r="J124" i="6"/>
  <c r="N124" i="6"/>
  <c r="C124" i="6"/>
  <c r="L124" i="5" s="1"/>
  <c r="H124" i="6"/>
  <c r="L124" i="12" s="1"/>
  <c r="M124" i="6"/>
  <c r="A124" i="7"/>
  <c r="D124" i="6"/>
  <c r="I124" i="6"/>
  <c r="Q124" i="12" s="1"/>
  <c r="O124" i="6"/>
  <c r="E124" i="6"/>
  <c r="K124" i="6"/>
  <c r="S124" i="12" s="1"/>
  <c r="H49" i="5"/>
  <c r="H48" i="5"/>
  <c r="H47" i="5"/>
  <c r="J47" i="5" s="1"/>
  <c r="H46" i="5"/>
  <c r="H45" i="5"/>
  <c r="H44" i="5"/>
  <c r="H43" i="5"/>
  <c r="H42" i="5"/>
  <c r="H41" i="5"/>
  <c r="J41" i="5" s="1"/>
  <c r="H40" i="5"/>
  <c r="L39" i="5"/>
  <c r="M39" i="5" s="1"/>
  <c r="H39" i="5"/>
  <c r="J39" i="5" s="1"/>
  <c r="H38" i="5"/>
  <c r="J38" i="5" s="1"/>
  <c r="H37" i="5"/>
  <c r="H36" i="5"/>
  <c r="J36" i="5" s="1"/>
  <c r="H35" i="5"/>
  <c r="L34" i="5"/>
  <c r="M34" i="5" s="1"/>
  <c r="H34" i="5"/>
  <c r="H33" i="5"/>
  <c r="H32" i="5"/>
  <c r="J32" i="5" s="1"/>
  <c r="H31" i="5"/>
  <c r="J31" i="5" s="1"/>
  <c r="H30" i="5"/>
  <c r="L29" i="5"/>
  <c r="H29" i="5"/>
  <c r="H28" i="5"/>
  <c r="J28" i="5" s="1"/>
  <c r="H27" i="5"/>
  <c r="J27" i="5" s="1"/>
  <c r="H26" i="5"/>
  <c r="J26" i="5" s="1"/>
  <c r="H25" i="5"/>
  <c r="H24" i="5"/>
  <c r="H23" i="5"/>
  <c r="L22" i="5"/>
  <c r="M22" i="5" s="1"/>
  <c r="H22" i="5"/>
  <c r="H21" i="5"/>
  <c r="J21" i="5" s="1"/>
  <c r="H20" i="5"/>
  <c r="H19" i="5"/>
  <c r="H18" i="5"/>
  <c r="H17" i="5"/>
  <c r="L16" i="5"/>
  <c r="M16" i="5" s="1"/>
  <c r="H16" i="5"/>
  <c r="H15" i="5"/>
  <c r="H14" i="5"/>
  <c r="J14" i="5" s="1"/>
  <c r="H13" i="5"/>
  <c r="H12" i="5"/>
  <c r="J12" i="5" s="1"/>
  <c r="H11" i="5"/>
  <c r="H10" i="5"/>
  <c r="H9" i="5"/>
  <c r="L8" i="5"/>
  <c r="H8" i="5"/>
  <c r="H7" i="5"/>
  <c r="J7" i="5" s="1"/>
  <c r="O189" i="7"/>
  <c r="K189" i="7"/>
  <c r="G189" i="7"/>
  <c r="O185" i="7"/>
  <c r="K185" i="7"/>
  <c r="G185" i="7"/>
  <c r="N184" i="7"/>
  <c r="J184" i="7"/>
  <c r="F184" i="7"/>
  <c r="O181" i="7"/>
  <c r="K181" i="7"/>
  <c r="J181" i="12" s="1"/>
  <c r="G181" i="7"/>
  <c r="N180" i="7"/>
  <c r="J180" i="7"/>
  <c r="F180" i="7"/>
  <c r="O177" i="7"/>
  <c r="K177" i="7"/>
  <c r="G177" i="7"/>
  <c r="O173" i="7"/>
  <c r="K173" i="7"/>
  <c r="G173" i="7"/>
  <c r="N172" i="7"/>
  <c r="J172" i="7"/>
  <c r="F172" i="7"/>
  <c r="O165" i="7"/>
  <c r="K165" i="7"/>
  <c r="G165" i="7"/>
  <c r="N164" i="7"/>
  <c r="J164" i="7"/>
  <c r="F164" i="7"/>
  <c r="O161"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K133" i="7"/>
  <c r="E133" i="7"/>
  <c r="N131" i="7"/>
  <c r="I131" i="7"/>
  <c r="C131" i="7"/>
  <c r="O127" i="7"/>
  <c r="J127" i="7"/>
  <c r="E127" i="7"/>
  <c r="I126" i="7"/>
  <c r="D123" i="7"/>
  <c r="H123" i="7"/>
  <c r="L123" i="7"/>
  <c r="O121" i="7"/>
  <c r="I121" i="7"/>
  <c r="D121" i="7"/>
  <c r="M119" i="7"/>
  <c r="G119" i="7"/>
  <c r="C118" i="7"/>
  <c r="G118" i="7"/>
  <c r="K118" i="7"/>
  <c r="O118" i="7"/>
  <c r="K117" i="7"/>
  <c r="E117"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D91" i="7"/>
  <c r="H91" i="7"/>
  <c r="L91" i="7"/>
  <c r="J90" i="7"/>
  <c r="E90" i="7"/>
  <c r="O89" i="7"/>
  <c r="I89" i="7"/>
  <c r="I89" i="12" s="1"/>
  <c r="D89" i="7"/>
  <c r="M87" i="7"/>
  <c r="G87" i="7"/>
  <c r="C86" i="7"/>
  <c r="G86" i="7"/>
  <c r="K86" i="7"/>
  <c r="O86" i="7"/>
  <c r="N83" i="7"/>
  <c r="I83" i="7"/>
  <c r="C83" i="7"/>
  <c r="M82" i="7"/>
  <c r="H82" i="7"/>
  <c r="B81" i="7"/>
  <c r="F81" i="7"/>
  <c r="J81" i="7"/>
  <c r="N81" i="7"/>
  <c r="O79" i="7"/>
  <c r="J79" i="7"/>
  <c r="E79" i="7"/>
  <c r="N78" i="7"/>
  <c r="I78" i="7"/>
  <c r="D78" i="7"/>
  <c r="M77" i="7"/>
  <c r="H77" i="7"/>
  <c r="J74" i="7"/>
  <c r="E74" i="7"/>
  <c r="M71" i="7"/>
  <c r="G71" i="7"/>
  <c r="C70" i="7"/>
  <c r="G70" i="7"/>
  <c r="K70" i="7"/>
  <c r="O70" i="7"/>
  <c r="K69" i="7"/>
  <c r="J69" i="12" s="1"/>
  <c r="E69" i="7"/>
  <c r="N67" i="7"/>
  <c r="I67" i="7"/>
  <c r="C67" i="7"/>
  <c r="B65" i="7"/>
  <c r="F65" i="7"/>
  <c r="J65" i="7"/>
  <c r="N65" i="7"/>
  <c r="O63" i="7"/>
  <c r="J63" i="7"/>
  <c r="E63" i="7"/>
  <c r="N62" i="7"/>
  <c r="I62" i="7"/>
  <c r="D62" i="7"/>
  <c r="D59" i="7"/>
  <c r="H59" i="7"/>
  <c r="L59" i="7"/>
  <c r="J58" i="7"/>
  <c r="E58" i="7"/>
  <c r="O57" i="7"/>
  <c r="I57" i="7"/>
  <c r="D57" i="7"/>
  <c r="M55" i="7"/>
  <c r="G55" i="7"/>
  <c r="C54" i="7"/>
  <c r="G54" i="7"/>
  <c r="K54" i="7"/>
  <c r="O54" i="7"/>
  <c r="K53" i="7"/>
  <c r="E53" i="7"/>
  <c r="N51" i="7"/>
  <c r="I51" i="7"/>
  <c r="C51" i="7"/>
  <c r="M50" i="7"/>
  <c r="B49" i="7"/>
  <c r="F49" i="7"/>
  <c r="J49" i="7"/>
  <c r="N49" i="7"/>
  <c r="N46" i="7"/>
  <c r="I46" i="7"/>
  <c r="D46" i="7"/>
  <c r="M45" i="7"/>
  <c r="H45" i="7"/>
  <c r="D43" i="7"/>
  <c r="H43" i="7"/>
  <c r="L43" i="7"/>
  <c r="J42" i="7"/>
  <c r="E42" i="7"/>
  <c r="O41" i="7"/>
  <c r="I41" i="7"/>
  <c r="D41" i="7"/>
  <c r="C38" i="7"/>
  <c r="G38" i="7"/>
  <c r="K38" i="7"/>
  <c r="O38" i="7"/>
  <c r="K37" i="7"/>
  <c r="E37" i="7"/>
  <c r="N35" i="7"/>
  <c r="I35" i="7"/>
  <c r="C35"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K15" i="7"/>
  <c r="B13" i="7"/>
  <c r="F13" i="7"/>
  <c r="J13" i="7"/>
  <c r="N13" i="7"/>
  <c r="D13" i="7"/>
  <c r="H13" i="7"/>
  <c r="L13"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O133" i="7"/>
  <c r="I133" i="7"/>
  <c r="D133" i="7"/>
  <c r="N127" i="7"/>
  <c r="I127" i="7"/>
  <c r="C127" i="7"/>
  <c r="D119" i="7"/>
  <c r="H119" i="7"/>
  <c r="L119" i="7"/>
  <c r="O117" i="7"/>
  <c r="I117" i="7"/>
  <c r="D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H87" i="7"/>
  <c r="L87" i="7"/>
  <c r="C82" i="7"/>
  <c r="G82" i="7"/>
  <c r="K82" i="7"/>
  <c r="O82" i="7"/>
  <c r="N79" i="7"/>
  <c r="I79" i="7"/>
  <c r="C79" i="7"/>
  <c r="B77" i="7"/>
  <c r="F77" i="7"/>
  <c r="J77" i="7"/>
  <c r="N77" i="7"/>
  <c r="N74" i="7"/>
  <c r="I74" i="7"/>
  <c r="D74" i="7"/>
  <c r="D71" i="7"/>
  <c r="H71" i="7"/>
  <c r="L71" i="7"/>
  <c r="O69" i="7"/>
  <c r="I69" i="7"/>
  <c r="D69" i="7"/>
  <c r="O66" i="7"/>
  <c r="N63" i="7"/>
  <c r="I63" i="7"/>
  <c r="C63" i="7"/>
  <c r="N58" i="7"/>
  <c r="I58" i="7"/>
  <c r="D58" i="7"/>
  <c r="D55" i="7"/>
  <c r="H55" i="7"/>
  <c r="L55" i="7"/>
  <c r="O53" i="7"/>
  <c r="I53" i="7"/>
  <c r="D53" i="7"/>
  <c r="O50" i="7"/>
  <c r="B45" i="7"/>
  <c r="F45" i="7"/>
  <c r="J45" i="7"/>
  <c r="N45" i="7"/>
  <c r="N42" i="7"/>
  <c r="I42" i="7"/>
  <c r="D42" i="7"/>
  <c r="B29" i="7"/>
  <c r="F29" i="7"/>
  <c r="J29" i="7"/>
  <c r="N29" i="7"/>
  <c r="D23" i="7"/>
  <c r="H23" i="7"/>
  <c r="L23" i="7"/>
  <c r="B23" i="7"/>
  <c r="F23" i="7"/>
  <c r="J23" i="7"/>
  <c r="N23" i="7"/>
  <c r="D15" i="7"/>
  <c r="H15" i="7"/>
  <c r="L15" i="7"/>
  <c r="B15" i="7"/>
  <c r="F15" i="7"/>
  <c r="J15" i="7"/>
  <c r="N15" i="7"/>
  <c r="B182" i="6"/>
  <c r="F182" i="6"/>
  <c r="J182" i="6"/>
  <c r="N182" i="6"/>
  <c r="C182" i="6"/>
  <c r="G182" i="6"/>
  <c r="K182" i="6"/>
  <c r="N182" i="12" s="1"/>
  <c r="O182" i="6"/>
  <c r="D182" i="6"/>
  <c r="H182" i="6"/>
  <c r="L182" i="12" s="1"/>
  <c r="L182" i="6"/>
  <c r="O182" i="12" s="1"/>
  <c r="B174" i="6"/>
  <c r="F174" i="6"/>
  <c r="J174" i="6"/>
  <c r="N174" i="6"/>
  <c r="C174" i="6"/>
  <c r="G174" i="6"/>
  <c r="K174" i="6"/>
  <c r="O174" i="6"/>
  <c r="D174" i="6"/>
  <c r="H174" i="6"/>
  <c r="L174" i="6"/>
  <c r="O174" i="12" s="1"/>
  <c r="B166" i="6"/>
  <c r="F166" i="6"/>
  <c r="J166" i="6"/>
  <c r="N166" i="6"/>
  <c r="C166" i="6"/>
  <c r="G166" i="6"/>
  <c r="K166" i="6"/>
  <c r="O166" i="6"/>
  <c r="D166" i="6"/>
  <c r="H166" i="6"/>
  <c r="L166" i="12" s="1"/>
  <c r="L166" i="6"/>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L124" i="6"/>
  <c r="O124" i="12" s="1"/>
  <c r="Q98" i="12"/>
  <c r="D98" i="6"/>
  <c r="H98" i="6"/>
  <c r="P98" i="12" s="1"/>
  <c r="L98" i="6"/>
  <c r="B98" i="6"/>
  <c r="F98" i="6"/>
  <c r="J98" i="6"/>
  <c r="N98" i="6"/>
  <c r="Q90" i="12"/>
  <c r="D90" i="6"/>
  <c r="H90" i="6"/>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B66" i="6"/>
  <c r="F66" i="6"/>
  <c r="J66" i="6"/>
  <c r="N66" i="6"/>
  <c r="D58" i="6"/>
  <c r="H58" i="6"/>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C11" i="28"/>
  <c r="O13" i="12"/>
  <c r="M23" i="12"/>
  <c r="O25" i="12"/>
  <c r="M27" i="12"/>
  <c r="M13" i="12"/>
  <c r="M25" i="12"/>
  <c r="M61" i="12"/>
  <c r="L19" i="12"/>
  <c r="L31" i="12"/>
  <c r="L35" i="12"/>
  <c r="O40" i="12"/>
  <c r="M46" i="12"/>
  <c r="L47" i="12"/>
  <c r="L63" i="12"/>
  <c r="M74" i="12"/>
  <c r="M78" i="12"/>
  <c r="M12" i="12"/>
  <c r="M20" i="12"/>
  <c r="N35" i="12"/>
  <c r="L13" i="12"/>
  <c r="L55" i="12"/>
  <c r="O61" i="12"/>
  <c r="O48" i="12"/>
  <c r="O65" i="12"/>
  <c r="M73" i="12"/>
  <c r="M80" i="12"/>
  <c r="M82" i="12"/>
  <c r="M86" i="12"/>
  <c r="M90" i="12"/>
  <c r="M94" i="12"/>
  <c r="M98" i="12"/>
  <c r="O49" i="12"/>
  <c r="M55" i="12"/>
  <c r="O64" i="12"/>
  <c r="L79" i="12"/>
  <c r="M85" i="12"/>
  <c r="O87" i="12"/>
  <c r="M89" i="12"/>
  <c r="M97" i="12"/>
  <c r="O103" i="12"/>
  <c r="O107" i="12"/>
  <c r="O115" i="12"/>
  <c r="M121" i="12"/>
  <c r="L51" i="12"/>
  <c r="M88" i="12"/>
  <c r="M56" i="12"/>
  <c r="M103" i="12"/>
  <c r="M107" i="12"/>
  <c r="M111" i="12"/>
  <c r="M115" i="12"/>
  <c r="M122" i="12"/>
  <c r="L123" i="12"/>
  <c r="O131" i="12"/>
  <c r="M138" i="12"/>
  <c r="M144" i="12"/>
  <c r="N149" i="12"/>
  <c r="M156" i="12"/>
  <c r="M160" i="12"/>
  <c r="O127" i="12"/>
  <c r="L135" i="12"/>
  <c r="M143" i="12"/>
  <c r="O153" i="12"/>
  <c r="M171" i="12"/>
  <c r="O173" i="12"/>
  <c r="M175" i="12"/>
  <c r="M179" i="12"/>
  <c r="M187" i="12"/>
  <c r="L107" i="12"/>
  <c r="L111" i="12"/>
  <c r="L119" i="12"/>
  <c r="O123" i="12"/>
  <c r="M128" i="12"/>
  <c r="N134" i="12"/>
  <c r="N135" i="12"/>
  <c r="O139" i="12"/>
  <c r="O144" i="12"/>
  <c r="M146" i="12"/>
  <c r="M150" i="12"/>
  <c r="L101" i="12"/>
  <c r="L105" i="12"/>
  <c r="L109" i="12"/>
  <c r="L117" i="12"/>
  <c r="M153" i="12"/>
  <c r="M157" i="12"/>
  <c r="M161" i="12"/>
  <c r="M169" i="12"/>
  <c r="M177" i="12"/>
  <c r="M185" i="12"/>
  <c r="L153" i="12"/>
  <c r="N169" i="12"/>
  <c r="M184" i="12"/>
  <c r="M188" i="12"/>
  <c r="L157" i="12"/>
  <c r="O166" i="12"/>
  <c r="L165" i="12"/>
  <c r="L169" i="12"/>
  <c r="M174" i="12"/>
  <c r="M178"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D12" i="28" s="1"/>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K102" i="6"/>
  <c r="S102" i="12" s="1"/>
  <c r="B100" i="6"/>
  <c r="F100" i="6"/>
  <c r="J100" i="6"/>
  <c r="N100" i="6"/>
  <c r="D100" i="6"/>
  <c r="H100" i="6"/>
  <c r="L100" i="6"/>
  <c r="O98" i="6"/>
  <c r="G98" i="6"/>
  <c r="K94" i="6"/>
  <c r="B92" i="6"/>
  <c r="F92" i="6"/>
  <c r="J92" i="6"/>
  <c r="N92" i="6"/>
  <c r="D92" i="6"/>
  <c r="H92" i="6"/>
  <c r="L92" i="12" s="1"/>
  <c r="L92" i="6"/>
  <c r="O92" i="12" s="1"/>
  <c r="O90" i="6"/>
  <c r="G90" i="6"/>
  <c r="K86" i="6"/>
  <c r="S86" i="12" s="1"/>
  <c r="B84" i="6"/>
  <c r="F84" i="6"/>
  <c r="J84" i="6"/>
  <c r="N84" i="6"/>
  <c r="D84" i="6"/>
  <c r="H84" i="6"/>
  <c r="L89" i="12" s="1"/>
  <c r="L84" i="6"/>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M56" i="6"/>
  <c r="Q48" i="12"/>
  <c r="B48" i="6"/>
  <c r="F48" i="6"/>
  <c r="J48" i="6"/>
  <c r="N48" i="6"/>
  <c r="C48" i="6"/>
  <c r="H48" i="6"/>
  <c r="P48" i="12" s="1"/>
  <c r="M48" i="6"/>
  <c r="E48" i="6"/>
  <c r="K48" i="6"/>
  <c r="N45" i="6"/>
  <c r="I40" i="6"/>
  <c r="Q40" i="12" s="1"/>
  <c r="N37" i="6"/>
  <c r="N34" i="6"/>
  <c r="I32" i="6"/>
  <c r="B10" i="6"/>
  <c r="F10" i="6"/>
  <c r="J10" i="6"/>
  <c r="N10" i="6"/>
  <c r="C10" i="6"/>
  <c r="L10" i="5" s="1"/>
  <c r="M10" i="5" s="1"/>
  <c r="H10" i="6"/>
  <c r="M10" i="6"/>
  <c r="E10" i="6"/>
  <c r="K10" i="6"/>
  <c r="S10" i="12" s="1"/>
  <c r="I10" i="6"/>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56" i="12"/>
  <c r="S156" i="12"/>
  <c r="S152" i="12"/>
  <c r="Q148" i="12"/>
  <c r="D142" i="6"/>
  <c r="H142" i="6"/>
  <c r="L142" i="6"/>
  <c r="C137" i="6"/>
  <c r="G137" i="6"/>
  <c r="K137" i="6"/>
  <c r="R137" i="12" s="1"/>
  <c r="O137" i="6"/>
  <c r="Q132" i="12"/>
  <c r="B132" i="6"/>
  <c r="F132" i="6"/>
  <c r="J132" i="6"/>
  <c r="D11" i="28" s="1"/>
  <c r="N132" i="6"/>
  <c r="D126" i="6"/>
  <c r="H126" i="6"/>
  <c r="P126" i="12" s="1"/>
  <c r="L126" i="6"/>
  <c r="O132" i="12" s="1"/>
  <c r="Q121" i="12"/>
  <c r="C121" i="6"/>
  <c r="G121" i="6"/>
  <c r="K121" i="6"/>
  <c r="O121" i="6"/>
  <c r="B116" i="6"/>
  <c r="F116" i="6"/>
  <c r="J116" i="6"/>
  <c r="N116" i="6"/>
  <c r="S110" i="12"/>
  <c r="D110" i="6"/>
  <c r="H110" i="6"/>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S34" i="12"/>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R169" i="12"/>
  <c r="L168" i="6"/>
  <c r="O177" i="12" s="1"/>
  <c r="H168" i="6"/>
  <c r="L167" i="12" s="1"/>
  <c r="D168" i="6"/>
  <c r="O167" i="6"/>
  <c r="K167" i="6"/>
  <c r="R167" i="12" s="1"/>
  <c r="G167" i="6"/>
  <c r="C167" i="6"/>
  <c r="P165" i="12"/>
  <c r="L164" i="6"/>
  <c r="H164" i="6"/>
  <c r="D164" i="6"/>
  <c r="O163" i="6"/>
  <c r="K163" i="6"/>
  <c r="G163" i="6"/>
  <c r="C163" i="6"/>
  <c r="Q161" i="12"/>
  <c r="L160" i="6"/>
  <c r="H160" i="6"/>
  <c r="P159" i="12" s="1"/>
  <c r="D160" i="6"/>
  <c r="O159" i="6"/>
  <c r="K159" i="6"/>
  <c r="G159" i="6"/>
  <c r="C159" i="6"/>
  <c r="S157" i="12"/>
  <c r="Q157" i="12"/>
  <c r="L156" i="6"/>
  <c r="O156" i="12" s="1"/>
  <c r="H156" i="6"/>
  <c r="D156" i="6"/>
  <c r="O155" i="6"/>
  <c r="K155" i="6"/>
  <c r="N155" i="12" s="1"/>
  <c r="G155" i="6"/>
  <c r="C155" i="6"/>
  <c r="Q153" i="12"/>
  <c r="L152" i="6"/>
  <c r="O152" i="12" s="1"/>
  <c r="H152" i="6"/>
  <c r="L152" i="12" s="1"/>
  <c r="D152" i="6"/>
  <c r="O151" i="6"/>
  <c r="K151" i="6"/>
  <c r="G151" i="6"/>
  <c r="C151" i="6"/>
  <c r="L151" i="5" s="1"/>
  <c r="M151" i="5" s="1"/>
  <c r="P149" i="12"/>
  <c r="Q149" i="12"/>
  <c r="L148" i="6"/>
  <c r="O148" i="12" s="1"/>
  <c r="H148" i="6"/>
  <c r="P148" i="12" s="1"/>
  <c r="D148" i="6"/>
  <c r="O147" i="6"/>
  <c r="K147" i="6"/>
  <c r="G147" i="6"/>
  <c r="C147" i="6"/>
  <c r="L147" i="5" s="1"/>
  <c r="M147" i="5" s="1"/>
  <c r="Q144" i="12"/>
  <c r="B144" i="6"/>
  <c r="F144" i="6"/>
  <c r="J144" i="6"/>
  <c r="N144" i="6"/>
  <c r="O142" i="6"/>
  <c r="J142" i="6"/>
  <c r="E142" i="6"/>
  <c r="N141" i="6"/>
  <c r="I141" i="6"/>
  <c r="D141" i="6"/>
  <c r="Q138" i="12"/>
  <c r="D138" i="6"/>
  <c r="D13" i="28" s="1"/>
  <c r="H138" i="6"/>
  <c r="L138" i="6"/>
  <c r="O138" i="12" s="1"/>
  <c r="J137" i="6"/>
  <c r="E137" i="6"/>
  <c r="O136" i="6"/>
  <c r="I136" i="6"/>
  <c r="M136" i="12" s="1"/>
  <c r="D136" i="6"/>
  <c r="Q133" i="12"/>
  <c r="C133" i="6"/>
  <c r="G133" i="6"/>
  <c r="K133" i="6"/>
  <c r="R133" i="12" s="1"/>
  <c r="O133" i="6"/>
  <c r="K132" i="6"/>
  <c r="E132" i="6"/>
  <c r="B10" i="28" s="1"/>
  <c r="N130" i="6"/>
  <c r="I130" i="6"/>
  <c r="Q130" i="12" s="1"/>
  <c r="C130" i="6"/>
  <c r="Q128" i="12"/>
  <c r="S128" i="12"/>
  <c r="B128" i="6"/>
  <c r="F128" i="6"/>
  <c r="J128" i="6"/>
  <c r="N128" i="6"/>
  <c r="O126" i="6"/>
  <c r="J126" i="6"/>
  <c r="E126" i="6"/>
  <c r="N125" i="6"/>
  <c r="I125" i="6"/>
  <c r="D125" i="6"/>
  <c r="R122" i="12"/>
  <c r="S122" i="12"/>
  <c r="Q122" i="12"/>
  <c r="D122" i="6"/>
  <c r="H122" i="6"/>
  <c r="L122" i="6"/>
  <c r="O122" i="12" s="1"/>
  <c r="J121" i="6"/>
  <c r="E121" i="6"/>
  <c r="O120" i="6"/>
  <c r="I120" i="6"/>
  <c r="Q120" i="12" s="1"/>
  <c r="D120" i="6"/>
  <c r="P117" i="12"/>
  <c r="C117" i="6"/>
  <c r="G117" i="6"/>
  <c r="K117" i="6"/>
  <c r="O117" i="6"/>
  <c r="K116" i="6"/>
  <c r="N122" i="12" s="1"/>
  <c r="E116" i="6"/>
  <c r="N114" i="6"/>
  <c r="I114" i="6"/>
  <c r="M114" i="12" s="1"/>
  <c r="C114" i="6"/>
  <c r="B112" i="6"/>
  <c r="F112" i="6"/>
  <c r="J112" i="6"/>
  <c r="N112" i="6"/>
  <c r="O110" i="6"/>
  <c r="J110" i="6"/>
  <c r="E110" i="6"/>
  <c r="M108" i="6"/>
  <c r="E108" i="6"/>
  <c r="B104" i="6"/>
  <c r="F104" i="6"/>
  <c r="J104" i="6"/>
  <c r="N104" i="6"/>
  <c r="D104" i="6"/>
  <c r="H104" i="6"/>
  <c r="L104" i="6"/>
  <c r="O102" i="6"/>
  <c r="G102" i="6"/>
  <c r="M100" i="6"/>
  <c r="E100" i="6"/>
  <c r="K98" i="6"/>
  <c r="S98" i="12" s="1"/>
  <c r="C98" i="6"/>
  <c r="B96" i="6"/>
  <c r="F96" i="6"/>
  <c r="J96" i="6"/>
  <c r="N96" i="6"/>
  <c r="D96" i="6"/>
  <c r="H96" i="6"/>
  <c r="P96" i="12" s="1"/>
  <c r="L96" i="6"/>
  <c r="O94" i="6"/>
  <c r="G94" i="6"/>
  <c r="M92" i="6"/>
  <c r="E92" i="6"/>
  <c r="K90" i="6"/>
  <c r="S90" i="12" s="1"/>
  <c r="C90" i="6"/>
  <c r="Q88" i="12"/>
  <c r="B88" i="6"/>
  <c r="F88" i="6"/>
  <c r="J88" i="6"/>
  <c r="N88" i="6"/>
  <c r="D88" i="6"/>
  <c r="H88" i="6"/>
  <c r="L88" i="6"/>
  <c r="O86" i="6"/>
  <c r="G86" i="6"/>
  <c r="M84" i="6"/>
  <c r="E84" i="6"/>
  <c r="K82" i="6"/>
  <c r="R82" i="12" s="1"/>
  <c r="C82" i="6"/>
  <c r="Q80" i="12"/>
  <c r="B80" i="6"/>
  <c r="F80" i="6"/>
  <c r="J80" i="6"/>
  <c r="N80" i="6"/>
  <c r="D80" i="6"/>
  <c r="H80" i="6"/>
  <c r="L80" i="6"/>
  <c r="O78" i="6"/>
  <c r="G78" i="6"/>
  <c r="M76" i="6"/>
  <c r="E76" i="6"/>
  <c r="K74" i="6"/>
  <c r="R74" i="12" s="1"/>
  <c r="C74" i="6"/>
  <c r="R72" i="12"/>
  <c r="B72" i="6"/>
  <c r="F72" i="6"/>
  <c r="J72" i="6"/>
  <c r="N72" i="6"/>
  <c r="D72" i="6"/>
  <c r="H72" i="6"/>
  <c r="L72" i="12" s="1"/>
  <c r="L72" i="6"/>
  <c r="O72" i="12" s="1"/>
  <c r="O70" i="6"/>
  <c r="G70" i="6"/>
  <c r="M68" i="6"/>
  <c r="E68" i="6"/>
  <c r="K66" i="6"/>
  <c r="S66" i="12" s="1"/>
  <c r="C66" i="6"/>
  <c r="I64" i="6"/>
  <c r="Q61" i="12"/>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Q97" i="12"/>
  <c r="Q93" i="12"/>
  <c r="P89" i="12"/>
  <c r="Q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O23" i="6"/>
  <c r="E23" i="6"/>
  <c r="J23" i="6"/>
  <c r="B23" i="6"/>
  <c r="H23" i="6"/>
  <c r="M23" i="6"/>
  <c r="Q20" i="12"/>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Q143" i="12"/>
  <c r="P135" i="12"/>
  <c r="R135" i="12"/>
  <c r="S135" i="12"/>
  <c r="R131" i="12"/>
  <c r="S131" i="12"/>
  <c r="S127" i="12"/>
  <c r="P127" i="12"/>
  <c r="R127" i="12"/>
  <c r="R123" i="12"/>
  <c r="S123" i="12"/>
  <c r="P123" i="12"/>
  <c r="P119" i="12"/>
  <c r="S115" i="12"/>
  <c r="Q115" i="12"/>
  <c r="R115" i="12"/>
  <c r="S111" i="12"/>
  <c r="Q111" i="12"/>
  <c r="P111" i="12"/>
  <c r="R111" i="12"/>
  <c r="O109" i="6"/>
  <c r="K109" i="6"/>
  <c r="G109" i="6"/>
  <c r="C109" i="6"/>
  <c r="L109" i="5" s="1"/>
  <c r="M109" i="5" s="1"/>
  <c r="Q107" i="12"/>
  <c r="P107" i="12"/>
  <c r="O105" i="6"/>
  <c r="K105" i="6"/>
  <c r="G105" i="6"/>
  <c r="C105" i="6"/>
  <c r="S103" i="12"/>
  <c r="Q103" i="12"/>
  <c r="R103" i="12"/>
  <c r="O101" i="6"/>
  <c r="K101" i="6"/>
  <c r="S101" i="12" s="1"/>
  <c r="G101" i="6"/>
  <c r="C101" i="6"/>
  <c r="O97" i="6"/>
  <c r="K97" i="6"/>
  <c r="G97" i="6"/>
  <c r="C97" i="6"/>
  <c r="L97" i="5" s="1"/>
  <c r="M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M77" i="5" s="1"/>
  <c r="Q75" i="12"/>
  <c r="O73" i="6"/>
  <c r="K73" i="6"/>
  <c r="R73" i="12" s="1"/>
  <c r="G73" i="6"/>
  <c r="C73" i="6"/>
  <c r="O69" i="6"/>
  <c r="K69" i="6"/>
  <c r="G69" i="6"/>
  <c r="C69" i="6"/>
  <c r="L69" i="5" s="1"/>
  <c r="M69" i="5" s="1"/>
  <c r="N65" i="6"/>
  <c r="I65" i="6"/>
  <c r="D65" i="6"/>
  <c r="Q62" i="12"/>
  <c r="S62" i="12"/>
  <c r="D62" i="6"/>
  <c r="H62" i="6"/>
  <c r="L62" i="6"/>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4" i="6"/>
  <c r="I44" i="6"/>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63" i="12"/>
  <c r="Q55" i="12"/>
  <c r="R55" i="12"/>
  <c r="P47" i="12"/>
  <c r="Q47" i="12"/>
  <c r="R47" i="12"/>
  <c r="R39" i="12"/>
  <c r="P35" i="12"/>
  <c r="P31" i="12"/>
  <c r="O29" i="6"/>
  <c r="K29" i="6"/>
  <c r="G29" i="6"/>
  <c r="Q27" i="12"/>
  <c r="R27" i="12"/>
  <c r="N24" i="6"/>
  <c r="I24" i="6"/>
  <c r="M24" i="12" s="1"/>
  <c r="S22" i="12"/>
  <c r="B22" i="6"/>
  <c r="F22" i="6"/>
  <c r="J22" i="6"/>
  <c r="N22" i="6"/>
  <c r="N19" i="6"/>
  <c r="I19" i="6"/>
  <c r="Q16" i="12"/>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O9" i="12" s="1"/>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Q21" i="12"/>
  <c r="S17" i="12"/>
  <c r="Q17" i="12"/>
  <c r="P17" i="12"/>
  <c r="R17" i="12"/>
  <c r="S13" i="12"/>
  <c r="Q13" i="12"/>
  <c r="P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H170" i="12"/>
  <c r="B170" i="12"/>
  <c r="F170" i="12"/>
  <c r="N170" i="12"/>
  <c r="O168" i="12"/>
  <c r="G168" i="12"/>
  <c r="D166" i="12"/>
  <c r="B166" i="12"/>
  <c r="F166"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O162" i="12"/>
  <c r="D162" i="12"/>
  <c r="L162" i="12"/>
  <c r="P162" i="12"/>
  <c r="B162" i="12"/>
  <c r="F162" i="12"/>
  <c r="R162" i="12"/>
  <c r="C154" i="12"/>
  <c r="G154" i="12"/>
  <c r="O154" i="12"/>
  <c r="S154" i="12"/>
  <c r="D154" i="12"/>
  <c r="L154" i="12"/>
  <c r="P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L186" i="12"/>
  <c r="B186" i="12"/>
  <c r="F186" i="12"/>
  <c r="G184" i="12"/>
  <c r="D182" i="12"/>
  <c r="H182" i="12"/>
  <c r="B182" i="12"/>
  <c r="F182" i="12"/>
  <c r="J182" i="12"/>
  <c r="G180" i="12"/>
  <c r="D178" i="12"/>
  <c r="L178" i="12"/>
  <c r="B178" i="12"/>
  <c r="F178" i="12"/>
  <c r="N178" i="12"/>
  <c r="G176" i="12"/>
  <c r="D174" i="12"/>
  <c r="L174" i="12"/>
  <c r="B174" i="12"/>
  <c r="F174" i="12"/>
  <c r="N174" i="12"/>
  <c r="M170" i="12"/>
  <c r="E170" i="12"/>
  <c r="S168" i="12"/>
  <c r="M166"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H172" i="12"/>
  <c r="L172" i="12"/>
  <c r="P172" i="12"/>
  <c r="B168" i="12"/>
  <c r="F168" i="12"/>
  <c r="N168" i="12"/>
  <c r="R168" i="12"/>
  <c r="D168" i="12"/>
  <c r="L168" i="12"/>
  <c r="P168" i="12"/>
  <c r="B164" i="12"/>
  <c r="F164" i="12"/>
  <c r="J164" i="12"/>
  <c r="N164" i="12"/>
  <c r="R164" i="12"/>
  <c r="D164" i="12"/>
  <c r="C158" i="12"/>
  <c r="G158" i="12"/>
  <c r="D158" i="12"/>
  <c r="B158" i="12"/>
  <c r="F158" i="12"/>
  <c r="O16" i="11"/>
  <c r="K16" i="11"/>
  <c r="G16" i="11"/>
  <c r="O12" i="11"/>
  <c r="K12" i="11"/>
  <c r="G12" i="11"/>
  <c r="O8" i="11"/>
  <c r="K8" i="11"/>
  <c r="G8" i="11"/>
  <c r="O187" i="12"/>
  <c r="G187" i="12"/>
  <c r="O183" i="12"/>
  <c r="G183" i="12"/>
  <c r="O179" i="12"/>
  <c r="K179" i="12"/>
  <c r="G179" i="12"/>
  <c r="O175" i="12"/>
  <c r="G175" i="12"/>
  <c r="O171" i="12"/>
  <c r="K171" i="12"/>
  <c r="G171" i="12"/>
  <c r="S167" i="12"/>
  <c r="O167" i="12"/>
  <c r="G167" i="12"/>
  <c r="S163" i="12"/>
  <c r="G163" i="12"/>
  <c r="P160" i="12"/>
  <c r="L160" i="12"/>
  <c r="D160" i="12"/>
  <c r="G159" i="12"/>
  <c r="P156" i="12"/>
  <c r="D156" i="12"/>
  <c r="S155" i="12"/>
  <c r="O155" i="12"/>
  <c r="G155" i="12"/>
  <c r="P152" i="12"/>
  <c r="D152" i="12"/>
  <c r="G151" i="12"/>
  <c r="F150" i="12"/>
  <c r="B150" i="12"/>
  <c r="H148" i="12"/>
  <c r="D148" i="12"/>
  <c r="O147" i="12"/>
  <c r="G147" i="12"/>
  <c r="F146" i="12"/>
  <c r="B146" i="12"/>
  <c r="P144" i="12"/>
  <c r="L144" i="12"/>
  <c r="D144" i="12"/>
  <c r="R142" i="12"/>
  <c r="G142" i="12"/>
  <c r="E141" i="12"/>
  <c r="S140" i="12"/>
  <c r="D138" i="12"/>
  <c r="L138" i="12"/>
  <c r="N137" i="12"/>
  <c r="B136" i="12"/>
  <c r="F136" i="12"/>
  <c r="O134" i="12"/>
  <c r="E134" i="12"/>
  <c r="M133" i="12"/>
  <c r="E132" i="12"/>
  <c r="S130" i="12"/>
  <c r="N130" i="12"/>
  <c r="C129" i="12"/>
  <c r="G129" i="12"/>
  <c r="O129" i="12"/>
  <c r="R126" i="12"/>
  <c r="G126" i="12"/>
  <c r="E125" i="12"/>
  <c r="M124" i="12"/>
  <c r="D122" i="12"/>
  <c r="B118" i="12"/>
  <c r="F118" i="12"/>
  <c r="D118" i="12"/>
  <c r="S116" i="12"/>
  <c r="B114" i="12"/>
  <c r="F114" i="12"/>
  <c r="R114" i="12"/>
  <c r="D114" i="12"/>
  <c r="S112" i="12"/>
  <c r="B110" i="12"/>
  <c r="F110" i="12"/>
  <c r="N110" i="12"/>
  <c r="R110" i="12"/>
  <c r="D110" i="12"/>
  <c r="L110" i="12"/>
  <c r="P110" i="12"/>
  <c r="S108" i="12"/>
  <c r="B106" i="12"/>
  <c r="F106" i="12"/>
  <c r="N106" i="12"/>
  <c r="R106" i="12"/>
  <c r="D106" i="12"/>
  <c r="S104" i="12"/>
  <c r="B102" i="12"/>
  <c r="F102" i="12"/>
  <c r="N102" i="12"/>
  <c r="R102" i="12"/>
  <c r="D102" i="12"/>
  <c r="P102" i="12"/>
  <c r="D142" i="12"/>
  <c r="B140" i="12"/>
  <c r="F140" i="12"/>
  <c r="N140" i="12"/>
  <c r="R140" i="12"/>
  <c r="C133" i="12"/>
  <c r="G133" i="12"/>
  <c r="O133" i="12"/>
  <c r="D126" i="12"/>
  <c r="B124" i="12"/>
  <c r="F124" i="12"/>
  <c r="N124" i="12"/>
  <c r="R124" i="12"/>
  <c r="D120" i="12"/>
  <c r="P120" i="12"/>
  <c r="B120" i="12"/>
  <c r="F120" i="12"/>
  <c r="D116" i="12"/>
  <c r="L116" i="12"/>
  <c r="B116" i="12"/>
  <c r="F116" i="12"/>
  <c r="N116" i="12"/>
  <c r="R116" i="12"/>
  <c r="D112" i="12"/>
  <c r="P112" i="12"/>
  <c r="B112" i="12"/>
  <c r="F112" i="12"/>
  <c r="N112" i="12"/>
  <c r="R112" i="12"/>
  <c r="D108" i="12"/>
  <c r="B108" i="12"/>
  <c r="F108" i="12"/>
  <c r="D104" i="12"/>
  <c r="L104" i="12"/>
  <c r="P104" i="12"/>
  <c r="B104" i="12"/>
  <c r="F104" i="12"/>
  <c r="N104" i="12"/>
  <c r="R104" i="12"/>
  <c r="D100" i="12"/>
  <c r="P100" i="12"/>
  <c r="B100" i="12"/>
  <c r="F100" i="12"/>
  <c r="N160" i="12"/>
  <c r="F160" i="12"/>
  <c r="R156" i="12"/>
  <c r="N156" i="12"/>
  <c r="F156" i="12"/>
  <c r="R152" i="12"/>
  <c r="N152" i="12"/>
  <c r="F152" i="12"/>
  <c r="D150" i="12"/>
  <c r="J148" i="12"/>
  <c r="F148" i="12"/>
  <c r="P146" i="12"/>
  <c r="L146" i="12"/>
  <c r="D146" i="12"/>
  <c r="F144" i="12"/>
  <c r="O142" i="12"/>
  <c r="E142" i="12"/>
  <c r="R141" i="12"/>
  <c r="M141" i="12"/>
  <c r="E140" i="12"/>
  <c r="C137" i="12"/>
  <c r="G137" i="12"/>
  <c r="O137" i="12"/>
  <c r="S137" i="12"/>
  <c r="R134" i="12"/>
  <c r="M134" i="12"/>
  <c r="G134" i="12"/>
  <c r="E133" i="12"/>
  <c r="D130" i="12"/>
  <c r="L130" i="12"/>
  <c r="B128" i="12"/>
  <c r="F128" i="12"/>
  <c r="N128" i="12"/>
  <c r="R128" i="12"/>
  <c r="O126" i="12"/>
  <c r="E126" i="12"/>
  <c r="R125" i="12"/>
  <c r="P124" i="12"/>
  <c r="E124" i="12"/>
  <c r="O120" i="12"/>
  <c r="G120" i="12"/>
  <c r="G116" i="12"/>
  <c r="O112" i="12"/>
  <c r="G112" i="12"/>
  <c r="O108" i="12"/>
  <c r="G108" i="12"/>
  <c r="M106" i="12"/>
  <c r="E106" i="12"/>
  <c r="O104" i="12"/>
  <c r="G104" i="12"/>
  <c r="M102" i="12"/>
  <c r="E102" i="12"/>
  <c r="G100" i="12"/>
  <c r="C96" i="12"/>
  <c r="G96" i="12"/>
  <c r="O96" i="12"/>
  <c r="S96" i="12"/>
  <c r="D96" i="12"/>
  <c r="L96" i="12"/>
  <c r="B96" i="12"/>
  <c r="F96" i="12"/>
  <c r="J96" i="12"/>
  <c r="N96" i="12"/>
  <c r="R96" i="12"/>
  <c r="G150" i="12"/>
  <c r="O146" i="12"/>
  <c r="G146" i="12"/>
  <c r="S142" i="12"/>
  <c r="N142" i="12"/>
  <c r="C142" i="12"/>
  <c r="C141" i="12"/>
  <c r="G141" i="12"/>
  <c r="O141" i="12"/>
  <c r="S141" i="12"/>
  <c r="D140" i="12"/>
  <c r="D134" i="12"/>
  <c r="L134" i="12"/>
  <c r="P134" i="12"/>
  <c r="D133" i="12"/>
  <c r="B132" i="12"/>
  <c r="F132" i="12"/>
  <c r="S126" i="12"/>
  <c r="N126" i="12"/>
  <c r="C126" i="12"/>
  <c r="C125" i="12"/>
  <c r="G125" i="12"/>
  <c r="S125" i="12"/>
  <c r="D124" i="12"/>
  <c r="E120" i="12"/>
  <c r="E116" i="12"/>
  <c r="M112" i="12"/>
  <c r="E112" i="12"/>
  <c r="M108" i="12"/>
  <c r="E108" i="12"/>
  <c r="E104" i="12"/>
  <c r="E100" i="12"/>
  <c r="G121" i="12"/>
  <c r="S117" i="12"/>
  <c r="K117" i="12"/>
  <c r="G117" i="12"/>
  <c r="S113" i="12"/>
  <c r="O113" i="12"/>
  <c r="G113" i="12"/>
  <c r="O109" i="12"/>
  <c r="G109" i="12"/>
  <c r="S105" i="12"/>
  <c r="G105" i="12"/>
  <c r="O101" i="12"/>
  <c r="G101" i="12"/>
  <c r="L98" i="12"/>
  <c r="D98" i="12"/>
  <c r="S97" i="12"/>
  <c r="O97" i="12"/>
  <c r="G97" i="12"/>
  <c r="D94" i="12"/>
  <c r="G93" i="12"/>
  <c r="R92" i="12"/>
  <c r="N92" i="12"/>
  <c r="F92" i="12"/>
  <c r="B92" i="12"/>
  <c r="P90" i="12"/>
  <c r="L90" i="12"/>
  <c r="D90" i="12"/>
  <c r="S89" i="12"/>
  <c r="G89" i="12"/>
  <c r="R88" i="12"/>
  <c r="N88" i="12"/>
  <c r="F88" i="12"/>
  <c r="B88" i="12"/>
  <c r="D86" i="12"/>
  <c r="S85" i="12"/>
  <c r="O85" i="12"/>
  <c r="G85" i="12"/>
  <c r="F84" i="12"/>
  <c r="B84" i="12"/>
  <c r="C80" i="12"/>
  <c r="G80" i="12"/>
  <c r="O80" i="12"/>
  <c r="S80" i="12"/>
  <c r="M77" i="12"/>
  <c r="G77" i="12"/>
  <c r="P76" i="12"/>
  <c r="E76" i="12"/>
  <c r="S75" i="12"/>
  <c r="M75" i="12"/>
  <c r="D73" i="12"/>
  <c r="B71" i="12"/>
  <c r="F71" i="12"/>
  <c r="D71" i="12"/>
  <c r="L71" i="12"/>
  <c r="P71" i="12"/>
  <c r="O69" i="12"/>
  <c r="G69" i="12"/>
  <c r="R68" i="12"/>
  <c r="O66" i="12"/>
  <c r="D60" i="12"/>
  <c r="L60" i="12"/>
  <c r="P60" i="12"/>
  <c r="B60" i="12"/>
  <c r="G60" i="12"/>
  <c r="E60" i="12"/>
  <c r="J60" i="12"/>
  <c r="O60" i="12"/>
  <c r="Q52" i="12"/>
  <c r="N51" i="12"/>
  <c r="D77" i="12"/>
  <c r="L77" i="12"/>
  <c r="P77" i="12"/>
  <c r="B75" i="12"/>
  <c r="F75" i="12"/>
  <c r="N75" i="12"/>
  <c r="R75" i="12"/>
  <c r="B66" i="12"/>
  <c r="F66" i="12"/>
  <c r="E66" i="12"/>
  <c r="P66" i="12"/>
  <c r="C66" i="12"/>
  <c r="M66" i="12"/>
  <c r="C51" i="12"/>
  <c r="G51" i="12"/>
  <c r="S51" i="12"/>
  <c r="B51" i="12"/>
  <c r="M51" i="12"/>
  <c r="R51" i="12"/>
  <c r="E51" i="12"/>
  <c r="P51" i="12"/>
  <c r="B50" i="12"/>
  <c r="F50" i="12"/>
  <c r="N50" i="12"/>
  <c r="R50" i="12"/>
  <c r="D50" i="12"/>
  <c r="O50" i="12"/>
  <c r="E50" i="12"/>
  <c r="C50" i="12"/>
  <c r="S50" i="12"/>
  <c r="R98" i="12"/>
  <c r="N98" i="12"/>
  <c r="F98" i="12"/>
  <c r="F94" i="12"/>
  <c r="P92" i="12"/>
  <c r="D92" i="12"/>
  <c r="R90" i="12"/>
  <c r="N90" i="12"/>
  <c r="F90" i="12"/>
  <c r="D88" i="12"/>
  <c r="R86" i="12"/>
  <c r="N86" i="12"/>
  <c r="F86" i="12"/>
  <c r="D84" i="12"/>
  <c r="D81" i="12"/>
  <c r="B79" i="12"/>
  <c r="F79" i="12"/>
  <c r="N79" i="12"/>
  <c r="O77" i="12"/>
  <c r="E77" i="12"/>
  <c r="P75" i="12"/>
  <c r="E75" i="12"/>
  <c r="S69" i="12"/>
  <c r="K69" i="12"/>
  <c r="N68" i="12"/>
  <c r="C67" i="12"/>
  <c r="G67" i="12"/>
  <c r="S67" i="12"/>
  <c r="B67" i="12"/>
  <c r="E67" i="12"/>
  <c r="P67" i="12"/>
  <c r="N59" i="12"/>
  <c r="B58" i="12"/>
  <c r="F58" i="12"/>
  <c r="J58" i="12"/>
  <c r="N58" i="12"/>
  <c r="R58" i="12"/>
  <c r="C58" i="12"/>
  <c r="H58" i="12"/>
  <c r="S58" i="12"/>
  <c r="E58" i="12"/>
  <c r="K58" i="12"/>
  <c r="P58" i="12"/>
  <c r="D52" i="12"/>
  <c r="L52" i="12"/>
  <c r="P52" i="12"/>
  <c r="E52" i="12"/>
  <c r="B52" i="12"/>
  <c r="G52" i="12"/>
  <c r="M52" i="12"/>
  <c r="S92" i="12"/>
  <c r="G92" i="12"/>
  <c r="S88" i="12"/>
  <c r="O88" i="12"/>
  <c r="G88" i="12"/>
  <c r="O84" i="12"/>
  <c r="G84" i="12"/>
  <c r="C77" i="12"/>
  <c r="C76" i="12"/>
  <c r="G76" i="12"/>
  <c r="D75" i="12"/>
  <c r="D69" i="12"/>
  <c r="L69" i="12"/>
  <c r="P69" i="12"/>
  <c r="B69" i="12"/>
  <c r="F69" i="12"/>
  <c r="N69" i="12"/>
  <c r="R69" i="12"/>
  <c r="D68" i="12"/>
  <c r="L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S39" i="12"/>
  <c r="R36" i="12"/>
  <c r="G36" i="12"/>
  <c r="D34" i="12"/>
  <c r="B34" i="12"/>
  <c r="F34" i="12"/>
  <c r="N34" i="12"/>
  <c r="R34" i="12"/>
  <c r="O32" i="12"/>
  <c r="G32" i="12"/>
  <c r="D30" i="12"/>
  <c r="L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L10" i="12"/>
  <c r="P10" i="12"/>
  <c r="B10" i="12"/>
  <c r="F10" i="12"/>
  <c r="G8" i="12"/>
  <c r="C43" i="12"/>
  <c r="G43" i="12"/>
  <c r="O43" i="12"/>
  <c r="S43" i="12"/>
  <c r="D36" i="12"/>
  <c r="L36" i="12"/>
  <c r="P36" i="12"/>
  <c r="E8" i="12"/>
  <c r="B187" i="13"/>
  <c r="F187" i="13"/>
  <c r="D187" i="13"/>
  <c r="B183" i="13"/>
  <c r="F183" i="13"/>
  <c r="D183" i="13"/>
  <c r="B179" i="13"/>
  <c r="F179" i="13"/>
  <c r="D179" i="13"/>
  <c r="S72" i="12"/>
  <c r="K72" i="12"/>
  <c r="G72" i="12"/>
  <c r="I64" i="12"/>
  <c r="C64" i="12"/>
  <c r="C63" i="12"/>
  <c r="G63" i="12"/>
  <c r="O63" i="12"/>
  <c r="O62" i="12"/>
  <c r="D62" i="12"/>
  <c r="D56" i="12"/>
  <c r="L56" i="12"/>
  <c r="P56" i="12"/>
  <c r="N55" i="12"/>
  <c r="D55" i="12"/>
  <c r="B54" i="12"/>
  <c r="F54" i="12"/>
  <c r="N54" i="12"/>
  <c r="R54" i="12"/>
  <c r="C48" i="12"/>
  <c r="C47" i="12"/>
  <c r="G47" i="12"/>
  <c r="O47" i="12"/>
  <c r="O46" i="12"/>
  <c r="D46" i="12"/>
  <c r="R44" i="12"/>
  <c r="M44" i="12"/>
  <c r="G44" i="12"/>
  <c r="E43" i="12"/>
  <c r="D40" i="12"/>
  <c r="L40" i="12"/>
  <c r="P40" i="12"/>
  <c r="N39" i="12"/>
  <c r="D39" i="12"/>
  <c r="B38" i="12"/>
  <c r="F38" i="12"/>
  <c r="O36" i="12"/>
  <c r="E36" i="12"/>
  <c r="M34" i="12"/>
  <c r="E34" i="12"/>
  <c r="M30" i="12"/>
  <c r="E30" i="12"/>
  <c r="S28" i="12"/>
  <c r="M26" i="12"/>
  <c r="E26" i="12"/>
  <c r="S24" i="12"/>
  <c r="E22" i="12"/>
  <c r="S20" i="12"/>
  <c r="M18" i="12"/>
  <c r="E18" i="12"/>
  <c r="E14" i="12"/>
  <c r="S12" i="12"/>
  <c r="M10" i="12"/>
  <c r="E10" i="12"/>
  <c r="S8"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N28" i="12"/>
  <c r="R28" i="12"/>
  <c r="D28" i="12"/>
  <c r="B24" i="12"/>
  <c r="F24" i="12"/>
  <c r="N24" i="12"/>
  <c r="R24" i="12"/>
  <c r="D24" i="12"/>
  <c r="B20" i="12"/>
  <c r="F20" i="12"/>
  <c r="N20" i="12"/>
  <c r="R20" i="12"/>
  <c r="D20" i="12"/>
  <c r="L20" i="12"/>
  <c r="B16" i="12"/>
  <c r="F16" i="12"/>
  <c r="R16" i="12"/>
  <c r="D16" i="12"/>
  <c r="B12" i="12"/>
  <c r="F12" i="12"/>
  <c r="N12" i="12"/>
  <c r="R12" i="12"/>
  <c r="D12" i="12"/>
  <c r="B8" i="12"/>
  <c r="F8" i="12"/>
  <c r="D8" i="12"/>
  <c r="L8" i="12"/>
  <c r="P8" i="12"/>
  <c r="S35" i="12"/>
  <c r="O35" i="12"/>
  <c r="G35" i="12"/>
  <c r="O31" i="12"/>
  <c r="G31" i="12"/>
  <c r="S27" i="12"/>
  <c r="O27" i="12"/>
  <c r="G27" i="12"/>
  <c r="S23" i="12"/>
  <c r="O23" i="12"/>
  <c r="G23" i="12"/>
  <c r="G19" i="12"/>
  <c r="O15" i="12"/>
  <c r="G15" i="12"/>
  <c r="S11"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F3" i="21" s="1"/>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G3" i="21" s="1"/>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G110" i="14" s="1"/>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G66" i="14" s="1"/>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G19" i="14" l="1"/>
  <c r="H22" i="12"/>
  <c r="H135" i="3"/>
  <c r="H52" i="3"/>
  <c r="J116" i="7"/>
  <c r="M160" i="5"/>
  <c r="K40" i="3"/>
  <c r="H131" i="3"/>
  <c r="H96" i="3"/>
  <c r="K119" i="3"/>
  <c r="P79" i="5"/>
  <c r="P123" i="5"/>
  <c r="K32" i="3"/>
  <c r="H112" i="3"/>
  <c r="L64" i="12"/>
  <c r="D47" i="7"/>
  <c r="N73" i="2"/>
  <c r="O73" i="2" s="1"/>
  <c r="G152" i="2"/>
  <c r="O156" i="7"/>
  <c r="D187" i="7"/>
  <c r="J187" i="7"/>
  <c r="I47" i="7"/>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B125" i="7"/>
  <c r="E125" i="7"/>
  <c r="F125" i="7"/>
  <c r="J125" i="7"/>
  <c r="O125" i="7"/>
  <c r="N125" i="7"/>
  <c r="D125" i="7"/>
  <c r="G125" i="7"/>
  <c r="B122" i="7"/>
  <c r="L122" i="7"/>
  <c r="K122" i="12" s="1"/>
  <c r="O122" i="7"/>
  <c r="M122" i="7"/>
  <c r="H122" i="7"/>
  <c r="J122" i="7"/>
  <c r="N122" i="7"/>
  <c r="E122" i="7"/>
  <c r="I122" i="7"/>
  <c r="F122" i="7"/>
  <c r="G122" i="7"/>
  <c r="B48" i="7"/>
  <c r="H72" i="3"/>
  <c r="D102" i="7"/>
  <c r="I102" i="7"/>
  <c r="N102" i="7"/>
  <c r="L102" i="7"/>
  <c r="F102" i="7"/>
  <c r="M102" i="7"/>
  <c r="C102" i="7"/>
  <c r="G102" i="7"/>
  <c r="K102" i="7"/>
  <c r="O102" i="7"/>
  <c r="G137" i="7"/>
  <c r="O137" i="7"/>
  <c r="K113" i="12"/>
  <c r="E137" i="7"/>
  <c r="I157" i="12"/>
  <c r="I137" i="7"/>
  <c r="I137" i="12" s="1"/>
  <c r="K154" i="12"/>
  <c r="K163" i="12"/>
  <c r="H152" i="12"/>
  <c r="D137" i="7"/>
  <c r="H162" i="12"/>
  <c r="M137" i="7"/>
  <c r="K112" i="12"/>
  <c r="I133" i="12"/>
  <c r="H154" i="12"/>
  <c r="H125"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I36" i="7"/>
  <c r="O36" i="7"/>
  <c r="L36" i="7"/>
  <c r="K36" i="12" s="1"/>
  <c r="K36" i="7"/>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N34" i="7"/>
  <c r="I34" i="7"/>
  <c r="I34" i="12" s="1"/>
  <c r="B34" i="7"/>
  <c r="D34" i="7"/>
  <c r="F34" i="7"/>
  <c r="M34" i="7"/>
  <c r="J34" i="7"/>
  <c r="H34" i="7"/>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I175" i="12"/>
  <c r="J89" i="12"/>
  <c r="H89" i="12"/>
  <c r="B73" i="7"/>
  <c r="L99" i="7"/>
  <c r="H106" i="7"/>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N169" i="7"/>
  <c r="L129" i="7"/>
  <c r="G137" i="14"/>
  <c r="F84" i="7"/>
  <c r="D169" i="7"/>
  <c r="C129" i="7"/>
  <c r="H84" i="7"/>
  <c r="H84" i="12" s="1"/>
  <c r="H160" i="12"/>
  <c r="K31" i="3"/>
  <c r="K150" i="3"/>
  <c r="H81" i="12"/>
  <c r="H92" i="12"/>
  <c r="H90" i="12"/>
  <c r="H94" i="12"/>
  <c r="M116" i="12"/>
  <c r="Q57" i="12"/>
  <c r="S149" i="12"/>
  <c r="K50" i="7"/>
  <c r="J50" i="12" s="1"/>
  <c r="N61" i="7"/>
  <c r="K146" i="7"/>
  <c r="J146" i="12" s="1"/>
  <c r="J70" i="12"/>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H175" i="12"/>
  <c r="K70" i="12"/>
  <c r="H69" i="12"/>
  <c r="J77" i="12"/>
  <c r="M76" i="5"/>
  <c r="J118" i="5"/>
  <c r="K45" i="3"/>
  <c r="H138" i="3"/>
  <c r="H154" i="3"/>
  <c r="G93" i="2"/>
  <c r="J84" i="7"/>
  <c r="D80" i="7"/>
  <c r="O99" i="7"/>
  <c r="N132" i="2"/>
  <c r="O132" i="2" s="1"/>
  <c r="E32" i="3"/>
  <c r="H169" i="7"/>
  <c r="H169" i="12" s="1"/>
  <c r="B84" i="7"/>
  <c r="M99" i="7"/>
  <c r="I61" i="7"/>
  <c r="L61" i="7"/>
  <c r="L169" i="7"/>
  <c r="M73" i="7"/>
  <c r="F69" i="5"/>
  <c r="G69" i="5" s="1"/>
  <c r="P94" i="5"/>
  <c r="K88" i="12"/>
  <c r="N8" i="12"/>
  <c r="R14" i="12"/>
  <c r="M59" i="12"/>
  <c r="H96" i="12"/>
  <c r="C50" i="7"/>
  <c r="F61" i="7"/>
  <c r="C146" i="7"/>
  <c r="K91" i="12"/>
  <c r="F129" i="7"/>
  <c r="H146" i="7"/>
  <c r="I166" i="12"/>
  <c r="J165" i="12"/>
  <c r="J176" i="7"/>
  <c r="J30" i="5"/>
  <c r="H79" i="12"/>
  <c r="K102"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78" i="12"/>
  <c r="J102" i="5"/>
  <c r="F25" i="2"/>
  <c r="F105" i="2"/>
  <c r="J138" i="2"/>
  <c r="K138" i="2" s="1"/>
  <c r="D50" i="7"/>
  <c r="I80" i="7"/>
  <c r="H129" i="7"/>
  <c r="K99" i="7"/>
  <c r="G44" i="2"/>
  <c r="H68" i="7"/>
  <c r="I167" i="7"/>
  <c r="C169" i="7"/>
  <c r="N108" i="2"/>
  <c r="O108" i="2" s="1"/>
  <c r="F8" i="7"/>
  <c r="B146" i="7"/>
  <c r="I176" i="7"/>
  <c r="N84" i="7"/>
  <c r="K173" i="3"/>
  <c r="G100" i="14"/>
  <c r="G132" i="14"/>
  <c r="K63" i="12"/>
  <c r="J62" i="12"/>
  <c r="J67" i="12"/>
  <c r="J94" i="12"/>
  <c r="H77" i="12"/>
  <c r="H60" i="12"/>
  <c r="K97" i="12"/>
  <c r="K175" i="12"/>
  <c r="M89" i="5"/>
  <c r="L181" i="12"/>
  <c r="K87" i="12"/>
  <c r="I106" i="7"/>
  <c r="H151" i="12"/>
  <c r="H59" i="12"/>
  <c r="J91" i="12"/>
  <c r="G169" i="7"/>
  <c r="K106" i="7"/>
  <c r="J106" i="12" s="1"/>
  <c r="I91" i="12"/>
  <c r="I93" i="12"/>
  <c r="H142" i="3"/>
  <c r="H158" i="3"/>
  <c r="H174" i="3"/>
  <c r="H46" i="3"/>
  <c r="J69" i="2"/>
  <c r="K69" i="2" s="1"/>
  <c r="J117" i="2"/>
  <c r="K117" i="2" s="1"/>
  <c r="P102" i="5"/>
  <c r="I50" i="7"/>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I80"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H165" i="12"/>
  <c r="K92" i="12"/>
  <c r="J88" i="12"/>
  <c r="J92" i="12"/>
  <c r="R79" i="12"/>
  <c r="H88" i="12"/>
  <c r="H73" i="12"/>
  <c r="K100" i="12"/>
  <c r="M61" i="7"/>
  <c r="I67" i="12"/>
  <c r="O73" i="7"/>
  <c r="D126" i="7"/>
  <c r="J43" i="5"/>
  <c r="I92" i="12"/>
  <c r="H70" i="12"/>
  <c r="J73" i="7"/>
  <c r="D176" i="7"/>
  <c r="J126" i="5"/>
  <c r="E11" i="5"/>
  <c r="F11" i="5" s="1"/>
  <c r="G11" i="5" s="1"/>
  <c r="K94" i="3"/>
  <c r="G21" i="14"/>
  <c r="P146" i="5"/>
  <c r="B80" i="7"/>
  <c r="K82" i="12"/>
  <c r="F163" i="2"/>
  <c r="G57" i="14"/>
  <c r="H8" i="7"/>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O159" i="12"/>
  <c r="N112" i="2"/>
  <c r="O112" i="2" s="1"/>
  <c r="L173" i="12"/>
  <c r="Q165" i="12"/>
  <c r="B232" i="2"/>
  <c r="L179" i="12"/>
  <c r="S170" i="12"/>
  <c r="L161" i="5"/>
  <c r="M161" i="5" s="1"/>
  <c r="J112" i="12"/>
  <c r="P95" i="5"/>
  <c r="F166" i="5"/>
  <c r="G166" i="5" s="1"/>
  <c r="E102" i="5"/>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J36"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36" i="12"/>
  <c r="H14" i="12"/>
  <c r="J22" i="12"/>
  <c r="H48"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I84"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B3" i="21"/>
  <c r="G34" i="14"/>
  <c r="G38" i="2"/>
  <c r="J4" i="21"/>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D234" i="2" s="1"/>
  <c r="O164" i="12"/>
  <c r="N171" i="12"/>
  <c r="L176" i="12"/>
  <c r="L185" i="12"/>
  <c r="B231" i="2"/>
  <c r="P142" i="12"/>
  <c r="L149" i="12"/>
  <c r="O24" i="12"/>
  <c r="O26" i="12"/>
  <c r="L11" i="5"/>
  <c r="L13" i="5"/>
  <c r="M13" i="5" s="1"/>
  <c r="L18" i="5"/>
  <c r="L20" i="5"/>
  <c r="M20" i="5" s="1"/>
  <c r="N41" i="12"/>
  <c r="N44" i="12"/>
  <c r="N97" i="12"/>
  <c r="N103" i="12"/>
  <c r="P15" i="12"/>
  <c r="L17" i="12"/>
  <c r="L50" i="12"/>
  <c r="P61" i="12"/>
  <c r="L66" i="12"/>
  <c r="L80" i="12"/>
  <c r="L85" i="12"/>
  <c r="L130" i="5"/>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L78" i="5"/>
  <c r="L93" i="5"/>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L117" i="5"/>
  <c r="M117" i="5" s="1"/>
  <c r="L123" i="5"/>
  <c r="M123" i="5" s="1"/>
  <c r="O160" i="12"/>
  <c r="L163" i="5"/>
  <c r="M163" i="5" s="1"/>
  <c r="I60" i="12"/>
  <c r="I61" i="12"/>
  <c r="K60" i="12"/>
  <c r="K61"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H97" i="12"/>
  <c r="J87" i="12"/>
  <c r="L131" i="5"/>
  <c r="M131" i="5" s="1"/>
  <c r="E45" i="5"/>
  <c r="F45" i="5" s="1"/>
  <c r="G45" i="5" s="1"/>
  <c r="K170" i="12"/>
  <c r="E91" i="5"/>
  <c r="J154" i="12"/>
  <c r="E24" i="5"/>
  <c r="F24" i="5" s="1"/>
  <c r="G24" i="5" s="1"/>
  <c r="L94" i="5"/>
  <c r="O185" i="12"/>
  <c r="J183" i="12"/>
  <c r="M28" i="12"/>
  <c r="O21" i="12"/>
  <c r="L59" i="5"/>
  <c r="L79" i="5"/>
  <c r="M79" i="5" s="1"/>
  <c r="O89" i="12"/>
  <c r="L103" i="5"/>
  <c r="M103" i="5" s="1"/>
  <c r="L161" i="12"/>
  <c r="O149" i="12"/>
  <c r="L177" i="12"/>
  <c r="H65" i="12"/>
  <c r="E16" i="5"/>
  <c r="F16" i="5" s="1"/>
  <c r="G16" i="5" s="1"/>
  <c r="E75" i="5"/>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78" i="12"/>
  <c r="I83" i="12"/>
  <c r="J74" i="12"/>
  <c r="I96" i="12"/>
  <c r="I72" i="12"/>
  <c r="H74" i="12"/>
  <c r="J125" i="12"/>
  <c r="H133" i="12"/>
  <c r="L119" i="5"/>
  <c r="M119" i="5" s="1"/>
  <c r="L148" i="5"/>
  <c r="M148" i="5" s="1"/>
  <c r="L153" i="5"/>
  <c r="M153" i="5" s="1"/>
  <c r="E78" i="5"/>
  <c r="F78" i="5" s="1"/>
  <c r="G78" i="5" s="1"/>
  <c r="E96" i="5"/>
  <c r="F96" i="5" s="1"/>
  <c r="G96" i="5" s="1"/>
  <c r="E131" i="5"/>
  <c r="E135" i="5"/>
  <c r="F135" i="5" s="1"/>
  <c r="G135" i="5" s="1"/>
  <c r="E28" i="5"/>
  <c r="F28" i="5" s="1"/>
  <c r="G28" i="5" s="1"/>
  <c r="E148" i="5"/>
  <c r="L43" i="12"/>
  <c r="O83" i="12"/>
  <c r="O79" i="12"/>
  <c r="O111" i="12"/>
  <c r="M132" i="12"/>
  <c r="N165" i="12"/>
  <c r="I88" i="12"/>
  <c r="K132" i="12"/>
  <c r="E16" i="3"/>
  <c r="K26" i="3"/>
  <c r="K74" i="3"/>
  <c r="E52" i="3"/>
  <c r="E126" i="5"/>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H82" i="12"/>
  <c r="I94" i="12"/>
  <c r="L35" i="5"/>
  <c r="M35" i="5" s="1"/>
  <c r="L154" i="5"/>
  <c r="M154" i="5" s="1"/>
  <c r="O170" i="12"/>
  <c r="J61" i="12"/>
  <c r="J166" i="12"/>
  <c r="L112" i="5"/>
  <c r="M112" i="5" s="1"/>
  <c r="L135" i="5"/>
  <c r="M135" i="5" s="1"/>
  <c r="E27" i="5"/>
  <c r="F27" i="5" s="1"/>
  <c r="G27" i="5" s="1"/>
  <c r="E111" i="5"/>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E20" i="5"/>
  <c r="F20" i="5" s="1"/>
  <c r="G20" i="5" s="1"/>
  <c r="E36" i="5"/>
  <c r="F36" i="5" s="1"/>
  <c r="G36" i="5" s="1"/>
  <c r="E120" i="5"/>
  <c r="F120" i="5" s="1"/>
  <c r="G120" i="5" s="1"/>
  <c r="E161" i="5"/>
  <c r="F161" i="5" s="1"/>
  <c r="G161" i="5" s="1"/>
  <c r="M16" i="12"/>
  <c r="L14" i="5"/>
  <c r="M14" i="5" s="1"/>
  <c r="L75" i="12"/>
  <c r="H56" i="12"/>
  <c r="J72" i="12"/>
  <c r="J179" i="12"/>
  <c r="E130" i="5"/>
  <c r="E100" i="3"/>
  <c r="K84" i="3"/>
  <c r="F159" i="2"/>
  <c r="P17" i="5"/>
  <c r="P29" i="5"/>
  <c r="P41" i="5"/>
  <c r="M46" i="5"/>
  <c r="O14" i="12"/>
  <c r="M131" i="12"/>
  <c r="M67" i="12"/>
  <c r="L81" i="12"/>
  <c r="L112" i="12"/>
  <c r="L183" i="12"/>
  <c r="H68" i="12"/>
  <c r="I76" i="12"/>
  <c r="K181" i="12"/>
  <c r="E79" i="5"/>
  <c r="F79" i="5" s="1"/>
  <c r="G79" i="5" s="1"/>
  <c r="E83" i="5"/>
  <c r="F83" i="5" s="1"/>
  <c r="G83" i="5" s="1"/>
  <c r="E87" i="5"/>
  <c r="F87" i="5" s="1"/>
  <c r="G87" i="5" s="1"/>
  <c r="E63" i="5"/>
  <c r="K175" i="3"/>
  <c r="F152" i="2"/>
  <c r="P115" i="5"/>
  <c r="N99" i="12"/>
  <c r="C10" i="28"/>
  <c r="N13" i="12"/>
  <c r="L125" i="12"/>
  <c r="J72" i="2"/>
  <c r="K72" i="2" s="1"/>
  <c r="P16" i="5"/>
  <c r="P71" i="5"/>
  <c r="M109" i="12"/>
  <c r="O165" i="12"/>
  <c r="E127" i="5"/>
  <c r="F127" i="5" s="1"/>
  <c r="G127" i="5" s="1"/>
  <c r="P44" i="5"/>
  <c r="P157" i="5"/>
  <c r="L21" i="12"/>
  <c r="P21" i="12"/>
  <c r="K115" i="7"/>
  <c r="L138" i="5"/>
  <c r="M138" i="5" s="1"/>
  <c r="C13" i="28"/>
  <c r="M101" i="12"/>
  <c r="Q101" i="12"/>
  <c r="C104" i="7"/>
  <c r="F104" i="7"/>
  <c r="I98" i="12"/>
  <c r="J104" i="7"/>
  <c r="L104" i="7"/>
  <c r="K104" i="12" s="1"/>
  <c r="N104" i="7"/>
  <c r="E104" i="7"/>
  <c r="D104" i="7"/>
  <c r="M104" i="7"/>
  <c r="I104" i="7"/>
  <c r="I104" i="12" s="1"/>
  <c r="H106" i="12"/>
  <c r="G104" i="7"/>
  <c r="K104" i="7"/>
  <c r="J104" i="12" s="1"/>
  <c r="O104" i="7"/>
  <c r="I103" i="12"/>
  <c r="I107" i="12"/>
  <c r="K98" i="12"/>
  <c r="R159" i="12"/>
  <c r="S159" i="12"/>
  <c r="F141" i="5"/>
  <c r="G141" i="5" s="1"/>
  <c r="E129" i="3"/>
  <c r="G131" i="14"/>
  <c r="E37" i="5"/>
  <c r="F37" i="5" s="1"/>
  <c r="G37" i="5" s="1"/>
  <c r="H37" i="3"/>
  <c r="B142" i="7"/>
  <c r="N142" i="7"/>
  <c r="I142" i="7"/>
  <c r="I149" i="12" s="1"/>
  <c r="D142" i="7"/>
  <c r="L142" i="7"/>
  <c r="M142" i="7"/>
  <c r="E142" i="7"/>
  <c r="F142" i="7"/>
  <c r="C142" i="7"/>
  <c r="H142" i="7"/>
  <c r="H142" i="12" s="1"/>
  <c r="G142" i="7"/>
  <c r="B128" i="7"/>
  <c r="M128" i="7"/>
  <c r="D128" i="7"/>
  <c r="I128" i="7"/>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H44" i="12"/>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I102" i="12"/>
  <c r="G63" i="14"/>
  <c r="J16" i="2"/>
  <c r="K16" i="2" s="1"/>
  <c r="K153" i="7"/>
  <c r="J161" i="12" s="1"/>
  <c r="M11" i="5"/>
  <c r="S99" i="12"/>
  <c r="M66" i="5"/>
  <c r="M31" i="12"/>
  <c r="I101" i="12"/>
  <c r="K150" i="7"/>
  <c r="J163" i="12"/>
  <c r="J151" i="12"/>
  <c r="H101" i="12"/>
  <c r="C126" i="7"/>
  <c r="N174" i="7"/>
  <c r="M92" i="5"/>
  <c r="F101" i="5"/>
  <c r="G101" i="5" s="1"/>
  <c r="F115" i="5"/>
  <c r="G115" i="5" s="1"/>
  <c r="F134" i="5"/>
  <c r="G134" i="5" s="1"/>
  <c r="H122" i="3"/>
  <c r="H35" i="3"/>
  <c r="E145" i="3"/>
  <c r="N110" i="2"/>
  <c r="O110" i="2" s="1"/>
  <c r="J77" i="2"/>
  <c r="K77" i="2" s="1"/>
  <c r="G130" i="2"/>
  <c r="F56" i="7"/>
  <c r="N28" i="2"/>
  <c r="O28" i="2" s="1"/>
  <c r="G193" i="2"/>
  <c r="C175" i="7"/>
  <c r="N175" i="7"/>
  <c r="M73" i="5"/>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F126" i="5"/>
  <c r="G126" i="5" s="1"/>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H161" i="12"/>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I36" i="12"/>
  <c r="E125" i="3"/>
  <c r="F36" i="2"/>
  <c r="P113" i="5"/>
  <c r="P127" i="5"/>
  <c r="P145" i="5"/>
  <c r="H134" i="12"/>
  <c r="P11" i="5"/>
  <c r="P24" i="5"/>
  <c r="P35" i="5"/>
  <c r="P147" i="5"/>
  <c r="I161" i="12"/>
  <c r="P122" i="5"/>
  <c r="F173" i="2"/>
  <c r="I128" i="1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M158" i="5"/>
  <c r="G66" i="7"/>
  <c r="I110" i="7"/>
  <c r="I110" i="12" s="1"/>
  <c r="J133" i="12"/>
  <c r="C147" i="7"/>
  <c r="J19" i="5"/>
  <c r="H189" i="12"/>
  <c r="H9" i="7"/>
  <c r="E66" i="7"/>
  <c r="D147" i="7"/>
  <c r="J106" i="5"/>
  <c r="F186" i="7"/>
  <c r="E105" i="3"/>
  <c r="H163" i="3"/>
  <c r="F66" i="7"/>
  <c r="K147" i="7"/>
  <c r="J155" i="12" s="1"/>
  <c r="E146" i="3"/>
  <c r="N193" i="2"/>
  <c r="O193" i="2" s="1"/>
  <c r="G186" i="7"/>
  <c r="S171" i="12"/>
  <c r="Q29" i="12"/>
  <c r="M93" i="5"/>
  <c r="L141" i="12"/>
  <c r="C66" i="7"/>
  <c r="N110" i="7"/>
  <c r="I147" i="7"/>
  <c r="J189" i="12"/>
  <c r="J109" i="12"/>
  <c r="D9" i="7"/>
  <c r="J66" i="7"/>
  <c r="F63" i="5"/>
  <c r="G63" i="5" s="1"/>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J66" i="12"/>
  <c r="S121" i="12"/>
  <c r="N132" i="12"/>
  <c r="N118" i="12"/>
  <c r="H184" i="12"/>
  <c r="K184" i="12"/>
  <c r="Q100" i="12"/>
  <c r="I185" i="12"/>
  <c r="C9" i="7"/>
  <c r="H63" i="3"/>
  <c r="G30" i="2"/>
  <c r="F110" i="7"/>
  <c r="N189" i="2"/>
  <c r="O189" i="2" s="1"/>
  <c r="K186" i="7"/>
  <c r="J185" i="12" s="1"/>
  <c r="H8" i="12"/>
  <c r="S64" i="12"/>
  <c r="P26" i="12"/>
  <c r="Q95" i="12"/>
  <c r="M130" i="5"/>
  <c r="H66" i="7"/>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H34" i="12"/>
  <c r="I46" i="12"/>
  <c r="H138" i="12"/>
  <c r="M47" i="5"/>
  <c r="M68" i="5"/>
  <c r="Q24" i="12"/>
  <c r="J18" i="12"/>
  <c r="H33" i="3"/>
  <c r="E66" i="5"/>
  <c r="F66" i="5" s="1"/>
  <c r="G66" i="5" s="1"/>
  <c r="E80" i="3"/>
  <c r="K176" i="3"/>
  <c r="K69" i="3"/>
  <c r="J23" i="5"/>
  <c r="M120"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F130" i="5"/>
  <c r="G130" i="5" s="1"/>
  <c r="E61" i="3"/>
  <c r="H107" i="3"/>
  <c r="K124" i="3"/>
  <c r="G167" i="2"/>
  <c r="G60" i="14"/>
  <c r="P76" i="5"/>
  <c r="P100" i="5"/>
  <c r="K92" i="3"/>
  <c r="L142" i="12"/>
  <c r="G134" i="14"/>
  <c r="P42" i="12"/>
  <c r="M140" i="12"/>
  <c r="F107" i="5"/>
  <c r="G107" i="5" s="1"/>
  <c r="K103" i="3"/>
  <c r="E62" i="5"/>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F91" i="5"/>
  <c r="G91" i="5" s="1"/>
  <c r="M110" i="5"/>
  <c r="E46" i="5"/>
  <c r="F46" i="5" s="1"/>
  <c r="G46" i="5" s="1"/>
  <c r="N25" i="2"/>
  <c r="O25" i="2" s="1"/>
  <c r="G29" i="2"/>
  <c r="J114" i="2"/>
  <c r="K114" i="2" s="1"/>
  <c r="G76" i="14"/>
  <c r="N48" i="12"/>
  <c r="Q19" i="12"/>
  <c r="P121" i="12"/>
  <c r="F133" i="5"/>
  <c r="G133" i="5" s="1"/>
  <c r="K23" i="3"/>
  <c r="J63" i="2"/>
  <c r="K63" i="2" s="1"/>
  <c r="F185" i="2"/>
  <c r="J187" i="2"/>
  <c r="K187" i="2" s="1"/>
  <c r="F68" i="5"/>
  <c r="G68" i="5" s="1"/>
  <c r="F94" i="5"/>
  <c r="G94" i="5" s="1"/>
  <c r="F131" i="5"/>
  <c r="G131" i="5" s="1"/>
  <c r="F147" i="5"/>
  <c r="G147" i="5" s="1"/>
  <c r="F163" i="5"/>
  <c r="G163" i="5" s="1"/>
  <c r="K71" i="3"/>
  <c r="G166" i="14"/>
  <c r="F88" i="5"/>
  <c r="G88" i="5" s="1"/>
  <c r="F102" i="5"/>
  <c r="G102" i="5" s="1"/>
  <c r="F108" i="5"/>
  <c r="G108" i="5" s="1"/>
  <c r="F139" i="5"/>
  <c r="G139" i="5" s="1"/>
  <c r="F64" i="5"/>
  <c r="G64" i="5" s="1"/>
  <c r="F75" i="5"/>
  <c r="G75"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D7" i="28"/>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H119" i="12"/>
  <c r="I139" i="12"/>
  <c r="I123" i="12"/>
  <c r="H55" i="12"/>
  <c r="K53" i="12"/>
  <c r="H53" i="12"/>
  <c r="K49" i="12"/>
  <c r="H41" i="12"/>
  <c r="I26" i="12"/>
  <c r="I18" i="12"/>
  <c r="I10" i="12"/>
  <c r="H27" i="12"/>
  <c r="H19" i="12"/>
  <c r="H11" i="12"/>
  <c r="K56" i="12"/>
  <c r="H25" i="12"/>
  <c r="H9" i="12"/>
  <c r="K38" i="12"/>
  <c r="K30" i="12"/>
  <c r="K22" i="12"/>
  <c r="K14" i="12"/>
  <c r="I49" i="12"/>
  <c r="I33" i="12"/>
  <c r="I17" i="12"/>
  <c r="K33" i="12"/>
  <c r="K25"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F62"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L32" i="7"/>
  <c r="C32" i="7"/>
  <c r="H32" i="7"/>
  <c r="H32" i="12" s="1"/>
  <c r="N32" i="7"/>
  <c r="B234" i="2"/>
  <c r="P45" i="12"/>
  <c r="C18" i="28"/>
  <c r="D16" i="28"/>
  <c r="B15" i="28"/>
  <c r="E210" i="6"/>
  <c r="C210" i="6"/>
  <c r="N151" i="12"/>
  <c r="L61" i="12"/>
  <c r="M45" i="12"/>
  <c r="H191" i="5"/>
  <c r="H192" i="5" s="1"/>
  <c r="J37" i="5"/>
  <c r="K138" i="12"/>
  <c r="H135" i="12"/>
  <c r="H128" i="12"/>
  <c r="J123" i="12"/>
  <c r="J117" i="12"/>
  <c r="I122" i="12"/>
  <c r="J115" i="12"/>
  <c r="K134" i="12"/>
  <c r="H115" i="12"/>
  <c r="I131" i="12"/>
  <c r="I115" i="12"/>
  <c r="J48" i="12"/>
  <c r="H54" i="12"/>
  <c r="K115" i="12"/>
  <c r="H45" i="12"/>
  <c r="J49" i="12"/>
  <c r="I56" i="12"/>
  <c r="I47" i="12"/>
  <c r="I38" i="12"/>
  <c r="I30" i="12"/>
  <c r="I22" i="12"/>
  <c r="I14" i="12"/>
  <c r="K37" i="12"/>
  <c r="H31" i="12"/>
  <c r="H23" i="12"/>
  <c r="H15" i="12"/>
  <c r="H7" i="12"/>
  <c r="H49" i="12"/>
  <c r="H33" i="12"/>
  <c r="H17" i="12"/>
  <c r="H46" i="12"/>
  <c r="K34"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J29" i="12"/>
  <c r="J21" i="12"/>
  <c r="J13" i="12"/>
  <c r="K57"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L191" i="5" l="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<sst xmlns="http://schemas.openxmlformats.org/spreadsheetml/2006/main" count="3512" uniqueCount="689">
  <si>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</si>
  <si>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</si>
  <si>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</si>
  <si>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</si>
  <si>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</si>
  <si>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</si>
  <si>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</si>
  <si>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</si>
  <si>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</si>
  <si>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</si>
  <si>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</si>
  <si>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</si>
  <si>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</si>
  <si>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</si>
  <si>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</si>
  <si>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</si>
  <si>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</si>
  <si>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</si>
  <si>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</si>
  <si>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</si>
  <si>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</si>
  <si>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</si>
  <si>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</si>
  <si>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</si>
  <si>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</si>
  <si>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</si>
  <si>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</si>
  <si>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</si>
  <si>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</si>
  <si>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</si>
  <si>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</si>
  <si>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</si>
  <si>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</si>
  <si>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</si>
  <si>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</si>
  <si>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</si>
  <si>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</si>
  <si>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</si>
  <si>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</si>
  <si>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</si>
  <si>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</si>
  <si>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</si>
  <si>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</si>
  <si>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</si>
  <si>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</si>
  <si>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</si>
  <si>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</si>
  <si>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</si>
  <si>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</si>
  <si>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</si>
  <si>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</si>
  <si>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</si>
  <si>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</si>
  <si>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</si>
  <si>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</si>
  <si>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</si>
  <si>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</si>
  <si>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</si>
  <si>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</si>
  <si>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</si>
  <si>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</si>
  <si>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</si>
  <si>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</si>
  <si>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</si>
  <si>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</si>
  <si>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</si>
  <si>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</si>
  <si>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</si>
  <si>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</si>
  <si>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</si>
  <si>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</si>
  <si>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</si>
  <si>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</si>
  <si>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</si>
  <si>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</si>
  <si>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</si>
  <si>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</si>
  <si>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</si>
  <si>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</si>
  <si>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</si>
  <si>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</si>
  <si>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</si>
  <si>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</si>
  <si>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</si>
  <si>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</si>
  <si>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</si>
  <si>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</si>
  <si>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</si>
  <si>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</si>
  <si>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</si>
  <si>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</si>
  <si>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</si>
  <si>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</si>
  <si>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</si>
  <si>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</si>
  <si>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</si>
  <si>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</si>
  <si>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</si>
  <si>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</si>
  <si>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</si>
  <si>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</si>
  <si>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</si>
  <si>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</si>
  <si>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</si>
  <si>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</si>
  <si>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</si>
  <si>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</si>
  <si>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</si>
  <si>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</si>
  <si>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</si>
  <si>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</si>
  <si>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</si>
  <si>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</si>
  <si>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</si>
  <si>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</si>
  <si>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</si>
  <si>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</si>
  <si>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</si>
  <si>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</si>
  <si>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</si>
  <si>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</si>
  <si>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</si>
  <si>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</si>
  <si>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</si>
  <si>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</si>
  <si>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</si>
  <si>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</si>
  <si>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</si>
  <si>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</si>
  <si>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</si>
  <si>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</si>
  <si>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</si>
  <si>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</si>
  <si>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</si>
  <si>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</si>
  <si>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</si>
  <si>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</si>
  <si>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</si>
  <si>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</si>
  <si>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</si>
  <si>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</si>
  <si>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</si>
  <si>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</si>
  <si>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</si>
  <si>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</si>
  <si>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</si>
  <si>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</si>
  <si>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</si>
  <si>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</si>
  <si>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</si>
  <si>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</si>
  <si>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</si>
  <si>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</si>
  <si>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</si>
  <si>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</si>
  <si>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</si>
  <si>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</si>
  <si>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</si>
  <si>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</si>
  <si>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</si>
  <si>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</si>
  <si>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</si>
  <si>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</si>
  <si>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</si>
  <si>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</si>
  <si>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</si>
  <si>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</si>
  <si>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</si>
  <si>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</si>
  <si>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</si>
  <si>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</si>
  <si>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</si>
  <si>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</si>
  <si>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</si>
  <si>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</si>
  <si>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</si>
  <si>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</si>
  <si>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</si>
  <si>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</si>
  <si>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</si>
  <si>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</si>
  <si>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</si>
  <si>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</si>
  <si>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</si>
  <si>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</si>
  <si>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</si>
  <si>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</si>
  <si>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</si>
  <si>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</si>
  <si>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</si>
  <si>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</si>
  <si>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</si>
  <si>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</si>
  <si>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</si>
  <si>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</si>
  <si>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</si>
  <si>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</si>
  <si>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</si>
  <si>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</si>
  <si>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</si>
  <si>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</si>
  <si>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</si>
  <si>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</si>
  <si>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</si>
  <si>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</si>
  <si>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</si>
  <si>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</si>
  <si>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</si>
  <si>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</si>
  <si>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</si>
  <si>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</si>
  <si>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</si>
  <si>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</si>
  <si>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</si>
  <si>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</si>
  <si>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</si>
  <si>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</si>
  <si>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</si>
  <si>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</si>
  <si>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</si>
  <si>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</si>
  <si>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</si>
  <si>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</si>
  <si>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</si>
  <si>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</si>
  <si>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</si>
  <si>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</si>
  <si>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</si>
  <si>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</si>
  <si>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</si>
  <si>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</si>
  <si>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</si>
  <si>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</si>
  <si>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</si>
  <si>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</si>
  <si>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</si>
  <si>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</si>
  <si>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</si>
  <si>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</si>
  <si>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</si>
  <si>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</si>
  <si>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</si>
  <si>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</si>
  <si>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</si>
  <si>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</si>
  <si>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</si>
  <si>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</si>
  <si>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</si>
  <si>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</si>
  <si>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</si>
  <si>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</si>
  <si>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</si>
  <si>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</si>
  <si>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</si>
  <si>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</si>
  <si>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</si>
  <si>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</si>
  <si>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</si>
  <si>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</si>
  <si>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</si>
  <si>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</si>
  <si>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</si>
  <si>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</si>
  <si>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</si>
  <si>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</si>
  <si>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</si>
  <si>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</si>
  <si>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</si>
  <si>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</si>
  <si>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</si>
  <si>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</si>
  <si>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</si>
  <si>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</si>
  <si>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</si>
  <si>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</si>
  <si>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</si>
  <si>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</si>
  <si>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</si>
  <si>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</si>
  <si>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</si>
  <si>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</si>
  <si>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</si>
  <si>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</si>
  <si>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</si>
  <si>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</si>
  <si>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</si>
  <si>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</si>
  <si>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</si>
  <si>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</si>
  <si>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</si>
  <si>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</si>
  <si>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</si>
  <si>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</si>
  <si>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</si>
  <si>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</si>
  <si>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</si>
  <si>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</si>
  <si>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</si>
  <si>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</si>
  <si>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</si>
  <si>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</si>
  <si>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</si>
  <si>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</si>
  <si>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</si>
  <si>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</si>
  <si>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</si>
  <si>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</si>
  <si>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</si>
  <si>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</si>
  <si>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</si>
  <si>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</si>
  <si>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</si>
  <si>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</si>
  <si>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</si>
  <si>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</si>
  <si>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</si>
  <si>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</si>
  <si>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</si>
  <si>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</si>
  <si>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</si>
  <si>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</si>
  <si>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</si>
  <si>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</si>
  <si>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</si>
  <si>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</si>
  <si>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</si>
  <si>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</si>
  <si>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</si>
  <si>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</si>
  <si>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</si>
  <si>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</si>
  <si>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</si>
  <si>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</si>
  <si>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</si>
  <si>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</si>
  <si>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</si>
  <si>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</si>
  <si>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</si>
  <si>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</si>
  <si>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</si>
  <si>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</si>
  <si>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</si>
  <si>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</si>
  <si>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</si>
  <si>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</si>
  <si>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</si>
  <si>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</si>
  <si>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</si>
  <si>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</si>
  <si>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</si>
  <si>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</si>
  <si>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</si>
  <si>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</si>
  <si>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</si>
  <si>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</si>
  <si>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</si>
  <si>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</si>
  <si>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</si>
  <si>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</si>
  <si>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</si>
  <si>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</si>
  <si>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</si>
  <si>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</si>
  <si>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</si>
  <si>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</si>
  <si>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</si>
  <si>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</si>
  <si>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</si>
  <si>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</si>
  <si>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</si>
  <si>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</si>
  <si>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</si>
  <si>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</si>
  <si>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</si>
  <si>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</si>
  <si>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</si>
  <si>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</si>
  <si>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</si>
  <si>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</si>
  <si>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</si>
  <si>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</si>
  <si>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</si>
  <si>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</si>
  <si>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</si>
  <si>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</si>
  <si>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</si>
  <si>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</si>
  <si>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</si>
  <si>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</si>
  <si>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</si>
  <si>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</si>
  <si>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</si>
  <si>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</si>
  <si>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</si>
  <si>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</si>
  <si>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</si>
  <si>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</si>
  <si>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</si>
  <si>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</si>
  <si>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</si>
  <si>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</si>
  <si>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</si>
  <si>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</si>
  <si>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</si>
  <si>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</si>
  <si>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</si>
  <si>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</si>
  <si>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</si>
  <si>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</si>
  <si>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</si>
  <si>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</si>
  <si>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</si>
  <si>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</si>
  <si>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</si>
  <si>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</si>
  <si>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</si>
  <si>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</si>
  <si>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</si>
  <si>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</si>
  <si>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</si>
  <si>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</si>
  <si>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</si>
  <si>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</si>
  <si>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</si>
  <si>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</si>
  <si>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</si>
  <si>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</si>
  <si>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</si>
  <si>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</si>
  <si>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</si>
  <si>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</si>
  <si>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</si>
  <si>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</si>
  <si>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</si>
  <si>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</si>
  <si>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</si>
  <si>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</si>
  <si>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</si>
  <si>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</si>
  <si>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</si>
  <si>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</si>
  <si>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</si>
  <si>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</si>
  <si>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</si>
  <si>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</si>
  <si>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</si>
  <si>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</si>
  <si>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</si>
  <si>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</si>
  <si>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</si>
  <si>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</si>
  <si>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</si>
  <si>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</si>
  <si>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</si>
  <si>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</si>
  <si>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</si>
  <si>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</si>
  <si>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</si>
  <si>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</si>
  <si>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</si>
  <si>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</si>
  <si>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</si>
  <si>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</si>
  <si>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</si>
  <si>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</si>
  <si>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</si>
  <si>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</si>
  <si>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</si>
  <si>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</si>
  <si>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</si>
  <si>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</si>
  <si>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</si>
  <si>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</si>
  <si>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</si>
  <si>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</si>
  <si>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</si>
  <si>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</si>
  <si>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</si>
  <si>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</si>
  <si>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</si>
  <si>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</si>
  <si>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</si>
  <si>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</si>
  <si>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</si>
  <si>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</si>
  <si>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</si>
  <si>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</si>
  <si>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</si>
  <si>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</si>
  <si>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</si>
  <si>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</si>
  <si>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</si>
  <si>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</si>
  <si>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</si>
  <si>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</si>
  <si>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</si>
  <si>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</si>
  <si>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</si>
  <si>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</si>
  <si>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</si>
  <si>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</si>
  <si>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</si>
  <si>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</si>
  <si>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</si>
  <si>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</si>
  <si>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</si>
  <si>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</si>
  <si>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</si>
  <si>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</si>
  <si>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</si>
  <si>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</si>
  <si>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</si>
  <si>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</si>
  <si>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</si>
  <si>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</si>
  <si>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</si>
  <si>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</si>
  <si>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</si>
  <si>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</si>
  <si>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</si>
  <si>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</si>
  <si>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</si>
  <si>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</si>
  <si>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</si>
  <si>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</si>
  <si>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</si>
  <si>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</si>
  <si>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</si>
  <si>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</si>
  <si>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</si>
  <si>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</si>
  <si>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</si>
  <si>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</si>
  <si>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</si>
  <si>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</si>
  <si>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</si>
  <si>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</si>
  <si>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</si>
  <si>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</si>
  <si>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</si>
  <si>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</si>
  <si>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</si>
  <si>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</si>
  <si>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</si>
  <si>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</si>
  <si>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</si>
  <si>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</si>
  <si>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</si>
  <si>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</si>
  <si>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</si>
  <si>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</si>
  <si>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</si>
  <si>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</si>
  <si>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</si>
  <si>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</si>
  <si>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</si>
  <si>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</si>
  <si>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</si>
  <si>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</si>
  <si>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</si>
  <si>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</si>
  <si>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</si>
  <si>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</si>
  <si>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</si>
  <si>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</si>
  <si>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</si>
  <si>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</si>
  <si>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</si>
  <si>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</si>
  <si>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</si>
  <si>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</si>
  <si>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</si>
  <si>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</si>
  <si>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</si>
  <si>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</si>
  <si>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</si>
  <si>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</si>
  <si>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</si>
  <si>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</si>
  <si>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</si>
  <si>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</si>
  <si>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</si>
  <si>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</si>
  <si>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</si>
  <si>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</si>
  <si>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</si>
  <si>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</si>
  <si>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</si>
  <si>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</si>
  <si>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</si>
  <si>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</si>
  <si>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</si>
  <si>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</si>
  <si>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</si>
  <si>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</si>
  <si>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</si>
  <si>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</si>
  <si>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</si>
  <si>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</si>
  <si>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</si>
  <si>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</si>
  <si>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</si>
  <si>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</si>
  <si>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</si>
  <si>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</si>
  <si>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</si>
  <si>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</si>
  <si>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</si>
  <si>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</si>
  <si>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</si>
  <si>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</si>
  <si>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</si>
  <si>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</si>
  <si>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</si>
  <si>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</si>
  <si>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</si>
  <si>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</si>
  <si>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</si>
  <si>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</si>
  <si>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</si>
  <si>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</si>
  <si>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</si>
  <si>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</si>
  <si>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</si>
  <si>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</si>
  <si>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</si>
  <si>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</si>
  <si>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</si>
  <si>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</si>
  <si>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</si>
  <si>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</si>
  <si>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</si>
  <si>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</si>
  <si>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</si>
  <si>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</si>
  <si>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</si>
  <si>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</si>
  <si>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</si>
  <si>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</si>
  <si>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</si>
  <si>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</si>
  <si>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</si>
  <si>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</si>
  <si>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</si>
  <si>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</si>
  <si>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</si>
  <si>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</si>
  <si>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</si>
  <si>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</si>
  <si>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</si>
  <si>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</si>
  <si>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</si>
  <si>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</si>
  <si>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</si>
  <si>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</si>
  <si>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</si>
  <si>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</si>
  <si>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</si>
  <si>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</si>
  <si>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</si>
  <si>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</si>
  <si>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</si>
  <si>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</si>
  <si>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</si>
  <si>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</si>
  <si>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</si>
  <si>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</si>
  <si>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</si>
  <si>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</si>
  <si>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</si>
  <si>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</si>
  <si>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</si>
  <si>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</si>
  <si>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</si>
  <si>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</si>
  <si>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</si>
  <si>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</si>
  <si>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</si>
  <si>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</si>
  <si>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</si>
  <si>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</si>
  <si>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</si>
  <si>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</si>
  <si>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</si>
  <si>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</si>
  <si>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</si>
  <si>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</si>
  <si>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</si>
  <si>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F&amp;O Market Trading Kit for 21 Aug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</si>
</sst>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Y14" sqref="Y14"/>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688</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45889</v>
      </c>
      <c r="D10" s="66">
        <f>'Data Vlaue (Cr)'!A2</f>
        <v>45889</v>
      </c>
      <c r="E10" s="65" t="s">
        <v>322</v>
      </c>
      <c r="F10" s="65" t="s">
        <v>320</v>
      </c>
      <c r="G10" s="65" t="s">
        <v>321</v>
      </c>
      <c r="H10" s="66">
        <f>D10</f>
        <v>45889</v>
      </c>
      <c r="I10" s="65" t="s">
        <v>322</v>
      </c>
      <c r="J10" s="65" t="s">
        <v>323</v>
      </c>
      <c r="K10" s="65" t="s">
        <v>324</v>
      </c>
      <c r="L10" s="66">
        <f>D10</f>
        <v>45889</v>
      </c>
      <c r="M10" s="65" t="s">
        <v>322</v>
      </c>
      <c r="N10" s="65" t="s">
        <v>323</v>
      </c>
      <c r="O10" s="65" t="s">
        <v>324</v>
      </c>
      <c r="P10" s="66">
        <f>D10</f>
        <v>45889</v>
      </c>
      <c r="Q10" s="65" t="s">
        <v>324</v>
      </c>
      <c r="R10" s="66">
        <f>D10</f>
        <v>45889</v>
      </c>
      <c r="S10" s="65" t="s">
        <v>324</v>
      </c>
    </row>
    <row r="11" spans="1:19" x14ac:dyDescent="0.25">
      <c r="A11" s="96" t="str">
        <f>'Data Vlaue (Cr)'!C2</f>
        <v>360ONE</v>
      </c>
      <c r="B11" s="75">
        <f>VLOOKUP($A11,'Data Vlaue (Cr)'!$C:$FB,2)</f>
        <v>500</v>
      </c>
      <c r="C11" s="75">
        <f>VLOOKUP($A11,'Data Vlaue (Cr)'!$C:$FB,8)</f>
        <v>1102.9000000000001</v>
      </c>
      <c r="D11" s="75">
        <f>VLOOKUP($A11,'Data Vlaue (Cr)'!$C:$FB,4)</f>
        <v>1102.8</v>
      </c>
      <c r="E11" s="75">
        <f>VLOOKUP($A11,'Data Vlaue (Cr)'!$C:$FB,5)</f>
        <v>1080</v>
      </c>
      <c r="F11" s="75">
        <f>D11-C11</f>
        <v>-0.10000000000013642</v>
      </c>
      <c r="G11" s="75">
        <f>(D11-E11)/D11*100</f>
        <v>2.0674646354733364</v>
      </c>
      <c r="H11" s="75">
        <f>VLOOKUP($A11,'Data Vlaue (Cr)'!$C:$FB,99)</f>
        <v>820</v>
      </c>
      <c r="I11" s="75">
        <f>VLOOKUP($A11,'Data Vlaue (Cr)'!$C:$FB,100)</f>
        <v>828</v>
      </c>
      <c r="J11" s="75">
        <f>H11-I11</f>
        <v>-8</v>
      </c>
      <c r="K11" s="75">
        <f>J11/H11*100</f>
        <v>-0.97560975609756095</v>
      </c>
      <c r="L11" s="75">
        <f>VLOOKUP($A11,'Data Vlaue (Cr)'!$C:$FB,67)</f>
        <v>684</v>
      </c>
      <c r="M11" s="75">
        <f>VLOOKUP($A11,'Data Vlaue (Cr)'!$C:$FB,68)</f>
        <v>386</v>
      </c>
      <c r="N11" s="75">
        <f>L11-M11</f>
        <v>298</v>
      </c>
      <c r="O11" s="75">
        <f>N11/L11*100</f>
        <v>43.567251461988306</v>
      </c>
      <c r="P11" s="75">
        <f>VLOOKUP($A11,'Data Vlaue (Cr)'!$C:$FB,119)</f>
        <v>0.57999999999999996</v>
      </c>
      <c r="Q11" s="75">
        <f>VLOOKUP($A11,'Data Vlaue (Cr)'!$C:$FB,122)*100</f>
        <v>-9.379999999999999</v>
      </c>
      <c r="R11" s="75">
        <f>VLOOKUP($A11,'Data Vlaue (Cr)'!$C:$FB,125)</f>
        <v>0.34</v>
      </c>
      <c r="S11" s="75">
        <f>VLOOKUP($A11,'Data Vlaue (Cr)'!$C:$FB,128)*100</f>
        <v>54.55</v>
      </c>
    </row>
    <row r="12" spans="1:19" x14ac:dyDescent="0.25">
      <c r="A12" s="96" t="str">
        <f>'Data Vlaue (Cr)'!C3</f>
        <v>ABB</v>
      </c>
      <c r="B12" s="75">
        <f>VLOOKUP($A12,'Data Vlaue (Cr)'!$C:$FB,2)</f>
        <v>125</v>
      </c>
      <c r="C12" s="75">
        <f>VLOOKUP($A12,'Data Vlaue (Cr)'!$C:$FB,8)</f>
        <v>5121.5</v>
      </c>
      <c r="D12" s="75">
        <f>VLOOKUP($A12,'Data Vlaue (Cr)'!$C:$FB,4)</f>
        <v>5132.5</v>
      </c>
      <c r="E12" s="75">
        <f>VLOOKUP($A12,'Data Vlaue (Cr)'!$C:$FB,5)</f>
        <v>5087</v>
      </c>
      <c r="F12" s="75">
        <f t="shared" ref="F12:F75" si="0">D12-C12</f>
        <v>11</v>
      </c>
      <c r="G12" s="75">
        <f t="shared" ref="G12:G74" si="1">(D12-E12)/D12*100</f>
        <v>0.88650754992693614</v>
      </c>
      <c r="H12" s="75">
        <f>VLOOKUP($A12,'Data Vlaue (Cr)'!$C:$FB,99)</f>
        <v>3057</v>
      </c>
      <c r="I12" s="75">
        <f>VLOOKUP($A12,'Data Vlaue (Cr)'!$C:$FB,100)</f>
        <v>3099</v>
      </c>
      <c r="J12" s="75">
        <f t="shared" ref="J12:J75" si="2">H12-I12</f>
        <v>-42</v>
      </c>
      <c r="K12" s="75">
        <f t="shared" ref="K12:K75" si="3">J12/H12*100</f>
        <v>-1.3738959764474974</v>
      </c>
      <c r="L12" s="75">
        <f>VLOOKUP($A12,'Data Vlaue (Cr)'!$C:$FB,67)</f>
        <v>2342</v>
      </c>
      <c r="M12" s="75">
        <f>VLOOKUP($A12,'Data Vlaue (Cr)'!$C:$FB,68)</f>
        <v>1766</v>
      </c>
      <c r="N12" s="75">
        <f t="shared" ref="N12:N75" si="4">L12-M12</f>
        <v>576</v>
      </c>
      <c r="O12" s="75">
        <f t="shared" ref="O12:O75" si="5">N12/L12*100</f>
        <v>24.594363791631086</v>
      </c>
      <c r="P12" s="75">
        <f>VLOOKUP($A12,'Data Vlaue (Cr)'!$C:$FB,119)</f>
        <v>0.57999999999999996</v>
      </c>
      <c r="Q12" s="75">
        <f>VLOOKUP($A12,'Data Vlaue (Cr)'!$C:$FB,122)*100</f>
        <v>1.7500000000000002</v>
      </c>
      <c r="R12" s="75">
        <f>VLOOKUP($A12,'Data Vlaue (Cr)'!$C:$FB,125)</f>
        <v>0.28999999999999998</v>
      </c>
      <c r="S12" s="75">
        <f>VLOOKUP($A12,'Data Vlaue (Cr)'!$C:$FB,128)*100</f>
        <v>-17.14</v>
      </c>
    </row>
    <row r="13" spans="1:19" x14ac:dyDescent="0.25">
      <c r="A13" s="96" t="str">
        <f>'Data Vlaue (Cr)'!C4</f>
        <v>ABCAPITAL</v>
      </c>
      <c r="B13" s="75">
        <f>VLOOKUP($A13,'Data Vlaue (Cr)'!$C:$FB,2)</f>
        <v>3100</v>
      </c>
      <c r="C13" s="75">
        <f>VLOOKUP($A13,'Data Vlaue (Cr)'!$C:$FB,8)</f>
        <v>283.45</v>
      </c>
      <c r="D13" s="75">
        <f>VLOOKUP($A13,'Data Vlaue (Cr)'!$C:$FB,4)</f>
        <v>284.14999999999998</v>
      </c>
      <c r="E13" s="75">
        <f>VLOOKUP($A13,'Data Vlaue (Cr)'!$C:$FB,5)</f>
        <v>288.25</v>
      </c>
      <c r="F13" s="75">
        <f t="shared" si="0"/>
        <v>0.69999999999998863</v>
      </c>
      <c r="G13" s="75">
        <f t="shared" si="1"/>
        <v>-1.4428998768256283</v>
      </c>
      <c r="H13" s="75">
        <f>VLOOKUP($A13,'Data Vlaue (Cr)'!$C:$FB,99)</f>
        <v>2621</v>
      </c>
      <c r="I13" s="75">
        <f>VLOOKUP($A13,'Data Vlaue (Cr)'!$C:$FB,100)</f>
        <v>2571</v>
      </c>
      <c r="J13" s="75">
        <f t="shared" si="2"/>
        <v>50</v>
      </c>
      <c r="K13" s="75">
        <f t="shared" si="3"/>
        <v>1.907668828691339</v>
      </c>
      <c r="L13" s="75">
        <f>VLOOKUP($A13,'Data Vlaue (Cr)'!$C:$FB,67)</f>
        <v>1207</v>
      </c>
      <c r="M13" s="75">
        <f>VLOOKUP($A13,'Data Vlaue (Cr)'!$C:$FB,68)</f>
        <v>2175</v>
      </c>
      <c r="N13" s="75">
        <f t="shared" si="4"/>
        <v>-968</v>
      </c>
      <c r="O13" s="75">
        <f t="shared" si="5"/>
        <v>-80.198840099420053</v>
      </c>
      <c r="P13" s="75">
        <f>VLOOKUP($A13,'Data Vlaue (Cr)'!$C:$FB,119)</f>
        <v>0.69</v>
      </c>
      <c r="Q13" s="75">
        <f>VLOOKUP($A13,'Data Vlaue (Cr)'!$C:$FB,122)*100</f>
        <v>-9.2100000000000009</v>
      </c>
      <c r="R13" s="75">
        <f>VLOOKUP($A13,'Data Vlaue (Cr)'!$C:$FB,125)</f>
        <v>0.5</v>
      </c>
      <c r="S13" s="75">
        <f>VLOOKUP($A13,'Data Vlaue (Cr)'!$C:$FB,128)*100</f>
        <v>-12.280000000000001</v>
      </c>
    </row>
    <row r="14" spans="1:19" x14ac:dyDescent="0.25">
      <c r="A14" s="96" t="str">
        <f>'Data Vlaue (Cr)'!C5</f>
        <v>ABFRL</v>
      </c>
      <c r="B14" s="75">
        <f>VLOOKUP($A14,'Data Vlaue (Cr)'!$C:$FB,2)</f>
        <v>2600</v>
      </c>
      <c r="C14" s="75">
        <f>VLOOKUP($A14,'Data Vlaue (Cr)'!$C:$FB,8)</f>
        <v>76.260000000000005</v>
      </c>
      <c r="D14" s="75">
        <f>VLOOKUP($A14,'Data Vlaue (Cr)'!$C:$FB,4)</f>
        <v>76.569999999999993</v>
      </c>
      <c r="E14" s="75">
        <f>VLOOKUP($A14,'Data Vlaue (Cr)'!$C:$FB,5)</f>
        <v>77.45</v>
      </c>
      <c r="F14" s="75">
        <f t="shared" si="0"/>
        <v>0.30999999999998806</v>
      </c>
      <c r="G14" s="75">
        <f t="shared" si="1"/>
        <v>-1.1492751730442861</v>
      </c>
      <c r="H14" s="75">
        <f>VLOOKUP($A14,'Data Vlaue (Cr)'!$C:$FB,99)</f>
        <v>584</v>
      </c>
      <c r="I14" s="75">
        <f>VLOOKUP($A14,'Data Vlaue (Cr)'!$C:$FB,100)</f>
        <v>596</v>
      </c>
      <c r="J14" s="75">
        <f t="shared" si="2"/>
        <v>-12</v>
      </c>
      <c r="K14" s="75">
        <f t="shared" si="3"/>
        <v>-2.054794520547945</v>
      </c>
      <c r="L14" s="75">
        <f>VLOOKUP($A14,'Data Vlaue (Cr)'!$C:$FB,67)</f>
        <v>145</v>
      </c>
      <c r="M14" s="75">
        <f>VLOOKUP($A14,'Data Vlaue (Cr)'!$C:$FB,68)</f>
        <v>265</v>
      </c>
      <c r="N14" s="75">
        <f t="shared" si="4"/>
        <v>-120</v>
      </c>
      <c r="O14" s="75">
        <f>N14/L14*100</f>
        <v>-82.758620689655174</v>
      </c>
      <c r="P14" s="75">
        <f>VLOOKUP($A14,'Data Vlaue (Cr)'!$C:$FB,119)</f>
        <v>0.64</v>
      </c>
      <c r="Q14" s="75">
        <f>VLOOKUP($A14,'Data Vlaue (Cr)'!$C:$FB,122)*100</f>
        <v>3.2300000000000004</v>
      </c>
      <c r="R14" s="75">
        <f>VLOOKUP($A14,'Data Vlaue (Cr)'!$C:$FB,125)</f>
        <v>0.15</v>
      </c>
      <c r="S14" s="75">
        <f>VLOOKUP($A14,'Data Vlaue (Cr)'!$C:$FB,128)*100</f>
        <v>-51.61</v>
      </c>
    </row>
    <row r="15" spans="1:19" x14ac:dyDescent="0.25">
      <c r="A15" s="96" t="str">
        <f>'Data Vlaue (Cr)'!C6</f>
        <v>ADANIENSOL</v>
      </c>
      <c r="B15" s="75">
        <f>VLOOKUP($A15,'Data Vlaue (Cr)'!$C:$FB,2)</f>
        <v>675</v>
      </c>
      <c r="C15" s="75">
        <f>VLOOKUP($A15,'Data Vlaue (Cr)'!$C:$FB,8)</f>
        <v>824.2</v>
      </c>
      <c r="D15" s="75">
        <f>VLOOKUP($A15,'Data Vlaue (Cr)'!$C:$FB,4)</f>
        <v>825.4</v>
      </c>
      <c r="E15" s="75">
        <f>VLOOKUP($A15,'Data Vlaue (Cr)'!$C:$FB,5)</f>
        <v>830.85</v>
      </c>
      <c r="F15" s="75">
        <f t="shared" si="0"/>
        <v>1.1999999999999318</v>
      </c>
      <c r="G15" s="75">
        <f t="shared" si="1"/>
        <v>-0.66028592197722868</v>
      </c>
      <c r="H15" s="75">
        <f>VLOOKUP($A15,'Data Vlaue (Cr)'!$C:$FB,99)</f>
        <v>2134</v>
      </c>
      <c r="I15" s="75">
        <f>VLOOKUP($A15,'Data Vlaue (Cr)'!$C:$FB,100)</f>
        <v>2115</v>
      </c>
      <c r="J15" s="75">
        <f t="shared" si="2"/>
        <v>19</v>
      </c>
      <c r="K15" s="75">
        <f t="shared" si="3"/>
        <v>0.89034676663542656</v>
      </c>
      <c r="L15" s="75">
        <f>VLOOKUP($A15,'Data Vlaue (Cr)'!$C:$FB,67)</f>
        <v>280</v>
      </c>
      <c r="M15" s="75">
        <f>VLOOKUP($A15,'Data Vlaue (Cr)'!$C:$FB,68)</f>
        <v>794</v>
      </c>
      <c r="N15" s="75">
        <f t="shared" si="4"/>
        <v>-514</v>
      </c>
      <c r="O15" s="75">
        <f t="shared" si="5"/>
        <v>-183.57142857142856</v>
      </c>
      <c r="P15" s="75">
        <f>VLOOKUP($A15,'Data Vlaue (Cr)'!$C:$FB,119)</f>
        <v>0.72</v>
      </c>
      <c r="Q15" s="75">
        <f>VLOOKUP($A15,'Data Vlaue (Cr)'!$C:$FB,122)*100</f>
        <v>0</v>
      </c>
      <c r="R15" s="75">
        <f>VLOOKUP($A15,'Data Vlaue (Cr)'!$C:$FB,125)</f>
        <v>0.62</v>
      </c>
      <c r="S15" s="75">
        <f>VLOOKUP($A15,'Data Vlaue (Cr)'!$C:$FB,128)*100</f>
        <v>0</v>
      </c>
    </row>
    <row r="16" spans="1:19" x14ac:dyDescent="0.25">
      <c r="A16" s="96" t="str">
        <f>'Data Vlaue (Cr)'!C7</f>
        <v>ADANIENT</v>
      </c>
      <c r="B16" s="75">
        <f>VLOOKUP($A16,'Data Vlaue (Cr)'!$C:$FB,2)</f>
        <v>300</v>
      </c>
      <c r="C16" s="75">
        <f>VLOOKUP($A16,'Data Vlaue (Cr)'!$C:$FB,8)</f>
        <v>2387.1</v>
      </c>
      <c r="D16" s="75">
        <f>VLOOKUP($A16,'Data Vlaue (Cr)'!$C:$FB,4)</f>
        <v>2386.4</v>
      </c>
      <c r="E16" s="75">
        <f>VLOOKUP($A16,'Data Vlaue (Cr)'!$C:$FB,5)</f>
        <v>2388.9</v>
      </c>
      <c r="F16" s="75">
        <f t="shared" si="0"/>
        <v>-0.6999999999998181</v>
      </c>
      <c r="G16" s="75">
        <f t="shared" si="1"/>
        <v>-0.10476030841434797</v>
      </c>
      <c r="H16" s="75">
        <f>VLOOKUP($A16,'Data Vlaue (Cr)'!$C:$FB,99)</f>
        <v>8365</v>
      </c>
      <c r="I16" s="75">
        <f>VLOOKUP($A16,'Data Vlaue (Cr)'!$C:$FB,100)</f>
        <v>8375</v>
      </c>
      <c r="J16" s="75">
        <f t="shared" si="2"/>
        <v>-10</v>
      </c>
      <c r="K16" s="75">
        <f t="shared" si="3"/>
        <v>-0.11954572624028689</v>
      </c>
      <c r="L16" s="75">
        <f>VLOOKUP($A16,'Data Vlaue (Cr)'!$C:$FB,67)</f>
        <v>4374</v>
      </c>
      <c r="M16" s="75">
        <f>VLOOKUP($A16,'Data Vlaue (Cr)'!$C:$FB,68)</f>
        <v>6073</v>
      </c>
      <c r="N16" s="75">
        <f t="shared" si="4"/>
        <v>-1699</v>
      </c>
      <c r="O16" s="75">
        <f t="shared" si="5"/>
        <v>-38.843164151806128</v>
      </c>
      <c r="P16" s="75">
        <f>VLOOKUP($A16,'Data Vlaue (Cr)'!$C:$FB,119)</f>
        <v>0.93</v>
      </c>
      <c r="Q16" s="75">
        <f>VLOOKUP($A16,'Data Vlaue (Cr)'!$C:$FB,122)*100</f>
        <v>-4.12</v>
      </c>
      <c r="R16" s="75">
        <f>VLOOKUP($A16,'Data Vlaue (Cr)'!$C:$FB,125)</f>
        <v>0.52</v>
      </c>
      <c r="S16" s="75">
        <f>VLOOKUP($A16,'Data Vlaue (Cr)'!$C:$FB,128)*100</f>
        <v>-1.8900000000000001</v>
      </c>
    </row>
    <row r="17" spans="1:19" x14ac:dyDescent="0.25">
      <c r="A17" s="96" t="str">
        <f>'Data Vlaue (Cr)'!C8</f>
        <v>ADANIGREEN</v>
      </c>
      <c r="B17" s="75">
        <f>VLOOKUP($A17,'Data Vlaue (Cr)'!$C:$FB,2)</f>
        <v>600</v>
      </c>
      <c r="C17" s="75">
        <f>VLOOKUP($A17,'Data Vlaue (Cr)'!$C:$FB,8)</f>
        <v>975.95</v>
      </c>
      <c r="D17" s="75">
        <f>VLOOKUP($A17,'Data Vlaue (Cr)'!$C:$FB,4)</f>
        <v>976.45</v>
      </c>
      <c r="E17" s="75">
        <f>VLOOKUP($A17,'Data Vlaue (Cr)'!$C:$FB,5)</f>
        <v>976.2</v>
      </c>
      <c r="F17" s="75">
        <f t="shared" si="0"/>
        <v>0.5</v>
      </c>
      <c r="G17" s="75">
        <f t="shared" si="1"/>
        <v>2.5602949459777768E-2</v>
      </c>
      <c r="H17" s="75">
        <f>VLOOKUP($A17,'Data Vlaue (Cr)'!$C:$FB,99)</f>
        <v>2801</v>
      </c>
      <c r="I17" s="75">
        <f>VLOOKUP($A17,'Data Vlaue (Cr)'!$C:$FB,100)</f>
        <v>2839</v>
      </c>
      <c r="J17" s="75">
        <f t="shared" si="2"/>
        <v>-38</v>
      </c>
      <c r="K17" s="75">
        <f t="shared" si="3"/>
        <v>-1.3566583363084612</v>
      </c>
      <c r="L17" s="75">
        <f>VLOOKUP($A17,'Data Vlaue (Cr)'!$C:$FB,67)</f>
        <v>1206</v>
      </c>
      <c r="M17" s="75">
        <f>VLOOKUP($A17,'Data Vlaue (Cr)'!$C:$FB,68)</f>
        <v>1843</v>
      </c>
      <c r="N17" s="75">
        <f t="shared" si="4"/>
        <v>-637</v>
      </c>
      <c r="O17" s="75">
        <f t="shared" si="5"/>
        <v>-52.819237147595352</v>
      </c>
      <c r="P17" s="75">
        <f>VLOOKUP($A17,'Data Vlaue (Cr)'!$C:$FB,119)</f>
        <v>0.78</v>
      </c>
      <c r="Q17" s="75">
        <f>VLOOKUP($A17,'Data Vlaue (Cr)'!$C:$FB,122)*100</f>
        <v>2.63</v>
      </c>
      <c r="R17" s="75">
        <f>VLOOKUP($A17,'Data Vlaue (Cr)'!$C:$FB,125)</f>
        <v>0.53</v>
      </c>
      <c r="S17" s="75">
        <f>VLOOKUP($A17,'Data Vlaue (Cr)'!$C:$FB,128)*100</f>
        <v>29.270000000000003</v>
      </c>
    </row>
    <row r="18" spans="1:19" x14ac:dyDescent="0.25">
      <c r="A18" s="96" t="str">
        <f>'Data Vlaue (Cr)'!C9</f>
        <v>ADANIPORTS</v>
      </c>
      <c r="B18" s="75">
        <f>VLOOKUP($A18,'Data Vlaue (Cr)'!$C:$FB,2)</f>
        <v>475</v>
      </c>
      <c r="C18" s="75">
        <f>VLOOKUP($A18,'Data Vlaue (Cr)'!$C:$FB,8)</f>
        <v>1370.6</v>
      </c>
      <c r="D18" s="75">
        <f>VLOOKUP($A18,'Data Vlaue (Cr)'!$C:$FB,4)</f>
        <v>1371.3</v>
      </c>
      <c r="E18" s="75">
        <f>VLOOKUP($A18,'Data Vlaue (Cr)'!$C:$FB,5)</f>
        <v>1373.2</v>
      </c>
      <c r="F18" s="75">
        <f t="shared" si="0"/>
        <v>0.70000000000004547</v>
      </c>
      <c r="G18" s="75">
        <f t="shared" si="1"/>
        <v>-0.13855465616568885</v>
      </c>
      <c r="H18" s="75">
        <f>VLOOKUP($A18,'Data Vlaue (Cr)'!$C:$FB,99)</f>
        <v>5619</v>
      </c>
      <c r="I18" s="75">
        <f>VLOOKUP($A18,'Data Vlaue (Cr)'!$C:$FB,100)</f>
        <v>5701</v>
      </c>
      <c r="J18" s="75">
        <f t="shared" si="2"/>
        <v>-82</v>
      </c>
      <c r="K18" s="75">
        <f t="shared" si="3"/>
        <v>-1.4593344011389926</v>
      </c>
      <c r="L18" s="75">
        <f>VLOOKUP($A18,'Data Vlaue (Cr)'!$C:$FB,67)</f>
        <v>2901</v>
      </c>
      <c r="M18" s="75">
        <f>VLOOKUP($A18,'Data Vlaue (Cr)'!$C:$FB,68)</f>
        <v>7237</v>
      </c>
      <c r="N18" s="75">
        <f t="shared" si="4"/>
        <v>-4336</v>
      </c>
      <c r="O18" s="75">
        <f t="shared" si="5"/>
        <v>-149.46570148224748</v>
      </c>
      <c r="P18" s="75">
        <f>VLOOKUP($A18,'Data Vlaue (Cr)'!$C:$FB,119)</f>
        <v>0.76</v>
      </c>
      <c r="Q18" s="75">
        <f>VLOOKUP($A18,'Data Vlaue (Cr)'!$C:$FB,122)*100</f>
        <v>-1.3</v>
      </c>
      <c r="R18" s="75">
        <f>VLOOKUP($A18,'Data Vlaue (Cr)'!$C:$FB,125)</f>
        <v>0.55000000000000004</v>
      </c>
      <c r="S18" s="75">
        <f>VLOOKUP($A18,'Data Vlaue (Cr)'!$C:$FB,128)*100</f>
        <v>44.74</v>
      </c>
    </row>
    <row r="19" spans="1:19" x14ac:dyDescent="0.25">
      <c r="A19" s="96" t="str">
        <f>'Data Vlaue (Cr)'!C10</f>
        <v>ALKEM</v>
      </c>
      <c r="B19" s="75">
        <f>VLOOKUP($A19,'Data Vlaue (Cr)'!$C:$FB,2)</f>
        <v>125</v>
      </c>
      <c r="C19" s="75">
        <f>VLOOKUP($A19,'Data Vlaue (Cr)'!$C:$FB,8)</f>
        <v>5393</v>
      </c>
      <c r="D19" s="75">
        <f>VLOOKUP($A19,'Data Vlaue (Cr)'!$C:$FB,4)</f>
        <v>5398.5</v>
      </c>
      <c r="E19" s="75">
        <f>VLOOKUP($A19,'Data Vlaue (Cr)'!$C:$FB,5)</f>
        <v>5412</v>
      </c>
      <c r="F19" s="75">
        <f t="shared" si="0"/>
        <v>5.5</v>
      </c>
      <c r="G19" s="75">
        <f t="shared" si="1"/>
        <v>-0.25006946373992772</v>
      </c>
      <c r="H19" s="75">
        <f>VLOOKUP($A19,'Data Vlaue (Cr)'!$C:$FB,99)</f>
        <v>1486</v>
      </c>
      <c r="I19" s="75">
        <f>VLOOKUP($A19,'Data Vlaue (Cr)'!$C:$FB,100)</f>
        <v>1450</v>
      </c>
      <c r="J19" s="75">
        <f t="shared" si="2"/>
        <v>36</v>
      </c>
      <c r="K19" s="75">
        <f t="shared" si="3"/>
        <v>2.4226110363391657</v>
      </c>
      <c r="L19" s="75">
        <f>VLOOKUP($A19,'Data Vlaue (Cr)'!$C:$FB,67)</f>
        <v>875</v>
      </c>
      <c r="M19" s="75">
        <f>VLOOKUP($A19,'Data Vlaue (Cr)'!$C:$FB,68)</f>
        <v>960</v>
      </c>
      <c r="N19" s="75">
        <f t="shared" si="4"/>
        <v>-85</v>
      </c>
      <c r="O19" s="75">
        <f t="shared" si="5"/>
        <v>-9.7142857142857135</v>
      </c>
      <c r="P19" s="75">
        <f>VLOOKUP($A19,'Data Vlaue (Cr)'!$C:$FB,119)</f>
        <v>0.77</v>
      </c>
      <c r="Q19" s="75">
        <f>VLOOKUP($A19,'Data Vlaue (Cr)'!$C:$FB,122)*100</f>
        <v>-17.2</v>
      </c>
      <c r="R19" s="75">
        <f>VLOOKUP($A19,'Data Vlaue (Cr)'!$C:$FB,125)</f>
        <v>0.28999999999999998</v>
      </c>
      <c r="S19" s="75">
        <f>VLOOKUP($A19,'Data Vlaue (Cr)'!$C:$FB,128)*100</f>
        <v>-29.270000000000003</v>
      </c>
    </row>
    <row r="20" spans="1:19" x14ac:dyDescent="0.25">
      <c r="A20" s="96" t="str">
        <f>'Data Vlaue (Cr)'!C11</f>
        <v>AMBER</v>
      </c>
      <c r="B20" s="75">
        <f>VLOOKUP($A20,'Data Vlaue (Cr)'!$C:$FB,2)</f>
        <v>100</v>
      </c>
      <c r="C20" s="75">
        <f>VLOOKUP($A20,'Data Vlaue (Cr)'!$C:$FB,8)</f>
        <v>7362</v>
      </c>
      <c r="D20" s="75">
        <f>VLOOKUP($A20,'Data Vlaue (Cr)'!$C:$FB,4)</f>
        <v>7384</v>
      </c>
      <c r="E20" s="75">
        <f>VLOOKUP($A20,'Data Vlaue (Cr)'!$C:$FB,5)</f>
        <v>7390.5</v>
      </c>
      <c r="F20" s="75">
        <f t="shared" si="0"/>
        <v>22</v>
      </c>
      <c r="G20" s="75">
        <f t="shared" si="1"/>
        <v>-8.8028169014084515E-2</v>
      </c>
      <c r="H20" s="75">
        <f>VLOOKUP($A20,'Data Vlaue (Cr)'!$C:$FB,99)</f>
        <v>1649</v>
      </c>
      <c r="I20" s="75">
        <f>VLOOKUP($A20,'Data Vlaue (Cr)'!$C:$FB,100)</f>
        <v>1699</v>
      </c>
      <c r="J20" s="75">
        <f t="shared" si="2"/>
        <v>-50</v>
      </c>
      <c r="K20" s="75">
        <f t="shared" si="3"/>
        <v>-3.0321406913280775</v>
      </c>
      <c r="L20" s="75">
        <f>VLOOKUP($A20,'Data Vlaue (Cr)'!$C:$FB,67)</f>
        <v>1576</v>
      </c>
      <c r="M20" s="75">
        <f>VLOOKUP($A20,'Data Vlaue (Cr)'!$C:$FB,68)</f>
        <v>1382</v>
      </c>
      <c r="N20" s="75">
        <f t="shared" si="4"/>
        <v>194</v>
      </c>
      <c r="O20" s="75">
        <f t="shared" si="5"/>
        <v>12.30964467005076</v>
      </c>
      <c r="P20" s="75">
        <f>VLOOKUP($A20,'Data Vlaue (Cr)'!$C:$FB,119)</f>
        <v>0.5</v>
      </c>
      <c r="Q20" s="75">
        <f>VLOOKUP($A20,'Data Vlaue (Cr)'!$C:$FB,122)*100</f>
        <v>-9.09</v>
      </c>
      <c r="R20" s="75">
        <f>VLOOKUP($A20,'Data Vlaue (Cr)'!$C:$FB,125)</f>
        <v>0.57999999999999996</v>
      </c>
      <c r="S20" s="75">
        <f>VLOOKUP($A20,'Data Vlaue (Cr)'!$C:$FB,128)*100</f>
        <v>-30.12</v>
      </c>
    </row>
    <row r="21" spans="1:19" x14ac:dyDescent="0.25">
      <c r="A21" s="96" t="str">
        <f>'Data Vlaue (Cr)'!C12</f>
        <v>AMBUJACEM</v>
      </c>
      <c r="B21" s="75">
        <f>VLOOKUP($A21,'Data Vlaue (Cr)'!$C:$FB,2)</f>
        <v>1050</v>
      </c>
      <c r="C21" s="75">
        <f>VLOOKUP($A21,'Data Vlaue (Cr)'!$C:$FB,8)</f>
        <v>591.9</v>
      </c>
      <c r="D21" s="75">
        <f>VLOOKUP($A21,'Data Vlaue (Cr)'!$C:$FB,4)</f>
        <v>591.9</v>
      </c>
      <c r="E21" s="75">
        <f>VLOOKUP($A21,'Data Vlaue (Cr)'!$C:$FB,5)</f>
        <v>594.5</v>
      </c>
      <c r="F21" s="75">
        <f t="shared" si="0"/>
        <v>0</v>
      </c>
      <c r="G21" s="75">
        <f t="shared" si="1"/>
        <v>-0.4392633890859981</v>
      </c>
      <c r="H21" s="75">
        <f>VLOOKUP($A21,'Data Vlaue (Cr)'!$C:$FB,99)</f>
        <v>2804</v>
      </c>
      <c r="I21" s="75">
        <f>VLOOKUP($A21,'Data Vlaue (Cr)'!$C:$FB,100)</f>
        <v>2744</v>
      </c>
      <c r="J21" s="75">
        <f t="shared" si="2"/>
        <v>60</v>
      </c>
      <c r="K21" s="75">
        <f t="shared" si="3"/>
        <v>2.1398002853067046</v>
      </c>
      <c r="L21" s="75">
        <f>VLOOKUP($A21,'Data Vlaue (Cr)'!$C:$FB,67)</f>
        <v>744</v>
      </c>
      <c r="M21" s="75">
        <f>VLOOKUP($A21,'Data Vlaue (Cr)'!$C:$FB,68)</f>
        <v>874</v>
      </c>
      <c r="N21" s="75">
        <f t="shared" si="4"/>
        <v>-130</v>
      </c>
      <c r="O21" s="75">
        <f t="shared" si="5"/>
        <v>-17.473118279569892</v>
      </c>
      <c r="P21" s="75">
        <f>VLOOKUP($A21,'Data Vlaue (Cr)'!$C:$FB,119)</f>
        <v>0.55000000000000004</v>
      </c>
      <c r="Q21" s="75">
        <f>VLOOKUP($A21,'Data Vlaue (Cr)'!$C:$FB,122)*100</f>
        <v>1.8499999999999999</v>
      </c>
      <c r="R21" s="75">
        <f>VLOOKUP($A21,'Data Vlaue (Cr)'!$C:$FB,125)</f>
        <v>0.41</v>
      </c>
      <c r="S21" s="75">
        <f>VLOOKUP($A21,'Data Vlaue (Cr)'!$C:$FB,128)*100</f>
        <v>10.81</v>
      </c>
    </row>
    <row r="22" spans="1:19" x14ac:dyDescent="0.25">
      <c r="A22" s="96" t="str">
        <f>'Data Vlaue (Cr)'!C13</f>
        <v>ANGELONE</v>
      </c>
      <c r="B22" s="75">
        <f>VLOOKUP($A22,'Data Vlaue (Cr)'!$C:$FB,2)</f>
        <v>250</v>
      </c>
      <c r="C22" s="75">
        <f>VLOOKUP($A22,'Data Vlaue (Cr)'!$C:$FB,8)</f>
        <v>2720.8</v>
      </c>
      <c r="D22" s="75">
        <f>VLOOKUP($A22,'Data Vlaue (Cr)'!$C:$FB,4)</f>
        <v>2722.4</v>
      </c>
      <c r="E22" s="75">
        <f>VLOOKUP($A22,'Data Vlaue (Cr)'!$C:$FB,5)</f>
        <v>2679.3</v>
      </c>
      <c r="F22" s="75">
        <f t="shared" si="0"/>
        <v>1.5999999999999091</v>
      </c>
      <c r="G22" s="75">
        <f t="shared" si="1"/>
        <v>1.5831619159565058</v>
      </c>
      <c r="H22" s="75">
        <f>VLOOKUP($A22,'Data Vlaue (Cr)'!$C:$FB,99)</f>
        <v>1528</v>
      </c>
      <c r="I22" s="75">
        <f>VLOOKUP($A22,'Data Vlaue (Cr)'!$C:$FB,100)</f>
        <v>1539</v>
      </c>
      <c r="J22" s="75">
        <f t="shared" si="2"/>
        <v>-11</v>
      </c>
      <c r="K22" s="75">
        <f t="shared" si="3"/>
        <v>-0.71989528795811519</v>
      </c>
      <c r="L22" s="75">
        <f>VLOOKUP($A22,'Data Vlaue (Cr)'!$C:$FB,67)</f>
        <v>1536</v>
      </c>
      <c r="M22" s="75">
        <f>VLOOKUP($A22,'Data Vlaue (Cr)'!$C:$FB,68)</f>
        <v>1149</v>
      </c>
      <c r="N22" s="75">
        <f t="shared" si="4"/>
        <v>387</v>
      </c>
      <c r="O22" s="75">
        <f t="shared" si="5"/>
        <v>25.1953125</v>
      </c>
      <c r="P22" s="75">
        <f>VLOOKUP($A22,'Data Vlaue (Cr)'!$C:$FB,119)</f>
        <v>0.9</v>
      </c>
      <c r="Q22" s="75">
        <f>VLOOKUP($A22,'Data Vlaue (Cr)'!$C:$FB,122)*100</f>
        <v>3.45</v>
      </c>
      <c r="R22" s="75">
        <f>VLOOKUP($A22,'Data Vlaue (Cr)'!$C:$FB,125)</f>
        <v>0.56000000000000005</v>
      </c>
      <c r="S22" s="75">
        <f>VLOOKUP($A22,'Data Vlaue (Cr)'!$C:$FB,128)*100</f>
        <v>-9.68</v>
      </c>
    </row>
    <row r="23" spans="1:19" x14ac:dyDescent="0.25">
      <c r="A23" s="96" t="str">
        <f>'Data Vlaue (Cr)'!C14</f>
        <v>APLAPOLLO</v>
      </c>
      <c r="B23" s="75">
        <f>VLOOKUP($A23,'Data Vlaue (Cr)'!$C:$FB,2)</f>
        <v>350</v>
      </c>
      <c r="C23" s="75">
        <f>VLOOKUP($A23,'Data Vlaue (Cr)'!$C:$FB,8)</f>
        <v>1628.3</v>
      </c>
      <c r="D23" s="75">
        <f>VLOOKUP($A23,'Data Vlaue (Cr)'!$C:$FB,4)</f>
        <v>1627.1</v>
      </c>
      <c r="E23" s="75">
        <f>VLOOKUP($A23,'Data Vlaue (Cr)'!$C:$FB,5)</f>
        <v>1625.5</v>
      </c>
      <c r="F23" s="75">
        <f t="shared" si="0"/>
        <v>-1.2000000000000455</v>
      </c>
      <c r="G23" s="75">
        <f t="shared" si="1"/>
        <v>9.8334460082349529E-2</v>
      </c>
      <c r="H23" s="75">
        <f>VLOOKUP($A23,'Data Vlaue (Cr)'!$C:$FB,99)</f>
        <v>1656</v>
      </c>
      <c r="I23" s="75">
        <f>VLOOKUP($A23,'Data Vlaue (Cr)'!$C:$FB,100)</f>
        <v>1632</v>
      </c>
      <c r="J23" s="75">
        <f t="shared" si="2"/>
        <v>24</v>
      </c>
      <c r="K23" s="75">
        <f t="shared" si="3"/>
        <v>1.4492753623188406</v>
      </c>
      <c r="L23" s="75">
        <f>VLOOKUP($A23,'Data Vlaue (Cr)'!$C:$FB,67)</f>
        <v>650</v>
      </c>
      <c r="M23" s="75">
        <f>VLOOKUP($A23,'Data Vlaue (Cr)'!$C:$FB,68)</f>
        <v>391</v>
      </c>
      <c r="N23" s="75">
        <f t="shared" si="4"/>
        <v>259</v>
      </c>
      <c r="O23" s="75">
        <f t="shared" si="5"/>
        <v>39.846153846153847</v>
      </c>
      <c r="P23" s="75">
        <f>VLOOKUP($A23,'Data Vlaue (Cr)'!$C:$FB,119)</f>
        <v>1.0900000000000001</v>
      </c>
      <c r="Q23" s="75">
        <f>VLOOKUP($A23,'Data Vlaue (Cr)'!$C:$FB,122)*100</f>
        <v>3.81</v>
      </c>
      <c r="R23" s="75">
        <f>VLOOKUP($A23,'Data Vlaue (Cr)'!$C:$FB,125)</f>
        <v>0.36</v>
      </c>
      <c r="S23" s="75">
        <f>VLOOKUP($A23,'Data Vlaue (Cr)'!$C:$FB,128)*100</f>
        <v>-2.7</v>
      </c>
    </row>
    <row r="24" spans="1:19" x14ac:dyDescent="0.25">
      <c r="A24" s="96" t="str">
        <f>'Data Vlaue (Cr)'!C15</f>
        <v>APOLLOHOSP</v>
      </c>
      <c r="B24" s="75">
        <f>VLOOKUP($A24,'Data Vlaue (Cr)'!$C:$FB,2)</f>
        <v>125</v>
      </c>
      <c r="C24" s="75">
        <f>VLOOKUP($A24,'Data Vlaue (Cr)'!$C:$FB,8)</f>
        <v>7883</v>
      </c>
      <c r="D24" s="75">
        <f>VLOOKUP($A24,'Data Vlaue (Cr)'!$C:$FB,4)</f>
        <v>7885.5</v>
      </c>
      <c r="E24" s="75">
        <f>VLOOKUP($A24,'Data Vlaue (Cr)'!$C:$FB,5)</f>
        <v>7847.5</v>
      </c>
      <c r="F24" s="75">
        <f t="shared" si="0"/>
        <v>2.5</v>
      </c>
      <c r="G24" s="75">
        <f t="shared" si="1"/>
        <v>0.48189715300234609</v>
      </c>
      <c r="H24" s="75">
        <f>VLOOKUP($A24,'Data Vlaue (Cr)'!$C:$FB,99)</f>
        <v>6216</v>
      </c>
      <c r="I24" s="75">
        <f>VLOOKUP($A24,'Data Vlaue (Cr)'!$C:$FB,100)</f>
        <v>6185</v>
      </c>
      <c r="J24" s="75">
        <f t="shared" si="2"/>
        <v>31</v>
      </c>
      <c r="K24" s="75">
        <f t="shared" si="3"/>
        <v>0.49871299871299868</v>
      </c>
      <c r="L24" s="75">
        <f>VLOOKUP($A24,'Data Vlaue (Cr)'!$C:$FB,67)</f>
        <v>5746</v>
      </c>
      <c r="M24" s="75">
        <f>VLOOKUP($A24,'Data Vlaue (Cr)'!$C:$FB,68)</f>
        <v>3283</v>
      </c>
      <c r="N24" s="75">
        <f t="shared" si="4"/>
        <v>2463</v>
      </c>
      <c r="O24" s="75">
        <f t="shared" si="5"/>
        <v>42.864601461886529</v>
      </c>
      <c r="P24" s="75">
        <f>VLOOKUP($A24,'Data Vlaue (Cr)'!$C:$FB,119)</f>
        <v>1.18</v>
      </c>
      <c r="Q24" s="75">
        <f>VLOOKUP($A24,'Data Vlaue (Cr)'!$C:$FB,122)*100</f>
        <v>4.42</v>
      </c>
      <c r="R24" s="75">
        <f>VLOOKUP($A24,'Data Vlaue (Cr)'!$C:$FB,125)</f>
        <v>0.63</v>
      </c>
      <c r="S24" s="75">
        <f>VLOOKUP($A24,'Data Vlaue (Cr)'!$C:$FB,128)*100</f>
        <v>-32.26</v>
      </c>
    </row>
    <row r="25" spans="1:19" x14ac:dyDescent="0.25">
      <c r="A25" s="96" t="str">
        <f>'Data Vlaue (Cr)'!C16</f>
        <v>ASHOKLEY</v>
      </c>
      <c r="B25" s="75">
        <f>VLOOKUP($A25,'Data Vlaue (Cr)'!$C:$FB,2)</f>
        <v>5000</v>
      </c>
      <c r="C25" s="75">
        <f>VLOOKUP($A25,'Data Vlaue (Cr)'!$C:$FB,8)</f>
        <v>133.1</v>
      </c>
      <c r="D25" s="75">
        <f>VLOOKUP($A25,'Data Vlaue (Cr)'!$C:$FB,4)</f>
        <v>133.13</v>
      </c>
      <c r="E25" s="75">
        <f>VLOOKUP($A25,'Data Vlaue (Cr)'!$C:$FB,5)</f>
        <v>133.32</v>
      </c>
      <c r="F25" s="75">
        <f t="shared" si="0"/>
        <v>3.0000000000001137E-2</v>
      </c>
      <c r="G25" s="75">
        <f t="shared" si="1"/>
        <v>-0.14271764440772006</v>
      </c>
      <c r="H25" s="75">
        <f>VLOOKUP($A25,'Data Vlaue (Cr)'!$C:$FB,99)</f>
        <v>2873</v>
      </c>
      <c r="I25" s="75">
        <f>VLOOKUP($A25,'Data Vlaue (Cr)'!$C:$FB,100)</f>
        <v>2866</v>
      </c>
      <c r="J25" s="75">
        <f t="shared" si="2"/>
        <v>7</v>
      </c>
      <c r="K25" s="75">
        <f t="shared" si="3"/>
        <v>0.24364775495997215</v>
      </c>
      <c r="L25" s="75">
        <f>VLOOKUP($A25,'Data Vlaue (Cr)'!$C:$FB,67)</f>
        <v>2735</v>
      </c>
      <c r="M25" s="75">
        <f>VLOOKUP($A25,'Data Vlaue (Cr)'!$C:$FB,68)</f>
        <v>7749</v>
      </c>
      <c r="N25" s="75">
        <f t="shared" si="4"/>
        <v>-5014</v>
      </c>
      <c r="O25" s="75">
        <f t="shared" si="5"/>
        <v>-183.32723948811699</v>
      </c>
      <c r="P25" s="75">
        <f>VLOOKUP($A25,'Data Vlaue (Cr)'!$C:$FB,119)</f>
        <v>1.1000000000000001</v>
      </c>
      <c r="Q25" s="75">
        <f>VLOOKUP($A25,'Data Vlaue (Cr)'!$C:$FB,122)*100</f>
        <v>1.8499999999999999</v>
      </c>
      <c r="R25" s="75">
        <f>VLOOKUP($A25,'Data Vlaue (Cr)'!$C:$FB,125)</f>
        <v>0.67</v>
      </c>
      <c r="S25" s="75">
        <f>VLOOKUP($A25,'Data Vlaue (Cr)'!$C:$FB,128)*100</f>
        <v>15.52</v>
      </c>
    </row>
    <row r="26" spans="1:19" x14ac:dyDescent="0.25">
      <c r="A26" s="96" t="str">
        <f>'Data Vlaue (Cr)'!C17</f>
        <v>ASIANPAINT</v>
      </c>
      <c r="B26" s="75">
        <f>VLOOKUP($A26,'Data Vlaue (Cr)'!$C:$FB,2)</f>
        <v>250</v>
      </c>
      <c r="C26" s="75">
        <f>VLOOKUP($A26,'Data Vlaue (Cr)'!$C:$FB,8)</f>
        <v>2570.1</v>
      </c>
      <c r="D26" s="75">
        <f>VLOOKUP($A26,'Data Vlaue (Cr)'!$C:$FB,4)</f>
        <v>2569.6</v>
      </c>
      <c r="E26" s="75">
        <f>VLOOKUP($A26,'Data Vlaue (Cr)'!$C:$FB,5)</f>
        <v>2579.8000000000002</v>
      </c>
      <c r="F26" s="75">
        <f t="shared" si="0"/>
        <v>-0.5</v>
      </c>
      <c r="G26" s="75">
        <f t="shared" si="1"/>
        <v>-0.39694894146949999</v>
      </c>
      <c r="H26" s="75">
        <f>VLOOKUP($A26,'Data Vlaue (Cr)'!$C:$FB,99)</f>
        <v>6421</v>
      </c>
      <c r="I26" s="75">
        <f>VLOOKUP($A26,'Data Vlaue (Cr)'!$C:$FB,100)</f>
        <v>6345</v>
      </c>
      <c r="J26" s="75">
        <f t="shared" si="2"/>
        <v>76</v>
      </c>
      <c r="K26" s="75">
        <f t="shared" si="3"/>
        <v>1.1836162591496651</v>
      </c>
      <c r="L26" s="75">
        <f>VLOOKUP($A26,'Data Vlaue (Cr)'!$C:$FB,67)</f>
        <v>1931</v>
      </c>
      <c r="M26" s="75">
        <f>VLOOKUP($A26,'Data Vlaue (Cr)'!$C:$FB,68)</f>
        <v>3441</v>
      </c>
      <c r="N26" s="75">
        <f t="shared" si="4"/>
        <v>-1510</v>
      </c>
      <c r="O26" s="75">
        <f t="shared" si="5"/>
        <v>-78.197824961160023</v>
      </c>
      <c r="P26" s="75">
        <f>VLOOKUP($A26,'Data Vlaue (Cr)'!$C:$FB,119)</f>
        <v>0.63</v>
      </c>
      <c r="Q26" s="75">
        <f>VLOOKUP($A26,'Data Vlaue (Cr)'!$C:$FB,122)*100</f>
        <v>3.2800000000000002</v>
      </c>
      <c r="R26" s="75">
        <f>VLOOKUP($A26,'Data Vlaue (Cr)'!$C:$FB,125)</f>
        <v>0.6</v>
      </c>
      <c r="S26" s="75">
        <f>VLOOKUP($A26,'Data Vlaue (Cr)'!$C:$FB,128)*100</f>
        <v>15.379999999999999</v>
      </c>
    </row>
    <row r="27" spans="1:19" x14ac:dyDescent="0.25">
      <c r="A27" s="96" t="str">
        <f>'Data Vlaue (Cr)'!C18</f>
        <v>ASTRAL</v>
      </c>
      <c r="B27" s="75">
        <f>VLOOKUP($A27,'Data Vlaue (Cr)'!$C:$FB,2)</f>
        <v>425</v>
      </c>
      <c r="C27" s="75">
        <f>VLOOKUP($A27,'Data Vlaue (Cr)'!$C:$FB,8)</f>
        <v>1393.8</v>
      </c>
      <c r="D27" s="75">
        <f>VLOOKUP($A27,'Data Vlaue (Cr)'!$C:$FB,4)</f>
        <v>1399.1</v>
      </c>
      <c r="E27" s="75">
        <f>VLOOKUP($A27,'Data Vlaue (Cr)'!$C:$FB,5)</f>
        <v>1371.5</v>
      </c>
      <c r="F27" s="75">
        <f t="shared" si="0"/>
        <v>5.2999999999999545</v>
      </c>
      <c r="G27" s="75">
        <f t="shared" si="1"/>
        <v>1.9726967336144601</v>
      </c>
      <c r="H27" s="75">
        <f>VLOOKUP($A27,'Data Vlaue (Cr)'!$C:$FB,99)</f>
        <v>2020</v>
      </c>
      <c r="I27" s="75">
        <f>VLOOKUP($A27,'Data Vlaue (Cr)'!$C:$FB,100)</f>
        <v>2053</v>
      </c>
      <c r="J27" s="75">
        <f t="shared" si="2"/>
        <v>-33</v>
      </c>
      <c r="K27" s="75">
        <f t="shared" si="3"/>
        <v>-1.6336633663366338</v>
      </c>
      <c r="L27" s="75">
        <f>VLOOKUP($A27,'Data Vlaue (Cr)'!$C:$FB,67)</f>
        <v>2951</v>
      </c>
      <c r="M27" s="75">
        <f>VLOOKUP($A27,'Data Vlaue (Cr)'!$C:$FB,68)</f>
        <v>2864</v>
      </c>
      <c r="N27" s="75">
        <f t="shared" si="4"/>
        <v>87</v>
      </c>
      <c r="O27" s="75">
        <f t="shared" si="5"/>
        <v>2.9481531684174858</v>
      </c>
      <c r="P27" s="75">
        <f>VLOOKUP($A27,'Data Vlaue (Cr)'!$C:$FB,119)</f>
        <v>0.89</v>
      </c>
      <c r="Q27" s="75">
        <f>VLOOKUP($A27,'Data Vlaue (Cr)'!$C:$FB,122)*100</f>
        <v>0</v>
      </c>
      <c r="R27" s="75">
        <f>VLOOKUP($A27,'Data Vlaue (Cr)'!$C:$FB,125)</f>
        <v>0.37</v>
      </c>
      <c r="S27" s="75">
        <f>VLOOKUP($A27,'Data Vlaue (Cr)'!$C:$FB,128)*100</f>
        <v>-22.919999999999998</v>
      </c>
    </row>
    <row r="28" spans="1:19" x14ac:dyDescent="0.25">
      <c r="A28" s="96" t="str">
        <f>'Data Vlaue (Cr)'!C19</f>
        <v>ATGL</v>
      </c>
      <c r="B28" s="75">
        <f>VLOOKUP($A28,'Data Vlaue (Cr)'!$C:$FB,2)</f>
        <v>875</v>
      </c>
      <c r="C28" s="75">
        <f>VLOOKUP($A28,'Data Vlaue (Cr)'!$C:$FB,8)</f>
        <v>630.4</v>
      </c>
      <c r="D28" s="75">
        <f>VLOOKUP($A28,'Data Vlaue (Cr)'!$C:$FB,4)</f>
        <v>633.1</v>
      </c>
      <c r="E28" s="75">
        <f>VLOOKUP($A28,'Data Vlaue (Cr)'!$C:$FB,5)</f>
        <v>631.6</v>
      </c>
      <c r="F28" s="75">
        <f t="shared" si="0"/>
        <v>2.7000000000000455</v>
      </c>
      <c r="G28" s="75">
        <f t="shared" si="1"/>
        <v>0.23692939504027802</v>
      </c>
      <c r="H28" s="75">
        <f>VLOOKUP($A28,'Data Vlaue (Cr)'!$C:$FB,99)</f>
        <v>337</v>
      </c>
      <c r="I28" s="75">
        <f>VLOOKUP($A28,'Data Vlaue (Cr)'!$C:$FB,100)</f>
        <v>358</v>
      </c>
      <c r="J28" s="75">
        <f t="shared" si="2"/>
        <v>-21</v>
      </c>
      <c r="K28" s="75">
        <f t="shared" si="3"/>
        <v>-6.2314540059347179</v>
      </c>
      <c r="L28" s="75">
        <f>VLOOKUP($A28,'Data Vlaue (Cr)'!$C:$FB,67)</f>
        <v>158</v>
      </c>
      <c r="M28" s="75">
        <f>VLOOKUP($A28,'Data Vlaue (Cr)'!$C:$FB,68)</f>
        <v>166</v>
      </c>
      <c r="N28" s="75">
        <f t="shared" si="4"/>
        <v>-8</v>
      </c>
      <c r="O28" s="75">
        <f t="shared" si="5"/>
        <v>-5.0632911392405067</v>
      </c>
      <c r="P28" s="75">
        <f>VLOOKUP($A28,'Data Vlaue (Cr)'!$C:$FB,119)</f>
        <v>0.88</v>
      </c>
      <c r="Q28" s="75">
        <f>VLOOKUP($A28,'Data Vlaue (Cr)'!$C:$FB,122)*100</f>
        <v>7.32</v>
      </c>
      <c r="R28" s="75">
        <f>VLOOKUP($A28,'Data Vlaue (Cr)'!$C:$FB,125)</f>
        <v>0.33</v>
      </c>
      <c r="S28" s="75">
        <f>VLOOKUP($A28,'Data Vlaue (Cr)'!$C:$FB,128)*100</f>
        <v>17.86</v>
      </c>
    </row>
    <row r="29" spans="1:19" x14ac:dyDescent="0.25">
      <c r="A29" s="96" t="str">
        <f>'Data Vlaue (Cr)'!C20</f>
        <v>AUBANK</v>
      </c>
      <c r="B29" s="75">
        <f>VLOOKUP($A29,'Data Vlaue (Cr)'!$C:$FB,2)</f>
        <v>1000</v>
      </c>
      <c r="C29" s="75">
        <f>VLOOKUP($A29,'Data Vlaue (Cr)'!$C:$FB,8)</f>
        <v>759.15</v>
      </c>
      <c r="D29" s="75">
        <f>VLOOKUP($A29,'Data Vlaue (Cr)'!$C:$FB,4)</f>
        <v>757.6</v>
      </c>
      <c r="E29" s="75">
        <f>VLOOKUP($A29,'Data Vlaue (Cr)'!$C:$FB,5)</f>
        <v>757</v>
      </c>
      <c r="F29" s="75">
        <f t="shared" si="0"/>
        <v>-1.5499999999999545</v>
      </c>
      <c r="G29" s="75">
        <f t="shared" si="1"/>
        <v>7.9197465681101198E-2</v>
      </c>
      <c r="H29" s="75">
        <f>VLOOKUP($A29,'Data Vlaue (Cr)'!$C:$FB,99)</f>
        <v>2680</v>
      </c>
      <c r="I29" s="75">
        <f>VLOOKUP($A29,'Data Vlaue (Cr)'!$C:$FB,100)</f>
        <v>2661</v>
      </c>
      <c r="J29" s="75">
        <f t="shared" si="2"/>
        <v>19</v>
      </c>
      <c r="K29" s="75">
        <f t="shared" si="3"/>
        <v>0.70895522388059706</v>
      </c>
      <c r="L29" s="75">
        <f>VLOOKUP($A29,'Data Vlaue (Cr)'!$C:$FB,67)</f>
        <v>1363</v>
      </c>
      <c r="M29" s="75">
        <f>VLOOKUP($A29,'Data Vlaue (Cr)'!$C:$FB,68)</f>
        <v>1004</v>
      </c>
      <c r="N29" s="75">
        <f t="shared" si="4"/>
        <v>359</v>
      </c>
      <c r="O29" s="75">
        <f t="shared" si="5"/>
        <v>26.338958180484223</v>
      </c>
      <c r="P29" s="75">
        <f>VLOOKUP($A29,'Data Vlaue (Cr)'!$C:$FB,119)</f>
        <v>0.59</v>
      </c>
      <c r="Q29" s="75">
        <f>VLOOKUP($A29,'Data Vlaue (Cr)'!$C:$FB,122)*100</f>
        <v>1.72</v>
      </c>
      <c r="R29" s="75">
        <f>VLOOKUP($A29,'Data Vlaue (Cr)'!$C:$FB,125)</f>
        <v>0.51</v>
      </c>
      <c r="S29" s="75">
        <f>VLOOKUP($A29,'Data Vlaue (Cr)'!$C:$FB,128)*100</f>
        <v>2</v>
      </c>
    </row>
    <row r="30" spans="1:19" x14ac:dyDescent="0.25">
      <c r="A30" s="96" t="str">
        <f>'Data Vlaue (Cr)'!C21</f>
        <v>AUROPHARMA</v>
      </c>
      <c r="B30" s="75">
        <f>VLOOKUP($A30,'Data Vlaue (Cr)'!$C:$FB,2)</f>
        <v>550</v>
      </c>
      <c r="C30" s="75">
        <f>VLOOKUP($A30,'Data Vlaue (Cr)'!$C:$FB,8)</f>
        <v>1046.4000000000001</v>
      </c>
      <c r="D30" s="75">
        <f>VLOOKUP($A30,'Data Vlaue (Cr)'!$C:$FB,4)</f>
        <v>1048.8</v>
      </c>
      <c r="E30" s="75">
        <f>VLOOKUP($A30,'Data Vlaue (Cr)'!$C:$FB,5)</f>
        <v>1092.5999999999999</v>
      </c>
      <c r="F30" s="75">
        <f t="shared" si="0"/>
        <v>2.3999999999998636</v>
      </c>
      <c r="G30" s="75">
        <f t="shared" si="1"/>
        <v>-4.1762013729977072</v>
      </c>
      <c r="H30" s="75">
        <f>VLOOKUP($A30,'Data Vlaue (Cr)'!$C:$FB,99)</f>
        <v>3292</v>
      </c>
      <c r="I30" s="75">
        <f>VLOOKUP($A30,'Data Vlaue (Cr)'!$C:$FB,100)</f>
        <v>2635</v>
      </c>
      <c r="J30" s="75">
        <f t="shared" si="2"/>
        <v>657</v>
      </c>
      <c r="K30" s="75">
        <f t="shared" si="3"/>
        <v>19.957472660996356</v>
      </c>
      <c r="L30" s="75">
        <f>VLOOKUP($A30,'Data Vlaue (Cr)'!$C:$FB,67)</f>
        <v>5385</v>
      </c>
      <c r="M30" s="75">
        <f>VLOOKUP($A30,'Data Vlaue (Cr)'!$C:$FB,68)</f>
        <v>753</v>
      </c>
      <c r="N30" s="75">
        <f t="shared" si="4"/>
        <v>4632</v>
      </c>
      <c r="O30" s="75">
        <f t="shared" si="5"/>
        <v>86.016713091922</v>
      </c>
      <c r="P30" s="75">
        <f>VLOOKUP($A30,'Data Vlaue (Cr)'!$C:$FB,119)</f>
        <v>0.56000000000000005</v>
      </c>
      <c r="Q30" s="75">
        <f>VLOOKUP($A30,'Data Vlaue (Cr)'!$C:$FB,122)*100</f>
        <v>-25.330000000000002</v>
      </c>
      <c r="R30" s="75">
        <f>VLOOKUP($A30,'Data Vlaue (Cr)'!$C:$FB,125)</f>
        <v>0.61</v>
      </c>
      <c r="S30" s="75">
        <f>VLOOKUP($A30,'Data Vlaue (Cr)'!$C:$FB,128)*100</f>
        <v>-25.61</v>
      </c>
    </row>
    <row r="31" spans="1:19" x14ac:dyDescent="0.25">
      <c r="A31" s="96" t="str">
        <f>'Data Vlaue (Cr)'!C22</f>
        <v>AXISBANK</v>
      </c>
      <c r="B31" s="75">
        <f>VLOOKUP($A31,'Data Vlaue (Cr)'!$C:$FB,2)</f>
        <v>625</v>
      </c>
      <c r="C31" s="75">
        <f>VLOOKUP($A31,'Data Vlaue (Cr)'!$C:$FB,8)</f>
        <v>1080.2</v>
      </c>
      <c r="D31" s="75">
        <f>VLOOKUP($A31,'Data Vlaue (Cr)'!$C:$FB,4)</f>
        <v>1082.0999999999999</v>
      </c>
      <c r="E31" s="75">
        <f>VLOOKUP($A31,'Data Vlaue (Cr)'!$C:$FB,5)</f>
        <v>1086.8</v>
      </c>
      <c r="F31" s="75">
        <f t="shared" si="0"/>
        <v>1.8999999999998636</v>
      </c>
      <c r="G31" s="75">
        <f t="shared" si="1"/>
        <v>-0.434340633952504</v>
      </c>
      <c r="H31" s="75">
        <f>VLOOKUP($A31,'Data Vlaue (Cr)'!$C:$FB,99)</f>
        <v>14869</v>
      </c>
      <c r="I31" s="75">
        <f>VLOOKUP($A31,'Data Vlaue (Cr)'!$C:$FB,100)</f>
        <v>14665</v>
      </c>
      <c r="J31" s="75">
        <f t="shared" si="2"/>
        <v>204</v>
      </c>
      <c r="K31" s="75">
        <f t="shared" si="3"/>
        <v>1.3719819759230614</v>
      </c>
      <c r="L31" s="75">
        <f>VLOOKUP($A31,'Data Vlaue (Cr)'!$C:$FB,67)</f>
        <v>3352</v>
      </c>
      <c r="M31" s="75">
        <f>VLOOKUP($A31,'Data Vlaue (Cr)'!$C:$FB,68)</f>
        <v>4712</v>
      </c>
      <c r="N31" s="75">
        <f t="shared" si="4"/>
        <v>-1360</v>
      </c>
      <c r="O31" s="75">
        <f t="shared" si="5"/>
        <v>-40.572792362768496</v>
      </c>
      <c r="P31" s="75">
        <f>VLOOKUP($A31,'Data Vlaue (Cr)'!$C:$FB,119)</f>
        <v>0.55000000000000004</v>
      </c>
      <c r="Q31" s="75">
        <f>VLOOKUP($A31,'Data Vlaue (Cr)'!$C:$FB,122)*100</f>
        <v>-1.79</v>
      </c>
      <c r="R31" s="75">
        <f>VLOOKUP($A31,'Data Vlaue (Cr)'!$C:$FB,125)</f>
        <v>0.54</v>
      </c>
      <c r="S31" s="75">
        <f>VLOOKUP($A31,'Data Vlaue (Cr)'!$C:$FB,128)*100</f>
        <v>1.8900000000000001</v>
      </c>
    </row>
    <row r="32" spans="1:19" x14ac:dyDescent="0.25">
      <c r="A32" s="96" t="str">
        <f>'Data Vlaue (Cr)'!C23</f>
        <v>BAJAJ-AUTO</v>
      </c>
      <c r="B32" s="75">
        <f>VLOOKUP($A32,'Data Vlaue (Cr)'!$C:$FB,2)</f>
        <v>75</v>
      </c>
      <c r="C32" s="75">
        <f>VLOOKUP($A32,'Data Vlaue (Cr)'!$C:$FB,8)</f>
        <v>8827.5</v>
      </c>
      <c r="D32" s="75">
        <f>VLOOKUP($A32,'Data Vlaue (Cr)'!$C:$FB,4)</f>
        <v>8826.5</v>
      </c>
      <c r="E32" s="75">
        <f>VLOOKUP($A32,'Data Vlaue (Cr)'!$C:$FB,5)</f>
        <v>8800.5</v>
      </c>
      <c r="F32" s="75">
        <f t="shared" si="0"/>
        <v>-1</v>
      </c>
      <c r="G32" s="75">
        <f t="shared" si="1"/>
        <v>0.29456749560981138</v>
      </c>
      <c r="H32" s="75">
        <f>VLOOKUP($A32,'Data Vlaue (Cr)'!$C:$FB,99)</f>
        <v>4937</v>
      </c>
      <c r="I32" s="75">
        <f>VLOOKUP($A32,'Data Vlaue (Cr)'!$C:$FB,100)</f>
        <v>4977</v>
      </c>
      <c r="J32" s="75">
        <f t="shared" si="2"/>
        <v>-40</v>
      </c>
      <c r="K32" s="75">
        <f t="shared" si="3"/>
        <v>-0.81020862872189581</v>
      </c>
      <c r="L32" s="75">
        <f>VLOOKUP($A32,'Data Vlaue (Cr)'!$C:$FB,67)</f>
        <v>6396</v>
      </c>
      <c r="M32" s="75">
        <f>VLOOKUP($A32,'Data Vlaue (Cr)'!$C:$FB,68)</f>
        <v>23551</v>
      </c>
      <c r="N32" s="75">
        <f t="shared" si="4"/>
        <v>-17155</v>
      </c>
      <c r="O32" s="75">
        <f t="shared" si="5"/>
        <v>-268.21450906816762</v>
      </c>
      <c r="P32" s="75">
        <f>VLOOKUP($A32,'Data Vlaue (Cr)'!$C:$FB,119)</f>
        <v>0.83</v>
      </c>
      <c r="Q32" s="75">
        <f>VLOOKUP($A32,'Data Vlaue (Cr)'!$C:$FB,122)*100</f>
        <v>7.79</v>
      </c>
      <c r="R32" s="75">
        <f>VLOOKUP($A32,'Data Vlaue (Cr)'!$C:$FB,125)</f>
        <v>0.52</v>
      </c>
      <c r="S32" s="75">
        <f>VLOOKUP($A32,'Data Vlaue (Cr)'!$C:$FB,128)*100</f>
        <v>26.83</v>
      </c>
    </row>
    <row r="33" spans="1:19" x14ac:dyDescent="0.25">
      <c r="A33" s="96" t="str">
        <f>'Data Vlaue (Cr)'!C24</f>
        <v>BAJAJFINSV</v>
      </c>
      <c r="B33" s="75">
        <f>VLOOKUP($A33,'Data Vlaue (Cr)'!$C:$FB,2)</f>
        <v>500</v>
      </c>
      <c r="C33" s="75">
        <f>VLOOKUP($A33,'Data Vlaue (Cr)'!$C:$FB,8)</f>
        <v>1958.5</v>
      </c>
      <c r="D33" s="75">
        <f>VLOOKUP($A33,'Data Vlaue (Cr)'!$C:$FB,4)</f>
        <v>1962.9</v>
      </c>
      <c r="E33" s="75">
        <f>VLOOKUP($A33,'Data Vlaue (Cr)'!$C:$FB,5)</f>
        <v>1978.8</v>
      </c>
      <c r="F33" s="75">
        <f t="shared" si="0"/>
        <v>4.4000000000000909</v>
      </c>
      <c r="G33" s="75">
        <f t="shared" si="1"/>
        <v>-0.81002598196545228</v>
      </c>
      <c r="H33" s="75">
        <f>VLOOKUP($A33,'Data Vlaue (Cr)'!$C:$FB,99)</f>
        <v>5505</v>
      </c>
      <c r="I33" s="75">
        <f>VLOOKUP($A33,'Data Vlaue (Cr)'!$C:$FB,100)</f>
        <v>5383</v>
      </c>
      <c r="J33" s="75">
        <f t="shared" si="2"/>
        <v>122</v>
      </c>
      <c r="K33" s="75">
        <f t="shared" si="3"/>
        <v>2.2161671207992737</v>
      </c>
      <c r="L33" s="75">
        <f>VLOOKUP($A33,'Data Vlaue (Cr)'!$C:$FB,67)</f>
        <v>3177</v>
      </c>
      <c r="M33" s="75">
        <f>VLOOKUP($A33,'Data Vlaue (Cr)'!$C:$FB,68)</f>
        <v>3592</v>
      </c>
      <c r="N33" s="75">
        <f t="shared" si="4"/>
        <v>-415</v>
      </c>
      <c r="O33" s="75">
        <f t="shared" si="5"/>
        <v>-13.062637708530058</v>
      </c>
      <c r="P33" s="75">
        <f>VLOOKUP($A33,'Data Vlaue (Cr)'!$C:$FB,119)</f>
        <v>0.71</v>
      </c>
      <c r="Q33" s="75">
        <f>VLOOKUP($A33,'Data Vlaue (Cr)'!$C:$FB,122)*100</f>
        <v>-10.130000000000001</v>
      </c>
      <c r="R33" s="75">
        <f>VLOOKUP($A33,'Data Vlaue (Cr)'!$C:$FB,125)</f>
        <v>0.48</v>
      </c>
      <c r="S33" s="75">
        <f>VLOOKUP($A33,'Data Vlaue (Cr)'!$C:$FB,128)*100</f>
        <v>-23.810000000000002</v>
      </c>
    </row>
    <row r="34" spans="1:19" x14ac:dyDescent="0.25">
      <c r="A34" s="96" t="str">
        <f>'Data Vlaue (Cr)'!C25</f>
        <v>BAJFINANCE</v>
      </c>
      <c r="B34" s="75">
        <f>VLOOKUP($A34,'Data Vlaue (Cr)'!$C:$FB,2)</f>
        <v>750</v>
      </c>
      <c r="C34" s="75">
        <f>VLOOKUP($A34,'Data Vlaue (Cr)'!$C:$FB,8)</f>
        <v>887.8</v>
      </c>
      <c r="D34" s="75">
        <f>VLOOKUP($A34,'Data Vlaue (Cr)'!$C:$FB,4)</f>
        <v>887.95</v>
      </c>
      <c r="E34" s="75">
        <f>VLOOKUP($A34,'Data Vlaue (Cr)'!$C:$FB,5)</f>
        <v>904.1</v>
      </c>
      <c r="F34" s="75">
        <f t="shared" si="0"/>
        <v>0.15000000000009095</v>
      </c>
      <c r="G34" s="75">
        <f t="shared" si="1"/>
        <v>-1.8187961033841971</v>
      </c>
      <c r="H34" s="180">
        <f>VLOOKUP($A34,'Data Vlaue (Cr)'!$C:$FB,99)</f>
        <v>12813</v>
      </c>
      <c r="I34" s="180">
        <f>VLOOKUP($A34,'Data Vlaue (Cr)'!$C:$FB,100)</f>
        <v>12428</v>
      </c>
      <c r="J34" s="180">
        <f t="shared" si="2"/>
        <v>385</v>
      </c>
      <c r="K34" s="180">
        <f t="shared" si="3"/>
        <v>3.0047607898228361</v>
      </c>
      <c r="L34" s="180">
        <f>VLOOKUP($A34,'Data Vlaue (Cr)'!$C:$FB,67)</f>
        <v>5495</v>
      </c>
      <c r="M34" s="180">
        <f>VLOOKUP($A34,'Data Vlaue (Cr)'!$C:$FB,68)</f>
        <v>6186</v>
      </c>
      <c r="N34" s="180">
        <f t="shared" si="4"/>
        <v>-691</v>
      </c>
      <c r="O34" s="180">
        <f t="shared" si="5"/>
        <v>-12.575068243858054</v>
      </c>
      <c r="P34" s="180">
        <f>VLOOKUP($A34,'Data Vlaue (Cr)'!$C:$FB,119)</f>
        <v>0.53</v>
      </c>
      <c r="Q34" s="180">
        <f>VLOOKUP($A34,'Data Vlaue (Cr)'!$C:$FB,122)*100</f>
        <v>-8.6199999999999992</v>
      </c>
      <c r="R34" s="180">
        <f>VLOOKUP($A34,'Data Vlaue (Cr)'!$C:$FB,125)</f>
        <v>0.55000000000000004</v>
      </c>
      <c r="S34" s="180">
        <f>VLOOKUP($A34,'Data Vlaue (Cr)'!$C:$FB,128)*100</f>
        <v>0</v>
      </c>
    </row>
    <row r="35" spans="1:19" x14ac:dyDescent="0.25">
      <c r="A35" s="96" t="str">
        <f>'Data Vlaue (Cr)'!C26</f>
        <v>BANDHANBNK</v>
      </c>
      <c r="B35" s="75">
        <f>VLOOKUP($A35,'Data Vlaue (Cr)'!$C:$FB,2)</f>
        <v>3600</v>
      </c>
      <c r="C35" s="75">
        <f>VLOOKUP($A35,'Data Vlaue (Cr)'!$C:$FB,8)</f>
        <v>174.28</v>
      </c>
      <c r="D35" s="75">
        <f>VLOOKUP($A35,'Data Vlaue (Cr)'!$C:$FB,4)</f>
        <v>174.74</v>
      </c>
      <c r="E35" s="75">
        <f>VLOOKUP($A35,'Data Vlaue (Cr)'!$C:$FB,5)</f>
        <v>174.26</v>
      </c>
      <c r="F35" s="75">
        <f t="shared" si="0"/>
        <v>0.46000000000000796</v>
      </c>
      <c r="G35" s="75">
        <f t="shared" si="1"/>
        <v>0.27469383083439292</v>
      </c>
      <c r="H35" s="75">
        <f>VLOOKUP($A35,'Data Vlaue (Cr)'!$C:$FB,99)</f>
        <v>2144</v>
      </c>
      <c r="I35" s="75">
        <f>VLOOKUP($A35,'Data Vlaue (Cr)'!$C:$FB,100)</f>
        <v>2129</v>
      </c>
      <c r="J35" s="75">
        <f t="shared" si="2"/>
        <v>15</v>
      </c>
      <c r="K35" s="75">
        <f t="shared" si="3"/>
        <v>0.69962686567164178</v>
      </c>
      <c r="L35" s="75">
        <f>VLOOKUP($A35,'Data Vlaue (Cr)'!$C:$FB,67)</f>
        <v>844</v>
      </c>
      <c r="M35" s="75">
        <f>VLOOKUP($A35,'Data Vlaue (Cr)'!$C:$FB,68)</f>
        <v>1736</v>
      </c>
      <c r="N35" s="75">
        <f t="shared" si="4"/>
        <v>-892</v>
      </c>
      <c r="O35" s="75">
        <f t="shared" si="5"/>
        <v>-105.68720379146919</v>
      </c>
      <c r="P35" s="75">
        <f>VLOOKUP($A35,'Data Vlaue (Cr)'!$C:$FB,119)</f>
        <v>0.74</v>
      </c>
      <c r="Q35" s="75">
        <f>VLOOKUP($A35,'Data Vlaue (Cr)'!$C:$FB,122)*100</f>
        <v>-2.63</v>
      </c>
      <c r="R35" s="75">
        <f>VLOOKUP($A35,'Data Vlaue (Cr)'!$C:$FB,125)</f>
        <v>0.73</v>
      </c>
      <c r="S35" s="75">
        <f>VLOOKUP($A35,'Data Vlaue (Cr)'!$C:$FB,128)*100</f>
        <v>15.870000000000001</v>
      </c>
    </row>
    <row r="36" spans="1:19" x14ac:dyDescent="0.25">
      <c r="A36" s="96" t="str">
        <f>'Data Vlaue (Cr)'!C27</f>
        <v>BANKBARODA</v>
      </c>
      <c r="B36" s="75">
        <f>VLOOKUP($A36,'Data Vlaue (Cr)'!$C:$FB,2)</f>
        <v>2925</v>
      </c>
      <c r="C36" s="75">
        <f>VLOOKUP($A36,'Data Vlaue (Cr)'!$C:$FB,8)</f>
        <v>244.88</v>
      </c>
      <c r="D36" s="75">
        <f>VLOOKUP($A36,'Data Vlaue (Cr)'!$C:$FB,4)</f>
        <v>245.54</v>
      </c>
      <c r="E36" s="75">
        <f>VLOOKUP($A36,'Data Vlaue (Cr)'!$C:$FB,5)</f>
        <v>247.9</v>
      </c>
      <c r="F36" s="75">
        <f t="shared" si="0"/>
        <v>0.65999999999999659</v>
      </c>
      <c r="G36" s="75">
        <f t="shared" si="1"/>
        <v>-0.96114685998208593</v>
      </c>
      <c r="H36" s="75">
        <f>VLOOKUP($A36,'Data Vlaue (Cr)'!$C:$FB,99)</f>
        <v>4625</v>
      </c>
      <c r="I36" s="75">
        <f>VLOOKUP($A36,'Data Vlaue (Cr)'!$C:$FB,100)</f>
        <v>4411</v>
      </c>
      <c r="J36" s="75">
        <f t="shared" si="2"/>
        <v>214</v>
      </c>
      <c r="K36" s="75">
        <f t="shared" si="3"/>
        <v>4.6270270270270277</v>
      </c>
      <c r="L36" s="75">
        <f>VLOOKUP($A36,'Data Vlaue (Cr)'!$C:$FB,67)</f>
        <v>2713</v>
      </c>
      <c r="M36" s="75">
        <f>VLOOKUP($A36,'Data Vlaue (Cr)'!$C:$FB,68)</f>
        <v>2483</v>
      </c>
      <c r="N36" s="75">
        <f t="shared" si="4"/>
        <v>230</v>
      </c>
      <c r="O36" s="75">
        <f t="shared" si="5"/>
        <v>8.4776999631404344</v>
      </c>
      <c r="P36" s="75">
        <f>VLOOKUP($A36,'Data Vlaue (Cr)'!$C:$FB,119)</f>
        <v>0.93</v>
      </c>
      <c r="Q36" s="75">
        <f>VLOOKUP($A36,'Data Vlaue (Cr)'!$C:$FB,122)*100</f>
        <v>-5.0999999999999996</v>
      </c>
      <c r="R36" s="75">
        <f>VLOOKUP($A36,'Data Vlaue (Cr)'!$C:$FB,125)</f>
        <v>0.61</v>
      </c>
      <c r="S36" s="75">
        <f>VLOOKUP($A36,'Data Vlaue (Cr)'!$C:$FB,128)*100</f>
        <v>10.91</v>
      </c>
    </row>
    <row r="37" spans="1:19" x14ac:dyDescent="0.25">
      <c r="A37" s="96" t="str">
        <f>'Data Vlaue (Cr)'!C28</f>
        <v>BANKINDIA</v>
      </c>
      <c r="B37" s="75">
        <f>VLOOKUP($A37,'Data Vlaue (Cr)'!$C:$FB,2)</f>
        <v>5200</v>
      </c>
      <c r="C37" s="75">
        <f>VLOOKUP($A37,'Data Vlaue (Cr)'!$C:$FB,8)</f>
        <v>116.33</v>
      </c>
      <c r="D37" s="75">
        <f>VLOOKUP($A37,'Data Vlaue (Cr)'!$C:$FB,4)</f>
        <v>116.53</v>
      </c>
      <c r="E37" s="75">
        <f>VLOOKUP($A37,'Data Vlaue (Cr)'!$C:$FB,5)</f>
        <v>116.89</v>
      </c>
      <c r="F37" s="75">
        <f t="shared" si="0"/>
        <v>0.20000000000000284</v>
      </c>
      <c r="G37" s="75">
        <f t="shared" si="1"/>
        <v>-0.30893332189135797</v>
      </c>
      <c r="H37" s="75">
        <f>VLOOKUP($A37,'Data Vlaue (Cr)'!$C:$FB,99)</f>
        <v>1113</v>
      </c>
      <c r="I37" s="75">
        <f>VLOOKUP($A37,'Data Vlaue (Cr)'!$C:$FB,100)</f>
        <v>1099</v>
      </c>
      <c r="J37" s="75">
        <f t="shared" si="2"/>
        <v>14</v>
      </c>
      <c r="K37" s="75">
        <f t="shared" si="3"/>
        <v>1.257861635220126</v>
      </c>
      <c r="L37" s="75">
        <f>VLOOKUP($A37,'Data Vlaue (Cr)'!$C:$FB,67)</f>
        <v>227</v>
      </c>
      <c r="M37" s="75">
        <f>VLOOKUP($A37,'Data Vlaue (Cr)'!$C:$FB,68)</f>
        <v>431</v>
      </c>
      <c r="N37" s="75">
        <f t="shared" si="4"/>
        <v>-204</v>
      </c>
      <c r="O37" s="75">
        <f t="shared" si="5"/>
        <v>-89.867841409691636</v>
      </c>
      <c r="P37" s="75">
        <f>VLOOKUP($A37,'Data Vlaue (Cr)'!$C:$FB,119)</f>
        <v>0.92</v>
      </c>
      <c r="Q37" s="75">
        <f>VLOOKUP($A37,'Data Vlaue (Cr)'!$C:$FB,122)*100</f>
        <v>6.98</v>
      </c>
      <c r="R37" s="75">
        <f>VLOOKUP($A37,'Data Vlaue (Cr)'!$C:$FB,125)</f>
        <v>1.07</v>
      </c>
      <c r="S37" s="75">
        <f>VLOOKUP($A37,'Data Vlaue (Cr)'!$C:$FB,128)*100</f>
        <v>91.07</v>
      </c>
    </row>
    <row r="38" spans="1:19" x14ac:dyDescent="0.25">
      <c r="A38" s="96" t="str">
        <f>'Data Vlaue (Cr)'!C29</f>
        <v>BANKNIFTY</v>
      </c>
      <c r="B38" s="75">
        <f>VLOOKUP($A38,'Data Vlaue (Cr)'!$C:$FB,2)</f>
        <v>35</v>
      </c>
      <c r="C38" s="75">
        <f>VLOOKUP($A38,'Data Vlaue (Cr)'!$C:$FB,8)</f>
        <v>55698.5</v>
      </c>
      <c r="D38" s="75">
        <f>VLOOKUP($A38,'Data Vlaue (Cr)'!$C:$FB,4)</f>
        <v>55815.6</v>
      </c>
      <c r="E38" s="75">
        <f>VLOOKUP($A38,'Data Vlaue (Cr)'!$C:$FB,5)</f>
        <v>55965.8</v>
      </c>
      <c r="F38" s="75">
        <f t="shared" si="0"/>
        <v>117.09999999999854</v>
      </c>
      <c r="G38" s="75">
        <f t="shared" si="1"/>
        <v>-0.26910039487169246</v>
      </c>
      <c r="H38" s="75">
        <f>VLOOKUP($A38,'Data Vlaue (Cr)'!$C:$FB,99)</f>
        <v>243570</v>
      </c>
      <c r="I38" s="75">
        <f>VLOOKUP($A38,'Data Vlaue (Cr)'!$C:$FB,100)</f>
        <v>234651</v>
      </c>
      <c r="J38" s="75">
        <f t="shared" si="2"/>
        <v>8919</v>
      </c>
      <c r="K38" s="75">
        <f t="shared" si="3"/>
        <v>3.6617810075132406</v>
      </c>
      <c r="L38" s="75">
        <f>VLOOKUP($A38,'Data Vlaue (Cr)'!$C:$FB,67)</f>
        <v>684980</v>
      </c>
      <c r="M38" s="75">
        <f>VLOOKUP($A38,'Data Vlaue (Cr)'!$C:$FB,68)</f>
        <v>653828</v>
      </c>
      <c r="N38" s="75">
        <f t="shared" si="4"/>
        <v>31152</v>
      </c>
      <c r="O38" s="75">
        <f t="shared" si="5"/>
        <v>4.5478700108032353</v>
      </c>
      <c r="P38" s="75">
        <f>VLOOKUP($A38,'Data Vlaue (Cr)'!$C:$FB,119)</f>
        <v>0.76</v>
      </c>
      <c r="Q38" s="75">
        <f>VLOOKUP($A38,'Data Vlaue (Cr)'!$C:$FB,122)*100</f>
        <v>-7.32</v>
      </c>
      <c r="R38" s="75">
        <f>VLOOKUP($A38,'Data Vlaue (Cr)'!$C:$FB,125)</f>
        <v>0.9</v>
      </c>
      <c r="S38" s="75">
        <f>VLOOKUP($A38,'Data Vlaue (Cr)'!$C:$FB,128)*100</f>
        <v>9.76</v>
      </c>
    </row>
    <row r="39" spans="1:19" x14ac:dyDescent="0.25">
      <c r="A39" s="96" t="str">
        <f>'Data Vlaue (Cr)'!C30</f>
        <v>BDL</v>
      </c>
      <c r="B39" s="75">
        <f>VLOOKUP($A39,'Data Vlaue (Cr)'!$C:$FB,2)</f>
        <v>325</v>
      </c>
      <c r="C39" s="75">
        <f>VLOOKUP($A39,'Data Vlaue (Cr)'!$C:$FB,8)</f>
        <v>1529.5</v>
      </c>
      <c r="D39" s="75">
        <f>VLOOKUP($A39,'Data Vlaue (Cr)'!$C:$FB,4)</f>
        <v>1532.9</v>
      </c>
      <c r="E39" s="75">
        <f>VLOOKUP($A39,'Data Vlaue (Cr)'!$C:$FB,5)</f>
        <v>1555</v>
      </c>
      <c r="F39" s="75">
        <f t="shared" si="0"/>
        <v>3.4000000000000909</v>
      </c>
      <c r="G39" s="75">
        <f t="shared" si="1"/>
        <v>-1.4417117881140262</v>
      </c>
      <c r="H39" s="75">
        <f>VLOOKUP($A39,'Data Vlaue (Cr)'!$C:$FB,99)</f>
        <v>1601</v>
      </c>
      <c r="I39" s="75">
        <f>VLOOKUP($A39,'Data Vlaue (Cr)'!$C:$FB,100)</f>
        <v>1520</v>
      </c>
      <c r="J39" s="75">
        <f t="shared" si="2"/>
        <v>81</v>
      </c>
      <c r="K39" s="75">
        <f t="shared" si="3"/>
        <v>5.0593379138038728</v>
      </c>
      <c r="L39" s="75">
        <f>VLOOKUP($A39,'Data Vlaue (Cr)'!$C:$FB,67)</f>
        <v>1177</v>
      </c>
      <c r="M39" s="75">
        <f>VLOOKUP($A39,'Data Vlaue (Cr)'!$C:$FB,68)</f>
        <v>1589</v>
      </c>
      <c r="N39" s="75">
        <f t="shared" si="4"/>
        <v>-412</v>
      </c>
      <c r="O39" s="75">
        <f t="shared" si="5"/>
        <v>-35.004248088360242</v>
      </c>
      <c r="P39" s="75">
        <f>VLOOKUP($A39,'Data Vlaue (Cr)'!$C:$FB,119)</f>
        <v>0.62</v>
      </c>
      <c r="Q39" s="75">
        <f>VLOOKUP($A39,'Data Vlaue (Cr)'!$C:$FB,122)*100</f>
        <v>-10.14</v>
      </c>
      <c r="R39" s="75">
        <f>VLOOKUP($A39,'Data Vlaue (Cr)'!$C:$FB,125)</f>
        <v>0.54</v>
      </c>
      <c r="S39" s="75">
        <f>VLOOKUP($A39,'Data Vlaue (Cr)'!$C:$FB,128)*100</f>
        <v>-51.790000000000006</v>
      </c>
    </row>
    <row r="40" spans="1:19" x14ac:dyDescent="0.25">
      <c r="A40" s="96" t="str">
        <f>'Data Vlaue (Cr)'!C31</f>
        <v>BEL</v>
      </c>
      <c r="B40" s="75">
        <f>VLOOKUP($A40,'Data Vlaue (Cr)'!$C:$FB,2)</f>
        <v>2850</v>
      </c>
      <c r="C40" s="75">
        <f>VLOOKUP($A40,'Data Vlaue (Cr)'!$C:$FB,8)</f>
        <v>371.85</v>
      </c>
      <c r="D40" s="75">
        <f>VLOOKUP($A40,'Data Vlaue (Cr)'!$C:$FB,4)</f>
        <v>372.15</v>
      </c>
      <c r="E40" s="75">
        <f>VLOOKUP($A40,'Data Vlaue (Cr)'!$C:$FB,5)</f>
        <v>380.4</v>
      </c>
      <c r="F40" s="75">
        <f t="shared" si="0"/>
        <v>0.29999999999995453</v>
      </c>
      <c r="G40" s="75">
        <f t="shared" si="1"/>
        <v>-2.2168480451430876</v>
      </c>
      <c r="H40" s="75">
        <f>VLOOKUP($A40,'Data Vlaue (Cr)'!$C:$FB,99)</f>
        <v>10004</v>
      </c>
      <c r="I40" s="75">
        <f>VLOOKUP($A40,'Data Vlaue (Cr)'!$C:$FB,100)</f>
        <v>8905</v>
      </c>
      <c r="J40" s="75">
        <f t="shared" si="2"/>
        <v>1099</v>
      </c>
      <c r="K40" s="75">
        <f t="shared" si="3"/>
        <v>10.985605757696922</v>
      </c>
      <c r="L40" s="75">
        <f>VLOOKUP($A40,'Data Vlaue (Cr)'!$C:$FB,67)</f>
        <v>10370</v>
      </c>
      <c r="M40" s="75">
        <f>VLOOKUP($A40,'Data Vlaue (Cr)'!$C:$FB,68)</f>
        <v>5908</v>
      </c>
      <c r="N40" s="75">
        <f t="shared" si="4"/>
        <v>4462</v>
      </c>
      <c r="O40" s="75">
        <f t="shared" si="5"/>
        <v>43.027965284474448</v>
      </c>
      <c r="P40" s="75">
        <f>VLOOKUP($A40,'Data Vlaue (Cr)'!$C:$FB,119)</f>
        <v>0.5</v>
      </c>
      <c r="Q40" s="75">
        <f>VLOOKUP($A40,'Data Vlaue (Cr)'!$C:$FB,122)*100</f>
        <v>-7.41</v>
      </c>
      <c r="R40" s="75">
        <f>VLOOKUP($A40,'Data Vlaue (Cr)'!$C:$FB,125)</f>
        <v>0.52</v>
      </c>
      <c r="S40" s="75">
        <f>VLOOKUP($A40,'Data Vlaue (Cr)'!$C:$FB,128)*100</f>
        <v>-1.8900000000000001</v>
      </c>
    </row>
    <row r="41" spans="1:19" x14ac:dyDescent="0.25">
      <c r="A41" s="96" t="str">
        <f>'Data Vlaue (Cr)'!C32</f>
        <v>BHARATFORG</v>
      </c>
      <c r="B41" s="75">
        <f>VLOOKUP($A41,'Data Vlaue (Cr)'!$C:$FB,2)</f>
        <v>500</v>
      </c>
      <c r="C41" s="75">
        <f>VLOOKUP($A41,'Data Vlaue (Cr)'!$C:$FB,8)</f>
        <v>1158.9000000000001</v>
      </c>
      <c r="D41" s="75">
        <f>VLOOKUP($A41,'Data Vlaue (Cr)'!$C:$FB,4)</f>
        <v>1160.2</v>
      </c>
      <c r="E41" s="75">
        <f>VLOOKUP($A41,'Data Vlaue (Cr)'!$C:$FB,5)</f>
        <v>1193.0999999999999</v>
      </c>
      <c r="F41" s="75">
        <f t="shared" si="0"/>
        <v>1.2999999999999545</v>
      </c>
      <c r="G41" s="75">
        <f t="shared" si="1"/>
        <v>-2.8357179796586678</v>
      </c>
      <c r="H41" s="75">
        <f>VLOOKUP($A41,'Data Vlaue (Cr)'!$C:$FB,99)</f>
        <v>2162</v>
      </c>
      <c r="I41" s="75">
        <f>VLOOKUP($A41,'Data Vlaue (Cr)'!$C:$FB,100)</f>
        <v>2035</v>
      </c>
      <c r="J41" s="75">
        <f t="shared" si="2"/>
        <v>127</v>
      </c>
      <c r="K41" s="75">
        <f t="shared" si="3"/>
        <v>5.8741905642923218</v>
      </c>
      <c r="L41" s="75">
        <f>VLOOKUP($A41,'Data Vlaue (Cr)'!$C:$FB,67)</f>
        <v>1108</v>
      </c>
      <c r="M41" s="75">
        <f>VLOOKUP($A41,'Data Vlaue (Cr)'!$C:$FB,68)</f>
        <v>670</v>
      </c>
      <c r="N41" s="75">
        <f t="shared" si="4"/>
        <v>438</v>
      </c>
      <c r="O41" s="75">
        <f t="shared" si="5"/>
        <v>39.530685920577618</v>
      </c>
      <c r="P41" s="75">
        <f>VLOOKUP($A41,'Data Vlaue (Cr)'!$C:$FB,119)</f>
        <v>0.68</v>
      </c>
      <c r="Q41" s="75">
        <f>VLOOKUP($A41,'Data Vlaue (Cr)'!$C:$FB,122)*100</f>
        <v>-5.56</v>
      </c>
      <c r="R41" s="75">
        <f>VLOOKUP($A41,'Data Vlaue (Cr)'!$C:$FB,125)</f>
        <v>0.63</v>
      </c>
      <c r="S41" s="75">
        <f>VLOOKUP($A41,'Data Vlaue (Cr)'!$C:$FB,128)*100</f>
        <v>31.25</v>
      </c>
    </row>
    <row r="42" spans="1:19" x14ac:dyDescent="0.25">
      <c r="A42" s="96" t="str">
        <f>'Data Vlaue (Cr)'!C33</f>
        <v>BHARTIARTL</v>
      </c>
      <c r="B42" s="75">
        <f>VLOOKUP($A42,'Data Vlaue (Cr)'!$C:$FB,2)</f>
        <v>475</v>
      </c>
      <c r="C42" s="75">
        <f>VLOOKUP($A42,'Data Vlaue (Cr)'!$C:$FB,8)</f>
        <v>1928.4</v>
      </c>
      <c r="D42" s="75">
        <f>VLOOKUP($A42,'Data Vlaue (Cr)'!$C:$FB,4)</f>
        <v>1929.2</v>
      </c>
      <c r="E42" s="75">
        <f>VLOOKUP($A42,'Data Vlaue (Cr)'!$C:$FB,5)</f>
        <v>1915</v>
      </c>
      <c r="F42" s="75">
        <f t="shared" si="0"/>
        <v>0.79999999999995453</v>
      </c>
      <c r="G42" s="75">
        <f t="shared" si="1"/>
        <v>0.73605639643375731</v>
      </c>
      <c r="H42" s="75">
        <f>VLOOKUP($A42,'Data Vlaue (Cr)'!$C:$FB,99)</f>
        <v>14179</v>
      </c>
      <c r="I42" s="75">
        <f>VLOOKUP($A42,'Data Vlaue (Cr)'!$C:$FB,100)</f>
        <v>14362</v>
      </c>
      <c r="J42" s="75">
        <f t="shared" si="2"/>
        <v>-183</v>
      </c>
      <c r="K42" s="75">
        <f t="shared" si="3"/>
        <v>-1.2906410889343396</v>
      </c>
      <c r="L42" s="75">
        <f>VLOOKUP($A42,'Data Vlaue (Cr)'!$C:$FB,67)</f>
        <v>14922</v>
      </c>
      <c r="M42" s="75">
        <f>VLOOKUP($A42,'Data Vlaue (Cr)'!$C:$FB,68)</f>
        <v>15711</v>
      </c>
      <c r="N42" s="75">
        <f t="shared" si="4"/>
        <v>-789</v>
      </c>
      <c r="O42" s="75">
        <f t="shared" si="5"/>
        <v>-5.2874949738640931</v>
      </c>
      <c r="P42" s="75">
        <f>VLOOKUP($A42,'Data Vlaue (Cr)'!$C:$FB,119)</f>
        <v>0.45</v>
      </c>
      <c r="Q42" s="75">
        <f>VLOOKUP($A42,'Data Vlaue (Cr)'!$C:$FB,122)*100</f>
        <v>4.6500000000000004</v>
      </c>
      <c r="R42" s="75">
        <f>VLOOKUP($A42,'Data Vlaue (Cr)'!$C:$FB,125)</f>
        <v>0.38</v>
      </c>
      <c r="S42" s="75">
        <f>VLOOKUP($A42,'Data Vlaue (Cr)'!$C:$FB,128)*100</f>
        <v>-2.56</v>
      </c>
    </row>
    <row r="43" spans="1:19" x14ac:dyDescent="0.25">
      <c r="A43" s="96" t="str">
        <f>'Data Vlaue (Cr)'!C34</f>
        <v>BHEL</v>
      </c>
      <c r="B43" s="75">
        <f>VLOOKUP($A43,'Data Vlaue (Cr)'!$C:$FB,2)</f>
        <v>2625</v>
      </c>
      <c r="C43" s="75">
        <f>VLOOKUP($A43,'Data Vlaue (Cr)'!$C:$FB,8)</f>
        <v>220.67</v>
      </c>
      <c r="D43" s="75">
        <f>VLOOKUP($A43,'Data Vlaue (Cr)'!$C:$FB,4)</f>
        <v>220.96</v>
      </c>
      <c r="E43" s="75">
        <f>VLOOKUP($A43,'Data Vlaue (Cr)'!$C:$FB,5)</f>
        <v>220</v>
      </c>
      <c r="F43" s="75">
        <f t="shared" si="0"/>
        <v>0.29000000000002046</v>
      </c>
      <c r="G43" s="75">
        <f t="shared" si="1"/>
        <v>0.43446777697321137</v>
      </c>
      <c r="H43" s="75">
        <f>VLOOKUP($A43,'Data Vlaue (Cr)'!$C:$FB,99)</f>
        <v>2858</v>
      </c>
      <c r="I43" s="75">
        <f>VLOOKUP($A43,'Data Vlaue (Cr)'!$C:$FB,100)</f>
        <v>2860</v>
      </c>
      <c r="J43" s="75">
        <f t="shared" si="2"/>
        <v>-2</v>
      </c>
      <c r="K43" s="75">
        <f t="shared" si="3"/>
        <v>-6.997900629811056E-2</v>
      </c>
      <c r="L43" s="75">
        <f>VLOOKUP($A43,'Data Vlaue (Cr)'!$C:$FB,67)</f>
        <v>985</v>
      </c>
      <c r="M43" s="75">
        <f>VLOOKUP($A43,'Data Vlaue (Cr)'!$C:$FB,68)</f>
        <v>1424</v>
      </c>
      <c r="N43" s="75">
        <f t="shared" si="4"/>
        <v>-439</v>
      </c>
      <c r="O43" s="75">
        <f t="shared" si="5"/>
        <v>-44.568527918781726</v>
      </c>
      <c r="P43" s="75">
        <f>VLOOKUP($A43,'Data Vlaue (Cr)'!$C:$FB,119)</f>
        <v>0.54</v>
      </c>
      <c r="Q43" s="75">
        <f>VLOOKUP($A43,'Data Vlaue (Cr)'!$C:$FB,122)*100</f>
        <v>0</v>
      </c>
      <c r="R43" s="75">
        <f>VLOOKUP($A43,'Data Vlaue (Cr)'!$C:$FB,125)</f>
        <v>0.51</v>
      </c>
      <c r="S43" s="75">
        <f>VLOOKUP($A43,'Data Vlaue (Cr)'!$C:$FB,128)*100</f>
        <v>24.39</v>
      </c>
    </row>
    <row r="44" spans="1:19" x14ac:dyDescent="0.25">
      <c r="A44" s="96" t="str">
        <f>'Data Vlaue (Cr)'!C35</f>
        <v>BIOCON</v>
      </c>
      <c r="B44" s="75">
        <f>VLOOKUP($A44,'Data Vlaue (Cr)'!$C:$FB,2)</f>
        <v>2500</v>
      </c>
      <c r="C44" s="75">
        <f>VLOOKUP($A44,'Data Vlaue (Cr)'!$C:$FB,8)</f>
        <v>359.45</v>
      </c>
      <c r="D44" s="75">
        <f>VLOOKUP($A44,'Data Vlaue (Cr)'!$C:$FB,4)</f>
        <v>360.05</v>
      </c>
      <c r="E44" s="75">
        <f>VLOOKUP($A44,'Data Vlaue (Cr)'!$C:$FB,5)</f>
        <v>364.8</v>
      </c>
      <c r="F44" s="75">
        <f t="shared" si="0"/>
        <v>0.60000000000002274</v>
      </c>
      <c r="G44" s="75">
        <f t="shared" si="1"/>
        <v>-1.3192612137203166</v>
      </c>
      <c r="H44" s="75">
        <f>VLOOKUP($A44,'Data Vlaue (Cr)'!$C:$FB,99)</f>
        <v>2882</v>
      </c>
      <c r="I44" s="75">
        <f>VLOOKUP($A44,'Data Vlaue (Cr)'!$C:$FB,100)</f>
        <v>2879</v>
      </c>
      <c r="J44" s="75">
        <f t="shared" si="2"/>
        <v>3</v>
      </c>
      <c r="K44" s="75">
        <f t="shared" si="3"/>
        <v>0.1040943789035392</v>
      </c>
      <c r="L44" s="75">
        <f>VLOOKUP($A44,'Data Vlaue (Cr)'!$C:$FB,67)</f>
        <v>825</v>
      </c>
      <c r="M44" s="75">
        <f>VLOOKUP($A44,'Data Vlaue (Cr)'!$C:$FB,68)</f>
        <v>713</v>
      </c>
      <c r="N44" s="75">
        <f t="shared" si="4"/>
        <v>112</v>
      </c>
      <c r="O44" s="75">
        <f t="shared" si="5"/>
        <v>13.575757575757578</v>
      </c>
      <c r="P44" s="75">
        <f>VLOOKUP($A44,'Data Vlaue (Cr)'!$C:$FB,119)</f>
        <v>0.61</v>
      </c>
      <c r="Q44" s="75">
        <f>VLOOKUP($A44,'Data Vlaue (Cr)'!$C:$FB,122)*100</f>
        <v>-3.17</v>
      </c>
      <c r="R44" s="75">
        <f>VLOOKUP($A44,'Data Vlaue (Cr)'!$C:$FB,125)</f>
        <v>0.66</v>
      </c>
      <c r="S44" s="75">
        <f>VLOOKUP($A44,'Data Vlaue (Cr)'!$C:$FB,128)*100</f>
        <v>0</v>
      </c>
    </row>
    <row r="45" spans="1:19" x14ac:dyDescent="0.25">
      <c r="A45" s="96" t="str">
        <f>'Data Vlaue (Cr)'!C36</f>
        <v>BLUESTARCO</v>
      </c>
      <c r="B45" s="75">
        <f>VLOOKUP($A45,'Data Vlaue (Cr)'!$C:$FB,2)</f>
        <v>325</v>
      </c>
      <c r="C45" s="75">
        <f>VLOOKUP($A45,'Data Vlaue (Cr)'!$C:$FB,8)</f>
        <v>1927.4</v>
      </c>
      <c r="D45" s="75">
        <f>VLOOKUP($A45,'Data Vlaue (Cr)'!$C:$FB,4)</f>
        <v>1927.6</v>
      </c>
      <c r="E45" s="75">
        <f>VLOOKUP($A45,'Data Vlaue (Cr)'!$C:$FB,5)</f>
        <v>1931.7</v>
      </c>
      <c r="F45" s="75">
        <f t="shared" si="0"/>
        <v>0.1999999999998181</v>
      </c>
      <c r="G45" s="75">
        <f t="shared" si="1"/>
        <v>-0.21269973023449557</v>
      </c>
      <c r="H45" s="75">
        <f>VLOOKUP($A45,'Data Vlaue (Cr)'!$C:$FB,99)</f>
        <v>721</v>
      </c>
      <c r="I45" s="75">
        <f>VLOOKUP($A45,'Data Vlaue (Cr)'!$C:$FB,100)</f>
        <v>630</v>
      </c>
      <c r="J45" s="75">
        <f t="shared" si="2"/>
        <v>91</v>
      </c>
      <c r="K45" s="75">
        <f t="shared" si="3"/>
        <v>12.621359223300971</v>
      </c>
      <c r="L45" s="75">
        <f>VLOOKUP($A45,'Data Vlaue (Cr)'!$C:$FB,67)</f>
        <v>1067</v>
      </c>
      <c r="M45" s="75">
        <f>VLOOKUP($A45,'Data Vlaue (Cr)'!$C:$FB,68)</f>
        <v>413</v>
      </c>
      <c r="N45" s="75">
        <f t="shared" si="4"/>
        <v>654</v>
      </c>
      <c r="O45" s="75">
        <f t="shared" si="5"/>
        <v>61.293345829428304</v>
      </c>
      <c r="P45" s="75">
        <f>VLOOKUP($A45,'Data Vlaue (Cr)'!$C:$FB,119)</f>
        <v>0.66</v>
      </c>
      <c r="Q45" s="75">
        <f>VLOOKUP($A45,'Data Vlaue (Cr)'!$C:$FB,122)*100</f>
        <v>-25.840000000000003</v>
      </c>
      <c r="R45" s="75">
        <f>VLOOKUP($A45,'Data Vlaue (Cr)'!$C:$FB,125)</f>
        <v>0.23</v>
      </c>
      <c r="S45" s="75">
        <f>VLOOKUP($A45,'Data Vlaue (Cr)'!$C:$FB,128)*100</f>
        <v>-65.149999999999991</v>
      </c>
    </row>
    <row r="46" spans="1:19" x14ac:dyDescent="0.25">
      <c r="A46" s="96" t="str">
        <f>'Data Vlaue (Cr)'!C37</f>
        <v>BOSCHLTD</v>
      </c>
      <c r="B46" s="75">
        <f>VLOOKUP($A46,'Data Vlaue (Cr)'!$C:$FB,2)</f>
        <v>25</v>
      </c>
      <c r="C46" s="75">
        <f>VLOOKUP($A46,'Data Vlaue (Cr)'!$C:$FB,8)</f>
        <v>39935</v>
      </c>
      <c r="D46" s="75">
        <f>VLOOKUP($A46,'Data Vlaue (Cr)'!$C:$FB,4)</f>
        <v>40035</v>
      </c>
      <c r="E46" s="75">
        <f>VLOOKUP($A46,'Data Vlaue (Cr)'!$C:$FB,5)</f>
        <v>39980</v>
      </c>
      <c r="F46" s="75">
        <f t="shared" si="0"/>
        <v>100</v>
      </c>
      <c r="G46" s="75">
        <f t="shared" si="1"/>
        <v>0.13737979268140377</v>
      </c>
      <c r="H46" s="75">
        <f>VLOOKUP($A46,'Data Vlaue (Cr)'!$C:$FB,99)</f>
        <v>3185</v>
      </c>
      <c r="I46" s="75">
        <f>VLOOKUP($A46,'Data Vlaue (Cr)'!$C:$FB,100)</f>
        <v>3146</v>
      </c>
      <c r="J46" s="75">
        <f t="shared" si="2"/>
        <v>39</v>
      </c>
      <c r="K46" s="75">
        <f t="shared" si="3"/>
        <v>1.2244897959183674</v>
      </c>
      <c r="L46" s="75">
        <f>VLOOKUP($A46,'Data Vlaue (Cr)'!$C:$FB,67)</f>
        <v>2039</v>
      </c>
      <c r="M46" s="75">
        <f>VLOOKUP($A46,'Data Vlaue (Cr)'!$C:$FB,68)</f>
        <v>3407</v>
      </c>
      <c r="N46" s="75">
        <f t="shared" si="4"/>
        <v>-1368</v>
      </c>
      <c r="O46" s="75">
        <f t="shared" si="5"/>
        <v>-67.091711623344779</v>
      </c>
      <c r="P46" s="75">
        <f>VLOOKUP($A46,'Data Vlaue (Cr)'!$C:$FB,119)</f>
        <v>0.35</v>
      </c>
      <c r="Q46" s="75">
        <f>VLOOKUP($A46,'Data Vlaue (Cr)'!$C:$FB,122)*100</f>
        <v>0</v>
      </c>
      <c r="R46" s="75">
        <f>VLOOKUP($A46,'Data Vlaue (Cr)'!$C:$FB,125)</f>
        <v>0.42</v>
      </c>
      <c r="S46" s="75">
        <f>VLOOKUP($A46,'Data Vlaue (Cr)'!$C:$FB,128)*100</f>
        <v>40</v>
      </c>
    </row>
    <row r="47" spans="1:19" x14ac:dyDescent="0.25">
      <c r="A47" s="96" t="str">
        <f>'Data Vlaue (Cr)'!C38</f>
        <v>BPCL</v>
      </c>
      <c r="B47" s="75">
        <f>VLOOKUP($A47,'Data Vlaue (Cr)'!$C:$FB,2)</f>
        <v>1975</v>
      </c>
      <c r="C47" s="75">
        <f>VLOOKUP($A47,'Data Vlaue (Cr)'!$C:$FB,8)</f>
        <v>319.95</v>
      </c>
      <c r="D47" s="75">
        <f>VLOOKUP($A47,'Data Vlaue (Cr)'!$C:$FB,4)</f>
        <v>320.8</v>
      </c>
      <c r="E47" s="75">
        <f>VLOOKUP($A47,'Data Vlaue (Cr)'!$C:$FB,5)</f>
        <v>322.10000000000002</v>
      </c>
      <c r="F47" s="75">
        <f t="shared" si="0"/>
        <v>0.85000000000002274</v>
      </c>
      <c r="G47" s="75">
        <f t="shared" si="1"/>
        <v>-0.40523690773067689</v>
      </c>
      <c r="H47" s="75">
        <f>VLOOKUP($A47,'Data Vlaue (Cr)'!$C:$FB,99)</f>
        <v>2280</v>
      </c>
      <c r="I47" s="75">
        <f>VLOOKUP($A47,'Data Vlaue (Cr)'!$C:$FB,100)</f>
        <v>2333</v>
      </c>
      <c r="J47" s="75">
        <f t="shared" si="2"/>
        <v>-53</v>
      </c>
      <c r="K47" s="75">
        <f t="shared" si="3"/>
        <v>-2.3245614035087718</v>
      </c>
      <c r="L47" s="75">
        <f>VLOOKUP($A47,'Data Vlaue (Cr)'!$C:$FB,67)</f>
        <v>824</v>
      </c>
      <c r="M47" s="75">
        <f>VLOOKUP($A47,'Data Vlaue (Cr)'!$C:$FB,68)</f>
        <v>1819</v>
      </c>
      <c r="N47" s="75">
        <f t="shared" si="4"/>
        <v>-995</v>
      </c>
      <c r="O47" s="75">
        <f t="shared" si="5"/>
        <v>-120.75242718446601</v>
      </c>
      <c r="P47" s="75">
        <f>VLOOKUP($A47,'Data Vlaue (Cr)'!$C:$FB,119)</f>
        <v>0.56999999999999995</v>
      </c>
      <c r="Q47" s="75">
        <f>VLOOKUP($A47,'Data Vlaue (Cr)'!$C:$FB,122)*100</f>
        <v>1.79</v>
      </c>
      <c r="R47" s="75">
        <f>VLOOKUP($A47,'Data Vlaue (Cr)'!$C:$FB,125)</f>
        <v>0.57999999999999996</v>
      </c>
      <c r="S47" s="75">
        <f>VLOOKUP($A47,'Data Vlaue (Cr)'!$C:$FB,128)*100</f>
        <v>18.37</v>
      </c>
    </row>
    <row r="48" spans="1:19" x14ac:dyDescent="0.25">
      <c r="A48" s="96" t="str">
        <f>'Data Vlaue (Cr)'!C39</f>
        <v>BRITANNIA</v>
      </c>
      <c r="B48" s="75">
        <f>VLOOKUP($A48,'Data Vlaue (Cr)'!$C:$FB,2)</f>
        <v>125</v>
      </c>
      <c r="C48" s="75">
        <f>VLOOKUP($A48,'Data Vlaue (Cr)'!$C:$FB,8)</f>
        <v>5701</v>
      </c>
      <c r="D48" s="75">
        <f>VLOOKUP($A48,'Data Vlaue (Cr)'!$C:$FB,4)</f>
        <v>5705</v>
      </c>
      <c r="E48" s="75">
        <f>VLOOKUP($A48,'Data Vlaue (Cr)'!$C:$FB,5)</f>
        <v>5511.5</v>
      </c>
      <c r="F48" s="75">
        <f t="shared" si="0"/>
        <v>4</v>
      </c>
      <c r="G48" s="75">
        <f t="shared" si="1"/>
        <v>3.3917616126205088</v>
      </c>
      <c r="H48" s="75">
        <f>VLOOKUP($A48,'Data Vlaue (Cr)'!$C:$FB,99)</f>
        <v>3250</v>
      </c>
      <c r="I48" s="75">
        <f>VLOOKUP($A48,'Data Vlaue (Cr)'!$C:$FB,100)</f>
        <v>3201</v>
      </c>
      <c r="J48" s="75">
        <f t="shared" si="2"/>
        <v>49</v>
      </c>
      <c r="K48" s="75">
        <f t="shared" si="3"/>
        <v>1.5076923076923077</v>
      </c>
      <c r="L48" s="75">
        <f>VLOOKUP($A48,'Data Vlaue (Cr)'!$C:$FB,67)</f>
        <v>7014</v>
      </c>
      <c r="M48" s="75">
        <f>VLOOKUP($A48,'Data Vlaue (Cr)'!$C:$FB,68)</f>
        <v>1436</v>
      </c>
      <c r="N48" s="75">
        <f t="shared" si="4"/>
        <v>5578</v>
      </c>
      <c r="O48" s="75">
        <f t="shared" si="5"/>
        <v>79.526660963786711</v>
      </c>
      <c r="P48" s="75">
        <f>VLOOKUP($A48,'Data Vlaue (Cr)'!$C:$FB,119)</f>
        <v>0.73</v>
      </c>
      <c r="Q48" s="75">
        <f>VLOOKUP($A48,'Data Vlaue (Cr)'!$C:$FB,122)*100</f>
        <v>25.86</v>
      </c>
      <c r="R48" s="75">
        <f>VLOOKUP($A48,'Data Vlaue (Cr)'!$C:$FB,125)</f>
        <v>0.32</v>
      </c>
      <c r="S48" s="75">
        <f>VLOOKUP($A48,'Data Vlaue (Cr)'!$C:$FB,128)*100</f>
        <v>-25.580000000000002</v>
      </c>
    </row>
    <row r="49" spans="1:19" x14ac:dyDescent="0.25">
      <c r="A49" s="96" t="str">
        <f>'Data Vlaue (Cr)'!C40</f>
        <v>BSE</v>
      </c>
      <c r="B49" s="75">
        <f>VLOOKUP($A49,'Data Vlaue (Cr)'!$C:$FB,2)</f>
        <v>375</v>
      </c>
      <c r="C49" s="75">
        <f>VLOOKUP($A49,'Data Vlaue (Cr)'!$C:$FB,8)</f>
        <v>2523</v>
      </c>
      <c r="D49" s="75">
        <f>VLOOKUP($A49,'Data Vlaue (Cr)'!$C:$FB,4)</f>
        <v>2529.1</v>
      </c>
      <c r="E49" s="75">
        <f>VLOOKUP($A49,'Data Vlaue (Cr)'!$C:$FB,5)</f>
        <v>2498.9</v>
      </c>
      <c r="F49" s="75">
        <f t="shared" si="0"/>
        <v>6.0999999999999091</v>
      </c>
      <c r="G49" s="75">
        <f t="shared" si="1"/>
        <v>1.19410066822189</v>
      </c>
      <c r="H49" s="75">
        <f>VLOOKUP($A49,'Data Vlaue (Cr)'!$C:$FB,99)</f>
        <v>6558</v>
      </c>
      <c r="I49" s="75">
        <f>VLOOKUP($A49,'Data Vlaue (Cr)'!$C:$FB,100)</f>
        <v>6727</v>
      </c>
      <c r="J49" s="75">
        <f t="shared" si="2"/>
        <v>-169</v>
      </c>
      <c r="K49" s="75">
        <f t="shared" si="3"/>
        <v>-2.5770051845074717</v>
      </c>
      <c r="L49" s="75">
        <f>VLOOKUP($A49,'Data Vlaue (Cr)'!$C:$FB,67)</f>
        <v>7570</v>
      </c>
      <c r="M49" s="75">
        <f>VLOOKUP($A49,'Data Vlaue (Cr)'!$C:$FB,68)</f>
        <v>10163</v>
      </c>
      <c r="N49" s="75">
        <f t="shared" si="4"/>
        <v>-2593</v>
      </c>
      <c r="O49" s="75">
        <f t="shared" si="5"/>
        <v>-34.253632760898284</v>
      </c>
      <c r="P49" s="75">
        <f>VLOOKUP($A49,'Data Vlaue (Cr)'!$C:$FB,119)</f>
        <v>0.76</v>
      </c>
      <c r="Q49" s="75">
        <f>VLOOKUP($A49,'Data Vlaue (Cr)'!$C:$FB,122)*100</f>
        <v>5.56</v>
      </c>
      <c r="R49" s="75">
        <f>VLOOKUP($A49,'Data Vlaue (Cr)'!$C:$FB,125)</f>
        <v>0.69</v>
      </c>
      <c r="S49" s="75">
        <f>VLOOKUP($A49,'Data Vlaue (Cr)'!$C:$FB,128)*100</f>
        <v>-18.82</v>
      </c>
    </row>
    <row r="50" spans="1:19" x14ac:dyDescent="0.25">
      <c r="A50" s="96" t="str">
        <f>'Data Vlaue (Cr)'!C41</f>
        <v>CAMS</v>
      </c>
      <c r="B50" s="75">
        <f>VLOOKUP($A50,'Data Vlaue (Cr)'!$C:$FB,2)</f>
        <v>150</v>
      </c>
      <c r="C50" s="75">
        <f>VLOOKUP($A50,'Data Vlaue (Cr)'!$C:$FB,8)</f>
        <v>3841.8</v>
      </c>
      <c r="D50" s="75">
        <f>VLOOKUP($A50,'Data Vlaue (Cr)'!$C:$FB,4)</f>
        <v>3843.4</v>
      </c>
      <c r="E50" s="75">
        <f>VLOOKUP($A50,'Data Vlaue (Cr)'!$C:$FB,5)</f>
        <v>3839.1</v>
      </c>
      <c r="F50" s="75">
        <f t="shared" si="0"/>
        <v>1.5999999999999091</v>
      </c>
      <c r="G50" s="75">
        <f t="shared" si="1"/>
        <v>0.11188010615601245</v>
      </c>
      <c r="H50" s="75">
        <f>VLOOKUP($A50,'Data Vlaue (Cr)'!$C:$FB,99)</f>
        <v>1516</v>
      </c>
      <c r="I50" s="75">
        <f>VLOOKUP($A50,'Data Vlaue (Cr)'!$C:$FB,100)</f>
        <v>1575</v>
      </c>
      <c r="J50" s="75">
        <f t="shared" si="2"/>
        <v>-59</v>
      </c>
      <c r="K50" s="75">
        <f t="shared" si="3"/>
        <v>-3.891820580474934</v>
      </c>
      <c r="L50" s="75">
        <f>VLOOKUP($A50,'Data Vlaue (Cr)'!$C:$FB,67)</f>
        <v>826</v>
      </c>
      <c r="M50" s="75">
        <f>VLOOKUP($A50,'Data Vlaue (Cr)'!$C:$FB,68)</f>
        <v>802</v>
      </c>
      <c r="N50" s="75">
        <f t="shared" si="4"/>
        <v>24</v>
      </c>
      <c r="O50" s="75">
        <f t="shared" si="5"/>
        <v>2.9055690072639226</v>
      </c>
      <c r="P50" s="75">
        <f>VLOOKUP($A50,'Data Vlaue (Cr)'!$C:$FB,119)</f>
        <v>0.66</v>
      </c>
      <c r="Q50" s="75">
        <f>VLOOKUP($A50,'Data Vlaue (Cr)'!$C:$FB,122)*100</f>
        <v>13.79</v>
      </c>
      <c r="R50" s="75">
        <f>VLOOKUP($A50,'Data Vlaue (Cr)'!$C:$FB,125)</f>
        <v>0.39</v>
      </c>
      <c r="S50" s="75">
        <f>VLOOKUP($A50,'Data Vlaue (Cr)'!$C:$FB,128)*100</f>
        <v>-37.1</v>
      </c>
    </row>
    <row r="51" spans="1:19" x14ac:dyDescent="0.25">
      <c r="A51" s="96" t="str">
        <f>'Data Vlaue (Cr)'!C42</f>
        <v>CANBK</v>
      </c>
      <c r="B51" s="75">
        <f>VLOOKUP($A51,'Data Vlaue (Cr)'!$C:$FB,2)</f>
        <v>6750</v>
      </c>
      <c r="C51" s="75">
        <f>VLOOKUP($A51,'Data Vlaue (Cr)'!$C:$FB,8)</f>
        <v>112.28</v>
      </c>
      <c r="D51" s="75">
        <f>VLOOKUP($A51,'Data Vlaue (Cr)'!$C:$FB,4)</f>
        <v>112.41</v>
      </c>
      <c r="E51" s="75">
        <f>VLOOKUP($A51,'Data Vlaue (Cr)'!$C:$FB,5)</f>
        <v>112.06</v>
      </c>
      <c r="F51" s="75">
        <f t="shared" si="0"/>
        <v>0.12999999999999545</v>
      </c>
      <c r="G51" s="75">
        <f t="shared" si="1"/>
        <v>0.3113601992705225</v>
      </c>
      <c r="H51" s="75">
        <f>VLOOKUP($A51,'Data Vlaue (Cr)'!$C:$FB,99)</f>
        <v>4406</v>
      </c>
      <c r="I51" s="75">
        <f>VLOOKUP($A51,'Data Vlaue (Cr)'!$C:$FB,100)</f>
        <v>4457</v>
      </c>
      <c r="J51" s="75">
        <f t="shared" si="2"/>
        <v>-51</v>
      </c>
      <c r="K51" s="75">
        <f t="shared" si="3"/>
        <v>-1.1575124829777577</v>
      </c>
      <c r="L51" s="75">
        <f>VLOOKUP($A51,'Data Vlaue (Cr)'!$C:$FB,67)</f>
        <v>1590</v>
      </c>
      <c r="M51" s="75">
        <f>VLOOKUP($A51,'Data Vlaue (Cr)'!$C:$FB,68)</f>
        <v>2595</v>
      </c>
      <c r="N51" s="75">
        <f t="shared" si="4"/>
        <v>-1005</v>
      </c>
      <c r="O51" s="75">
        <f t="shared" si="5"/>
        <v>-63.20754716981132</v>
      </c>
      <c r="P51" s="75">
        <f>VLOOKUP($A51,'Data Vlaue (Cr)'!$C:$FB,119)</f>
        <v>0.81</v>
      </c>
      <c r="Q51" s="75">
        <f>VLOOKUP($A51,'Data Vlaue (Cr)'!$C:$FB,122)*100</f>
        <v>5.19</v>
      </c>
      <c r="R51" s="75">
        <f>VLOOKUP($A51,'Data Vlaue (Cr)'!$C:$FB,125)</f>
        <v>0.69</v>
      </c>
      <c r="S51" s="75">
        <f>VLOOKUP($A51,'Data Vlaue (Cr)'!$C:$FB,128)*100</f>
        <v>23.21</v>
      </c>
    </row>
    <row r="52" spans="1:19" x14ac:dyDescent="0.25">
      <c r="A52" s="96" t="str">
        <f>'Data Vlaue (Cr)'!C43</f>
        <v>CDSL</v>
      </c>
      <c r="B52" s="75">
        <f>VLOOKUP($A52,'Data Vlaue (Cr)'!$C:$FB,2)</f>
        <v>475</v>
      </c>
      <c r="C52" s="75">
        <f>VLOOKUP($A52,'Data Vlaue (Cr)'!$C:$FB,8)</f>
        <v>1583.6</v>
      </c>
      <c r="D52" s="75">
        <f>VLOOKUP($A52,'Data Vlaue (Cr)'!$C:$FB,4)</f>
        <v>1588.4</v>
      </c>
      <c r="E52" s="75">
        <f>VLOOKUP($A52,'Data Vlaue (Cr)'!$C:$FB,5)</f>
        <v>1587</v>
      </c>
      <c r="F52" s="75">
        <f t="shared" si="0"/>
        <v>4.8000000000001819</v>
      </c>
      <c r="G52" s="75">
        <f t="shared" si="1"/>
        <v>8.8139007806603553E-2</v>
      </c>
      <c r="H52" s="75">
        <f>VLOOKUP($A52,'Data Vlaue (Cr)'!$C:$FB,99)</f>
        <v>3458</v>
      </c>
      <c r="I52" s="75">
        <f>VLOOKUP($A52,'Data Vlaue (Cr)'!$C:$FB,100)</f>
        <v>3354</v>
      </c>
      <c r="J52" s="75">
        <f t="shared" si="2"/>
        <v>104</v>
      </c>
      <c r="K52" s="75">
        <f t="shared" si="3"/>
        <v>3.007518796992481</v>
      </c>
      <c r="L52" s="75">
        <f>VLOOKUP($A52,'Data Vlaue (Cr)'!$C:$FB,67)</f>
        <v>1915</v>
      </c>
      <c r="M52" s="75">
        <f>VLOOKUP($A52,'Data Vlaue (Cr)'!$C:$FB,68)</f>
        <v>1735</v>
      </c>
      <c r="N52" s="75">
        <f t="shared" si="4"/>
        <v>180</v>
      </c>
      <c r="O52" s="75">
        <f t="shared" si="5"/>
        <v>9.3994778067885107</v>
      </c>
      <c r="P52" s="75">
        <f>VLOOKUP($A52,'Data Vlaue (Cr)'!$C:$FB,119)</f>
        <v>0.65</v>
      </c>
      <c r="Q52" s="75">
        <f>VLOOKUP($A52,'Data Vlaue (Cr)'!$C:$FB,122)*100</f>
        <v>-2.9899999999999998</v>
      </c>
      <c r="R52" s="75">
        <f>VLOOKUP($A52,'Data Vlaue (Cr)'!$C:$FB,125)</f>
        <v>0.47</v>
      </c>
      <c r="S52" s="75">
        <f>VLOOKUP($A52,'Data Vlaue (Cr)'!$C:$FB,128)*100</f>
        <v>-22.95</v>
      </c>
    </row>
    <row r="53" spans="1:19" x14ac:dyDescent="0.25">
      <c r="A53" s="96" t="str">
        <f>'Data Vlaue (Cr)'!C44</f>
        <v>CESC</v>
      </c>
      <c r="B53" s="75">
        <f>VLOOKUP($A53,'Data Vlaue (Cr)'!$C:$FB,2)</f>
        <v>3625</v>
      </c>
      <c r="C53" s="75">
        <f>VLOOKUP($A53,'Data Vlaue (Cr)'!$C:$FB,8)</f>
        <v>163.43</v>
      </c>
      <c r="D53" s="75">
        <f>VLOOKUP($A53,'Data Vlaue (Cr)'!$C:$FB,4)</f>
        <v>164.07</v>
      </c>
      <c r="E53" s="75">
        <f>VLOOKUP($A53,'Data Vlaue (Cr)'!$C:$FB,5)</f>
        <v>165.34</v>
      </c>
      <c r="F53" s="75">
        <f t="shared" si="0"/>
        <v>0.63999999999998636</v>
      </c>
      <c r="G53" s="75">
        <f t="shared" si="1"/>
        <v>-0.77405985250198706</v>
      </c>
      <c r="H53" s="75">
        <f>VLOOKUP($A53,'Data Vlaue (Cr)'!$C:$FB,99)</f>
        <v>435</v>
      </c>
      <c r="I53" s="75">
        <f>VLOOKUP($A53,'Data Vlaue (Cr)'!$C:$FB,100)</f>
        <v>433</v>
      </c>
      <c r="J53" s="75">
        <f t="shared" si="2"/>
        <v>2</v>
      </c>
      <c r="K53" s="75">
        <f t="shared" si="3"/>
        <v>0.45977011494252873</v>
      </c>
      <c r="L53" s="75">
        <f>VLOOKUP($A53,'Data Vlaue (Cr)'!$C:$FB,67)</f>
        <v>117</v>
      </c>
      <c r="M53" s="75">
        <f>VLOOKUP($A53,'Data Vlaue (Cr)'!$C:$FB,68)</f>
        <v>124</v>
      </c>
      <c r="N53" s="75">
        <f t="shared" si="4"/>
        <v>-7</v>
      </c>
      <c r="O53" s="75">
        <f t="shared" si="5"/>
        <v>-5.982905982905983</v>
      </c>
      <c r="P53" s="75">
        <f>VLOOKUP($A53,'Data Vlaue (Cr)'!$C:$FB,119)</f>
        <v>0.45</v>
      </c>
      <c r="Q53" s="75">
        <f>VLOOKUP($A53,'Data Vlaue (Cr)'!$C:$FB,122)*100</f>
        <v>2.27</v>
      </c>
      <c r="R53" s="75">
        <f>VLOOKUP($A53,'Data Vlaue (Cr)'!$C:$FB,125)</f>
        <v>0.24</v>
      </c>
      <c r="S53" s="75">
        <f>VLOOKUP($A53,'Data Vlaue (Cr)'!$C:$FB,128)*100</f>
        <v>-4</v>
      </c>
    </row>
    <row r="54" spans="1:19" x14ac:dyDescent="0.25">
      <c r="A54" s="96" t="str">
        <f>'Data Vlaue (Cr)'!C45</f>
        <v>CGPOWER</v>
      </c>
      <c r="B54" s="75">
        <f>VLOOKUP($A54,'Data Vlaue (Cr)'!$C:$FB,2)</f>
        <v>850</v>
      </c>
      <c r="C54" s="75">
        <f>VLOOKUP($A54,'Data Vlaue (Cr)'!$C:$FB,8)</f>
        <v>674.25</v>
      </c>
      <c r="D54" s="75">
        <f>VLOOKUP($A54,'Data Vlaue (Cr)'!$C:$FB,4)</f>
        <v>675.5</v>
      </c>
      <c r="E54" s="75">
        <f>VLOOKUP($A54,'Data Vlaue (Cr)'!$C:$FB,5)</f>
        <v>677.5</v>
      </c>
      <c r="F54" s="75">
        <f t="shared" si="0"/>
        <v>1.25</v>
      </c>
      <c r="G54" s="75">
        <f t="shared" si="1"/>
        <v>-0.29607698001480381</v>
      </c>
      <c r="H54" s="75">
        <f>VLOOKUP($A54,'Data Vlaue (Cr)'!$C:$FB,99)</f>
        <v>1581</v>
      </c>
      <c r="I54" s="75">
        <f>VLOOKUP($A54,'Data Vlaue (Cr)'!$C:$FB,100)</f>
        <v>1569</v>
      </c>
      <c r="J54" s="75">
        <f t="shared" si="2"/>
        <v>12</v>
      </c>
      <c r="K54" s="75">
        <f t="shared" si="3"/>
        <v>0.75901328273244784</v>
      </c>
      <c r="L54" s="75">
        <f>VLOOKUP($A54,'Data Vlaue (Cr)'!$C:$FB,67)</f>
        <v>364</v>
      </c>
      <c r="M54" s="75">
        <f>VLOOKUP($A54,'Data Vlaue (Cr)'!$C:$FB,68)</f>
        <v>452</v>
      </c>
      <c r="N54" s="75">
        <f t="shared" si="4"/>
        <v>-88</v>
      </c>
      <c r="O54" s="75">
        <f t="shared" si="5"/>
        <v>-24.175824175824175</v>
      </c>
      <c r="P54" s="75">
        <f>VLOOKUP($A54,'Data Vlaue (Cr)'!$C:$FB,119)</f>
        <v>0.56999999999999995</v>
      </c>
      <c r="Q54" s="75">
        <f>VLOOKUP($A54,'Data Vlaue (Cr)'!$C:$FB,122)*100</f>
        <v>-1.72</v>
      </c>
      <c r="R54" s="75">
        <f>VLOOKUP($A54,'Data Vlaue (Cr)'!$C:$FB,125)</f>
        <v>0.22</v>
      </c>
      <c r="S54" s="75">
        <f>VLOOKUP($A54,'Data Vlaue (Cr)'!$C:$FB,128)*100</f>
        <v>-12</v>
      </c>
    </row>
    <row r="55" spans="1:19" x14ac:dyDescent="0.25">
      <c r="A55" s="96" t="str">
        <f>'Data Vlaue (Cr)'!C46</f>
        <v>CHOLAFIN</v>
      </c>
      <c r="B55" s="75">
        <f>VLOOKUP($A55,'Data Vlaue (Cr)'!$C:$FB,2)</f>
        <v>625</v>
      </c>
      <c r="C55" s="75">
        <f>VLOOKUP($A55,'Data Vlaue (Cr)'!$C:$FB,8)</f>
        <v>1522.9</v>
      </c>
      <c r="D55" s="75">
        <f>VLOOKUP($A55,'Data Vlaue (Cr)'!$C:$FB,4)</f>
        <v>1522.9</v>
      </c>
      <c r="E55" s="75">
        <f>VLOOKUP($A55,'Data Vlaue (Cr)'!$C:$FB,5)</f>
        <v>1528</v>
      </c>
      <c r="F55" s="75">
        <f t="shared" si="0"/>
        <v>0</v>
      </c>
      <c r="G55" s="75">
        <f t="shared" si="1"/>
        <v>-0.33488738590845812</v>
      </c>
      <c r="H55" s="75">
        <f>VLOOKUP($A55,'Data Vlaue (Cr)'!$C:$FB,99)</f>
        <v>2557</v>
      </c>
      <c r="I55" s="75">
        <f>VLOOKUP($A55,'Data Vlaue (Cr)'!$C:$FB,100)</f>
        <v>2533</v>
      </c>
      <c r="J55" s="75">
        <f t="shared" si="2"/>
        <v>24</v>
      </c>
      <c r="K55" s="75">
        <f t="shared" si="3"/>
        <v>0.93859992178333984</v>
      </c>
      <c r="L55" s="75">
        <f>VLOOKUP($A55,'Data Vlaue (Cr)'!$C:$FB,67)</f>
        <v>1298</v>
      </c>
      <c r="M55" s="75">
        <f>VLOOKUP($A55,'Data Vlaue (Cr)'!$C:$FB,68)</f>
        <v>1183</v>
      </c>
      <c r="N55" s="75">
        <f t="shared" si="4"/>
        <v>115</v>
      </c>
      <c r="O55" s="75">
        <f t="shared" si="5"/>
        <v>8.8597842835130969</v>
      </c>
      <c r="P55" s="75">
        <f>VLOOKUP($A55,'Data Vlaue (Cr)'!$C:$FB,119)</f>
        <v>1</v>
      </c>
      <c r="Q55" s="75">
        <f>VLOOKUP($A55,'Data Vlaue (Cr)'!$C:$FB,122)*100</f>
        <v>0</v>
      </c>
      <c r="R55" s="75">
        <f>VLOOKUP($A55,'Data Vlaue (Cr)'!$C:$FB,125)</f>
        <v>0.76</v>
      </c>
      <c r="S55" s="75">
        <f>VLOOKUP($A55,'Data Vlaue (Cr)'!$C:$FB,128)*100</f>
        <v>-12.64</v>
      </c>
    </row>
    <row r="56" spans="1:19" x14ac:dyDescent="0.25">
      <c r="A56" s="96" t="str">
        <f>'Data Vlaue (Cr)'!C47</f>
        <v>CIPLA</v>
      </c>
      <c r="B56" s="75">
        <f>VLOOKUP($A56,'Data Vlaue (Cr)'!$C:$FB,2)</f>
        <v>375</v>
      </c>
      <c r="C56" s="75">
        <f>VLOOKUP($A56,'Data Vlaue (Cr)'!$C:$FB,8)</f>
        <v>1546.1</v>
      </c>
      <c r="D56" s="75">
        <f>VLOOKUP($A56,'Data Vlaue (Cr)'!$C:$FB,4)</f>
        <v>1549.4</v>
      </c>
      <c r="E56" s="75">
        <f>VLOOKUP($A56,'Data Vlaue (Cr)'!$C:$FB,5)</f>
        <v>1553</v>
      </c>
      <c r="F56" s="75">
        <f t="shared" si="0"/>
        <v>3.3000000000001819</v>
      </c>
      <c r="G56" s="75">
        <f t="shared" si="1"/>
        <v>-0.23234800567961206</v>
      </c>
      <c r="H56" s="75">
        <f>VLOOKUP($A56,'Data Vlaue (Cr)'!$C:$FB,99)</f>
        <v>2838</v>
      </c>
      <c r="I56" s="75">
        <f>VLOOKUP($A56,'Data Vlaue (Cr)'!$C:$FB,100)</f>
        <v>2839</v>
      </c>
      <c r="J56" s="75">
        <f t="shared" si="2"/>
        <v>-1</v>
      </c>
      <c r="K56" s="75">
        <f t="shared" si="3"/>
        <v>-3.5236081747709654E-2</v>
      </c>
      <c r="L56" s="75">
        <f>VLOOKUP($A56,'Data Vlaue (Cr)'!$C:$FB,67)</f>
        <v>1365</v>
      </c>
      <c r="M56" s="75">
        <f>VLOOKUP($A56,'Data Vlaue (Cr)'!$C:$FB,68)</f>
        <v>924</v>
      </c>
      <c r="N56" s="75">
        <f t="shared" si="4"/>
        <v>441</v>
      </c>
      <c r="O56" s="75">
        <f t="shared" si="5"/>
        <v>32.307692307692307</v>
      </c>
      <c r="P56" s="75">
        <f>VLOOKUP($A56,'Data Vlaue (Cr)'!$C:$FB,119)</f>
        <v>0.78</v>
      </c>
      <c r="Q56" s="75">
        <f>VLOOKUP($A56,'Data Vlaue (Cr)'!$C:$FB,122)*100</f>
        <v>2.63</v>
      </c>
      <c r="R56" s="75">
        <f>VLOOKUP($A56,'Data Vlaue (Cr)'!$C:$FB,125)</f>
        <v>0.88</v>
      </c>
      <c r="S56" s="75">
        <f>VLOOKUP($A56,'Data Vlaue (Cr)'!$C:$FB,128)*100</f>
        <v>-6.38</v>
      </c>
    </row>
    <row r="57" spans="1:19" x14ac:dyDescent="0.25">
      <c r="A57" s="96" t="str">
        <f>'Data Vlaue (Cr)'!C48</f>
        <v>COALINDIA</v>
      </c>
      <c r="B57" s="75">
        <f>VLOOKUP($A57,'Data Vlaue (Cr)'!$C:$FB,2)</f>
        <v>1350</v>
      </c>
      <c r="C57" s="75">
        <f>VLOOKUP($A57,'Data Vlaue (Cr)'!$C:$FB,8)</f>
        <v>384.7</v>
      </c>
      <c r="D57" s="75">
        <f>VLOOKUP($A57,'Data Vlaue (Cr)'!$C:$FB,4)</f>
        <v>380.05</v>
      </c>
      <c r="E57" s="75">
        <f>VLOOKUP($A57,'Data Vlaue (Cr)'!$C:$FB,5)</f>
        <v>380.75</v>
      </c>
      <c r="F57" s="75">
        <f t="shared" si="0"/>
        <v>-4.6499999999999773</v>
      </c>
      <c r="G57" s="75">
        <f t="shared" si="1"/>
        <v>-0.1841862912774605</v>
      </c>
      <c r="H57" s="75">
        <f>VLOOKUP($A57,'Data Vlaue (Cr)'!$C:$FB,99)</f>
        <v>5027</v>
      </c>
      <c r="I57" s="75">
        <f>VLOOKUP($A57,'Data Vlaue (Cr)'!$C:$FB,100)</f>
        <v>4940</v>
      </c>
      <c r="J57" s="75">
        <f t="shared" si="2"/>
        <v>87</v>
      </c>
      <c r="K57" s="75">
        <f t="shared" si="3"/>
        <v>1.7306544658842251</v>
      </c>
      <c r="L57" s="75">
        <f>VLOOKUP($A57,'Data Vlaue (Cr)'!$C:$FB,67)</f>
        <v>1275</v>
      </c>
      <c r="M57" s="75">
        <f>VLOOKUP($A57,'Data Vlaue (Cr)'!$C:$FB,68)</f>
        <v>2111</v>
      </c>
      <c r="N57" s="75">
        <f t="shared" si="4"/>
        <v>-836</v>
      </c>
      <c r="O57" s="75">
        <f t="shared" si="5"/>
        <v>-65.568627450980387</v>
      </c>
      <c r="P57" s="75">
        <f>VLOOKUP($A57,'Data Vlaue (Cr)'!$C:$FB,119)</f>
        <v>0.71</v>
      </c>
      <c r="Q57" s="75">
        <f>VLOOKUP($A57,'Data Vlaue (Cr)'!$C:$FB,122)*100</f>
        <v>1.43</v>
      </c>
      <c r="R57" s="75">
        <f>VLOOKUP($A57,'Data Vlaue (Cr)'!$C:$FB,125)</f>
        <v>0.47</v>
      </c>
      <c r="S57" s="75">
        <f>VLOOKUP($A57,'Data Vlaue (Cr)'!$C:$FB,128)*100</f>
        <v>-31.879999999999995</v>
      </c>
    </row>
    <row r="58" spans="1:19" x14ac:dyDescent="0.25">
      <c r="A58" s="96" t="str">
        <f>'Data Vlaue (Cr)'!C49</f>
        <v>COFORGE</v>
      </c>
      <c r="B58" s="75">
        <f>VLOOKUP($A58,'Data Vlaue (Cr)'!$C:$FB,2)</f>
        <v>375</v>
      </c>
      <c r="C58" s="75">
        <f>VLOOKUP($A58,'Data Vlaue (Cr)'!$C:$FB,8)</f>
        <v>1708.4</v>
      </c>
      <c r="D58" s="75">
        <f>VLOOKUP($A58,'Data Vlaue (Cr)'!$C:$FB,4)</f>
        <v>1708.7</v>
      </c>
      <c r="E58" s="75">
        <f>VLOOKUP($A58,'Data Vlaue (Cr)'!$C:$FB,5)</f>
        <v>1659.5</v>
      </c>
      <c r="F58" s="75">
        <f t="shared" si="0"/>
        <v>0.29999999999995453</v>
      </c>
      <c r="G58" s="75">
        <f t="shared" si="1"/>
        <v>2.8793819863053809</v>
      </c>
      <c r="H58" s="75">
        <f>VLOOKUP($A58,'Data Vlaue (Cr)'!$C:$FB,99)</f>
        <v>3610</v>
      </c>
      <c r="I58" s="75">
        <f>VLOOKUP($A58,'Data Vlaue (Cr)'!$C:$FB,100)</f>
        <v>3759</v>
      </c>
      <c r="J58" s="75">
        <f t="shared" si="2"/>
        <v>-149</v>
      </c>
      <c r="K58" s="75">
        <f t="shared" si="3"/>
        <v>-4.1274238227146816</v>
      </c>
      <c r="L58" s="75">
        <f>VLOOKUP($A58,'Data Vlaue (Cr)'!$C:$FB,67)</f>
        <v>5444</v>
      </c>
      <c r="M58" s="75">
        <f>VLOOKUP($A58,'Data Vlaue (Cr)'!$C:$FB,68)</f>
        <v>1284</v>
      </c>
      <c r="N58" s="75">
        <f t="shared" si="4"/>
        <v>4160</v>
      </c>
      <c r="O58" s="75">
        <f t="shared" si="5"/>
        <v>76.414401175606173</v>
      </c>
      <c r="P58" s="75">
        <f>VLOOKUP($A58,'Data Vlaue (Cr)'!$C:$FB,119)</f>
        <v>0.68</v>
      </c>
      <c r="Q58" s="75">
        <f>VLOOKUP($A58,'Data Vlaue (Cr)'!$C:$FB,122)*100</f>
        <v>19.3</v>
      </c>
      <c r="R58" s="75">
        <f>VLOOKUP($A58,'Data Vlaue (Cr)'!$C:$FB,125)</f>
        <v>0.37</v>
      </c>
      <c r="S58" s="75">
        <f>VLOOKUP($A58,'Data Vlaue (Cr)'!$C:$FB,128)*100</f>
        <v>-47.89</v>
      </c>
    </row>
    <row r="59" spans="1:19" x14ac:dyDescent="0.25">
      <c r="A59" s="96" t="str">
        <f>'Data Vlaue (Cr)'!C50</f>
        <v>COLPAL</v>
      </c>
      <c r="B59" s="75">
        <f>VLOOKUP($A59,'Data Vlaue (Cr)'!$C:$FB,2)</f>
        <v>225</v>
      </c>
      <c r="C59" s="75">
        <f>VLOOKUP($A59,'Data Vlaue (Cr)'!$C:$FB,8)</f>
        <v>2356.5</v>
      </c>
      <c r="D59" s="75">
        <f>VLOOKUP($A59,'Data Vlaue (Cr)'!$C:$FB,4)</f>
        <v>2364.1999999999998</v>
      </c>
      <c r="E59" s="75">
        <f>VLOOKUP($A59,'Data Vlaue (Cr)'!$C:$FB,5)</f>
        <v>2276.3000000000002</v>
      </c>
      <c r="F59" s="75">
        <f t="shared" si="0"/>
        <v>7.6999999999998181</v>
      </c>
      <c r="G59" s="75">
        <f t="shared" si="1"/>
        <v>3.7179595634886917</v>
      </c>
      <c r="H59" s="75">
        <f>VLOOKUP($A59,'Data Vlaue (Cr)'!$C:$FB,99)</f>
        <v>2017</v>
      </c>
      <c r="I59" s="75">
        <f>VLOOKUP($A59,'Data Vlaue (Cr)'!$C:$FB,100)</f>
        <v>2050</v>
      </c>
      <c r="J59" s="75">
        <f t="shared" si="2"/>
        <v>-33</v>
      </c>
      <c r="K59" s="75">
        <f t="shared" si="3"/>
        <v>-1.6360932077342589</v>
      </c>
      <c r="L59" s="75">
        <f>VLOOKUP($A59,'Data Vlaue (Cr)'!$C:$FB,67)</f>
        <v>4883</v>
      </c>
      <c r="M59" s="75">
        <f>VLOOKUP($A59,'Data Vlaue (Cr)'!$C:$FB,68)</f>
        <v>1588</v>
      </c>
      <c r="N59" s="75">
        <f t="shared" si="4"/>
        <v>3295</v>
      </c>
      <c r="O59" s="75">
        <f t="shared" si="5"/>
        <v>67.479008806061842</v>
      </c>
      <c r="P59" s="75">
        <f>VLOOKUP($A59,'Data Vlaue (Cr)'!$C:$FB,119)</f>
        <v>0.85</v>
      </c>
      <c r="Q59" s="75">
        <f>VLOOKUP($A59,'Data Vlaue (Cr)'!$C:$FB,122)*100</f>
        <v>25</v>
      </c>
      <c r="R59" s="75">
        <f>VLOOKUP($A59,'Data Vlaue (Cr)'!$C:$FB,125)</f>
        <v>0.28999999999999998</v>
      </c>
      <c r="S59" s="75">
        <f>VLOOKUP($A59,'Data Vlaue (Cr)'!$C:$FB,128)*100</f>
        <v>-14.71</v>
      </c>
    </row>
    <row r="60" spans="1:19" x14ac:dyDescent="0.25">
      <c r="A60" s="96" t="str">
        <f>'Data Vlaue (Cr)'!C51</f>
        <v>CONCOR</v>
      </c>
      <c r="B60" s="75">
        <f>VLOOKUP($A60,'Data Vlaue (Cr)'!$C:$FB,2)</f>
        <v>1250</v>
      </c>
      <c r="C60" s="75">
        <f>VLOOKUP($A60,'Data Vlaue (Cr)'!$C:$FB,8)</f>
        <v>557.5</v>
      </c>
      <c r="D60" s="75">
        <f>VLOOKUP($A60,'Data Vlaue (Cr)'!$C:$FB,4)</f>
        <v>558</v>
      </c>
      <c r="E60" s="75">
        <f>VLOOKUP($A60,'Data Vlaue (Cr)'!$C:$FB,5)</f>
        <v>556.04999999999995</v>
      </c>
      <c r="F60" s="75">
        <f t="shared" si="0"/>
        <v>0.5</v>
      </c>
      <c r="G60" s="75">
        <f t="shared" si="1"/>
        <v>0.34946236559140603</v>
      </c>
      <c r="H60" s="75">
        <f>VLOOKUP($A60,'Data Vlaue (Cr)'!$C:$FB,99)</f>
        <v>2117</v>
      </c>
      <c r="I60" s="75">
        <f>VLOOKUP($A60,'Data Vlaue (Cr)'!$C:$FB,100)</f>
        <v>2124</v>
      </c>
      <c r="J60" s="75">
        <f t="shared" si="2"/>
        <v>-7</v>
      </c>
      <c r="K60" s="75">
        <f t="shared" si="3"/>
        <v>-0.33065658951346244</v>
      </c>
      <c r="L60" s="75">
        <f>VLOOKUP($A60,'Data Vlaue (Cr)'!$C:$FB,67)</f>
        <v>841</v>
      </c>
      <c r="M60" s="75">
        <f>VLOOKUP($A60,'Data Vlaue (Cr)'!$C:$FB,68)</f>
        <v>1340</v>
      </c>
      <c r="N60" s="75">
        <f t="shared" si="4"/>
        <v>-499</v>
      </c>
      <c r="O60" s="75">
        <f t="shared" si="5"/>
        <v>-59.33412604042806</v>
      </c>
      <c r="P60" s="75">
        <f>VLOOKUP($A60,'Data Vlaue (Cr)'!$C:$FB,119)</f>
        <v>0.71</v>
      </c>
      <c r="Q60" s="75">
        <f>VLOOKUP($A60,'Data Vlaue (Cr)'!$C:$FB,122)*100</f>
        <v>4.41</v>
      </c>
      <c r="R60" s="75">
        <f>VLOOKUP($A60,'Data Vlaue (Cr)'!$C:$FB,125)</f>
        <v>0.54</v>
      </c>
      <c r="S60" s="75">
        <f>VLOOKUP($A60,'Data Vlaue (Cr)'!$C:$FB,128)*100</f>
        <v>86.21</v>
      </c>
    </row>
    <row r="61" spans="1:19" x14ac:dyDescent="0.25">
      <c r="A61" s="96" t="str">
        <f>'Data Vlaue (Cr)'!C52</f>
        <v>CROMPTON</v>
      </c>
      <c r="B61" s="75">
        <f>VLOOKUP($A61,'Data Vlaue (Cr)'!$C:$FB,2)</f>
        <v>1800</v>
      </c>
      <c r="C61" s="75">
        <f>VLOOKUP($A61,'Data Vlaue (Cr)'!$C:$FB,8)</f>
        <v>328.35</v>
      </c>
      <c r="D61" s="75">
        <f>VLOOKUP($A61,'Data Vlaue (Cr)'!$C:$FB,4)</f>
        <v>329.2</v>
      </c>
      <c r="E61" s="75">
        <f>VLOOKUP($A61,'Data Vlaue (Cr)'!$C:$FB,5)</f>
        <v>330.9</v>
      </c>
      <c r="F61" s="75">
        <f t="shared" si="0"/>
        <v>0.84999999999996589</v>
      </c>
      <c r="G61" s="75">
        <f t="shared" si="1"/>
        <v>-0.51640340218711689</v>
      </c>
      <c r="H61" s="75">
        <f>VLOOKUP($A61,'Data Vlaue (Cr)'!$C:$FB,99)</f>
        <v>1654</v>
      </c>
      <c r="I61" s="75">
        <f>VLOOKUP($A61,'Data Vlaue (Cr)'!$C:$FB,100)</f>
        <v>1623</v>
      </c>
      <c r="J61" s="75">
        <f t="shared" si="2"/>
        <v>31</v>
      </c>
      <c r="K61" s="75">
        <f t="shared" si="3"/>
        <v>1.8742442563482467</v>
      </c>
      <c r="L61" s="75">
        <f>VLOOKUP($A61,'Data Vlaue (Cr)'!$C:$FB,67)</f>
        <v>313</v>
      </c>
      <c r="M61" s="75">
        <f>VLOOKUP($A61,'Data Vlaue (Cr)'!$C:$FB,68)</f>
        <v>424</v>
      </c>
      <c r="N61" s="75">
        <f t="shared" si="4"/>
        <v>-111</v>
      </c>
      <c r="O61" s="75">
        <f t="shared" si="5"/>
        <v>-35.463258785942493</v>
      </c>
      <c r="P61" s="75">
        <f>VLOOKUP($A61,'Data Vlaue (Cr)'!$C:$FB,119)</f>
        <v>0.85</v>
      </c>
      <c r="Q61" s="75">
        <f>VLOOKUP($A61,'Data Vlaue (Cr)'!$C:$FB,122)*100</f>
        <v>-4.49</v>
      </c>
      <c r="R61" s="75">
        <f>VLOOKUP($A61,'Data Vlaue (Cr)'!$C:$FB,125)</f>
        <v>0.35</v>
      </c>
      <c r="S61" s="75">
        <f>VLOOKUP($A61,'Data Vlaue (Cr)'!$C:$FB,128)*100</f>
        <v>-5.41</v>
      </c>
    </row>
    <row r="62" spans="1:19" x14ac:dyDescent="0.25">
      <c r="A62" s="96" t="str">
        <f>'Data Vlaue (Cr)'!C53</f>
        <v>CUMMINSIND</v>
      </c>
      <c r="B62" s="75">
        <f>VLOOKUP($A62,'Data Vlaue (Cr)'!$C:$FB,2)</f>
        <v>200</v>
      </c>
      <c r="C62" s="75">
        <f>VLOOKUP($A62,'Data Vlaue (Cr)'!$C:$FB,8)</f>
        <v>3818.4</v>
      </c>
      <c r="D62" s="75">
        <f>VLOOKUP($A62,'Data Vlaue (Cr)'!$C:$FB,4)</f>
        <v>3811.3</v>
      </c>
      <c r="E62" s="75">
        <f>VLOOKUP($A62,'Data Vlaue (Cr)'!$C:$FB,5)</f>
        <v>3760.4</v>
      </c>
      <c r="F62" s="75">
        <f t="shared" si="0"/>
        <v>-7.0999999999999091</v>
      </c>
      <c r="G62" s="75">
        <f t="shared" si="1"/>
        <v>1.3355023220423501</v>
      </c>
      <c r="H62" s="75">
        <f>VLOOKUP($A62,'Data Vlaue (Cr)'!$C:$FB,99)</f>
        <v>2057</v>
      </c>
      <c r="I62" s="75">
        <f>VLOOKUP($A62,'Data Vlaue (Cr)'!$C:$FB,100)</f>
        <v>2019</v>
      </c>
      <c r="J62" s="75">
        <f t="shared" si="2"/>
        <v>38</v>
      </c>
      <c r="K62" s="75">
        <f t="shared" si="3"/>
        <v>1.8473505104521146</v>
      </c>
      <c r="L62" s="75">
        <f>VLOOKUP($A62,'Data Vlaue (Cr)'!$C:$FB,67)</f>
        <v>1346</v>
      </c>
      <c r="M62" s="75">
        <f>VLOOKUP($A62,'Data Vlaue (Cr)'!$C:$FB,68)</f>
        <v>718</v>
      </c>
      <c r="N62" s="75">
        <f t="shared" si="4"/>
        <v>628</v>
      </c>
      <c r="O62" s="75">
        <f t="shared" si="5"/>
        <v>46.65676077265973</v>
      </c>
      <c r="P62" s="75">
        <f>VLOOKUP($A62,'Data Vlaue (Cr)'!$C:$FB,119)</f>
        <v>0.83</v>
      </c>
      <c r="Q62" s="75">
        <f>VLOOKUP($A62,'Data Vlaue (Cr)'!$C:$FB,122)*100</f>
        <v>-4.5999999999999996</v>
      </c>
      <c r="R62" s="75">
        <f>VLOOKUP($A62,'Data Vlaue (Cr)'!$C:$FB,125)</f>
        <v>0.34</v>
      </c>
      <c r="S62" s="75">
        <f>VLOOKUP($A62,'Data Vlaue (Cr)'!$C:$FB,128)*100</f>
        <v>-49.25</v>
      </c>
    </row>
    <row r="63" spans="1:19" x14ac:dyDescent="0.25">
      <c r="A63" s="96" t="str">
        <f>'Data Vlaue (Cr)'!C54</f>
        <v>CYIENT</v>
      </c>
      <c r="B63" s="75">
        <f>VLOOKUP($A63,'Data Vlaue (Cr)'!$C:$FB,2)</f>
        <v>425</v>
      </c>
      <c r="C63" s="75">
        <f>VLOOKUP($A63,'Data Vlaue (Cr)'!$C:$FB,8)</f>
        <v>1230.5999999999999</v>
      </c>
      <c r="D63" s="75">
        <f>VLOOKUP($A63,'Data Vlaue (Cr)'!$C:$FB,4)</f>
        <v>1234.3</v>
      </c>
      <c r="E63" s="75">
        <f>VLOOKUP($A63,'Data Vlaue (Cr)'!$C:$FB,5)</f>
        <v>1210</v>
      </c>
      <c r="F63" s="75">
        <f t="shared" si="0"/>
        <v>3.7000000000000455</v>
      </c>
      <c r="G63" s="75">
        <f t="shared" si="1"/>
        <v>1.9687272138053922</v>
      </c>
      <c r="H63" s="75">
        <f>VLOOKUP($A63,'Data Vlaue (Cr)'!$C:$FB,99)</f>
        <v>593</v>
      </c>
      <c r="I63" s="75">
        <f>VLOOKUP($A63,'Data Vlaue (Cr)'!$C:$FB,100)</f>
        <v>536</v>
      </c>
      <c r="J63" s="75">
        <f t="shared" si="2"/>
        <v>57</v>
      </c>
      <c r="K63" s="75">
        <f t="shared" si="3"/>
        <v>9.6121416526138272</v>
      </c>
      <c r="L63" s="75">
        <f>VLOOKUP($A63,'Data Vlaue (Cr)'!$C:$FB,67)</f>
        <v>789</v>
      </c>
      <c r="M63" s="75">
        <f>VLOOKUP($A63,'Data Vlaue (Cr)'!$C:$FB,68)</f>
        <v>250</v>
      </c>
      <c r="N63" s="75">
        <f t="shared" si="4"/>
        <v>539</v>
      </c>
      <c r="O63" s="75">
        <f t="shared" si="5"/>
        <v>68.314321926489228</v>
      </c>
      <c r="P63" s="75">
        <f>VLOOKUP($A63,'Data Vlaue (Cr)'!$C:$FB,119)</f>
        <v>0.44</v>
      </c>
      <c r="Q63" s="75">
        <f>VLOOKUP($A63,'Data Vlaue (Cr)'!$C:$FB,122)*100</f>
        <v>-18.52</v>
      </c>
      <c r="R63" s="75">
        <f>VLOOKUP($A63,'Data Vlaue (Cr)'!$C:$FB,125)</f>
        <v>0.17</v>
      </c>
      <c r="S63" s="75">
        <f>VLOOKUP($A63,'Data Vlaue (Cr)'!$C:$FB,128)*100</f>
        <v>-19.05</v>
      </c>
    </row>
    <row r="64" spans="1:19" x14ac:dyDescent="0.25">
      <c r="A64" s="96" t="str">
        <f>'Data Vlaue (Cr)'!C55</f>
        <v>DABUR</v>
      </c>
      <c r="B64" s="75">
        <f>VLOOKUP($A64,'Data Vlaue (Cr)'!$C:$FB,2)</f>
        <v>1250</v>
      </c>
      <c r="C64" s="75">
        <f>VLOOKUP($A64,'Data Vlaue (Cr)'!$C:$FB,8)</f>
        <v>535</v>
      </c>
      <c r="D64" s="75">
        <f>VLOOKUP($A64,'Data Vlaue (Cr)'!$C:$FB,4)</f>
        <v>536.85</v>
      </c>
      <c r="E64" s="75">
        <f>VLOOKUP($A64,'Data Vlaue (Cr)'!$C:$FB,5)</f>
        <v>523.6</v>
      </c>
      <c r="F64" s="75">
        <f t="shared" si="0"/>
        <v>1.8500000000000227</v>
      </c>
      <c r="G64" s="75">
        <f t="shared" si="1"/>
        <v>2.4681009592996181</v>
      </c>
      <c r="H64" s="75">
        <f>VLOOKUP($A64,'Data Vlaue (Cr)'!$C:$FB,99)</f>
        <v>1967</v>
      </c>
      <c r="I64" s="75">
        <f>VLOOKUP($A64,'Data Vlaue (Cr)'!$C:$FB,100)</f>
        <v>1758</v>
      </c>
      <c r="J64" s="75">
        <f t="shared" si="2"/>
        <v>209</v>
      </c>
      <c r="K64" s="75">
        <f t="shared" si="3"/>
        <v>10.625317742755465</v>
      </c>
      <c r="L64" s="75">
        <f>VLOOKUP($A64,'Data Vlaue (Cr)'!$C:$FB,67)</f>
        <v>3861</v>
      </c>
      <c r="M64" s="75">
        <f>VLOOKUP($A64,'Data Vlaue (Cr)'!$C:$FB,68)</f>
        <v>895</v>
      </c>
      <c r="N64" s="75">
        <f t="shared" si="4"/>
        <v>2966</v>
      </c>
      <c r="O64" s="75">
        <f t="shared" si="5"/>
        <v>76.819476819476819</v>
      </c>
      <c r="P64" s="75">
        <f>VLOOKUP($A64,'Data Vlaue (Cr)'!$C:$FB,119)</f>
        <v>0.53</v>
      </c>
      <c r="Q64" s="75">
        <f>VLOOKUP($A64,'Data Vlaue (Cr)'!$C:$FB,122)*100</f>
        <v>10.42</v>
      </c>
      <c r="R64" s="75">
        <f>VLOOKUP($A64,'Data Vlaue (Cr)'!$C:$FB,125)</f>
        <v>0.28000000000000003</v>
      </c>
      <c r="S64" s="75">
        <f>VLOOKUP($A64,'Data Vlaue (Cr)'!$C:$FB,128)*100</f>
        <v>-36.36</v>
      </c>
    </row>
    <row r="65" spans="1:19" x14ac:dyDescent="0.25">
      <c r="A65" s="96" t="str">
        <f>'Data Vlaue (Cr)'!C56</f>
        <v>DALBHARAT</v>
      </c>
      <c r="B65" s="75">
        <f>VLOOKUP($A65,'Data Vlaue (Cr)'!$C:$FB,2)</f>
        <v>325</v>
      </c>
      <c r="C65" s="75">
        <f>VLOOKUP($A65,'Data Vlaue (Cr)'!$C:$FB,8)</f>
        <v>2344.4</v>
      </c>
      <c r="D65" s="75">
        <f>VLOOKUP($A65,'Data Vlaue (Cr)'!$C:$FB,4)</f>
        <v>2349.9</v>
      </c>
      <c r="E65" s="75">
        <f>VLOOKUP($A65,'Data Vlaue (Cr)'!$C:$FB,5)</f>
        <v>2347.5</v>
      </c>
      <c r="F65" s="75">
        <f t="shared" si="0"/>
        <v>5.5</v>
      </c>
      <c r="G65" s="75">
        <f t="shared" si="1"/>
        <v>0.10213200561726417</v>
      </c>
      <c r="H65" s="75">
        <f>VLOOKUP($A65,'Data Vlaue (Cr)'!$C:$FB,99)</f>
        <v>877</v>
      </c>
      <c r="I65" s="75">
        <f>VLOOKUP($A65,'Data Vlaue (Cr)'!$C:$FB,100)</f>
        <v>882</v>
      </c>
      <c r="J65" s="75">
        <f t="shared" si="2"/>
        <v>-5</v>
      </c>
      <c r="K65" s="75">
        <f t="shared" si="3"/>
        <v>-0.5701254275940707</v>
      </c>
      <c r="L65" s="75">
        <f>VLOOKUP($A65,'Data Vlaue (Cr)'!$C:$FB,67)</f>
        <v>135</v>
      </c>
      <c r="M65" s="75">
        <f>VLOOKUP($A65,'Data Vlaue (Cr)'!$C:$FB,68)</f>
        <v>244</v>
      </c>
      <c r="N65" s="75">
        <f t="shared" si="4"/>
        <v>-109</v>
      </c>
      <c r="O65" s="75">
        <f t="shared" si="5"/>
        <v>-80.740740740740748</v>
      </c>
      <c r="P65" s="75">
        <f>VLOOKUP($A65,'Data Vlaue (Cr)'!$C:$FB,119)</f>
        <v>0.63</v>
      </c>
      <c r="Q65" s="75">
        <f>VLOOKUP($A65,'Data Vlaue (Cr)'!$C:$FB,122)*100</f>
        <v>-3.08</v>
      </c>
      <c r="R65" s="75">
        <f>VLOOKUP($A65,'Data Vlaue (Cr)'!$C:$FB,125)</f>
        <v>0.49</v>
      </c>
      <c r="S65" s="75">
        <f>VLOOKUP($A65,'Data Vlaue (Cr)'!$C:$FB,128)*100</f>
        <v>40</v>
      </c>
    </row>
    <row r="66" spans="1:19" x14ac:dyDescent="0.25">
      <c r="A66" s="96" t="str">
        <f>'Data Vlaue (Cr)'!C57</f>
        <v>DELHIVERY</v>
      </c>
      <c r="B66" s="75">
        <f>VLOOKUP($A66,'Data Vlaue (Cr)'!$C:$FB,2)</f>
        <v>2075</v>
      </c>
      <c r="C66" s="75">
        <f>VLOOKUP($A66,'Data Vlaue (Cr)'!$C:$FB,8)</f>
        <v>471.1</v>
      </c>
      <c r="D66" s="75">
        <f>VLOOKUP($A66,'Data Vlaue (Cr)'!$C:$FB,4)</f>
        <v>472.05</v>
      </c>
      <c r="E66" s="75">
        <f>VLOOKUP($A66,'Data Vlaue (Cr)'!$C:$FB,5)</f>
        <v>473.1</v>
      </c>
      <c r="F66" s="75">
        <f t="shared" si="0"/>
        <v>0.94999999999998863</v>
      </c>
      <c r="G66" s="75">
        <f t="shared" si="1"/>
        <v>-0.22243406418811806</v>
      </c>
      <c r="H66" s="75">
        <f>VLOOKUP($A66,'Data Vlaue (Cr)'!$C:$FB,99)</f>
        <v>1720</v>
      </c>
      <c r="I66" s="75">
        <f>VLOOKUP($A66,'Data Vlaue (Cr)'!$C:$FB,100)</f>
        <v>1750</v>
      </c>
      <c r="J66" s="75">
        <f t="shared" si="2"/>
        <v>-30</v>
      </c>
      <c r="K66" s="75">
        <f t="shared" si="3"/>
        <v>-1.7441860465116279</v>
      </c>
      <c r="L66" s="75">
        <f>VLOOKUP($A66,'Data Vlaue (Cr)'!$C:$FB,67)</f>
        <v>1411</v>
      </c>
      <c r="M66" s="75">
        <f>VLOOKUP($A66,'Data Vlaue (Cr)'!$C:$FB,68)</f>
        <v>1687</v>
      </c>
      <c r="N66" s="75">
        <f t="shared" si="4"/>
        <v>-276</v>
      </c>
      <c r="O66" s="75">
        <f t="shared" si="5"/>
        <v>-19.560595322466337</v>
      </c>
      <c r="P66" s="75">
        <f>VLOOKUP($A66,'Data Vlaue (Cr)'!$C:$FB,119)</f>
        <v>0.85</v>
      </c>
      <c r="Q66" s="75">
        <f>VLOOKUP($A66,'Data Vlaue (Cr)'!$C:$FB,122)*100</f>
        <v>4.9399999999999995</v>
      </c>
      <c r="R66" s="75">
        <f>VLOOKUP($A66,'Data Vlaue (Cr)'!$C:$FB,125)</f>
        <v>0.52</v>
      </c>
      <c r="S66" s="75">
        <f>VLOOKUP($A66,'Data Vlaue (Cr)'!$C:$FB,128)*100</f>
        <v>73.33</v>
      </c>
    </row>
    <row r="67" spans="1:19" x14ac:dyDescent="0.25">
      <c r="A67" s="96" t="str">
        <f>'Data Vlaue (Cr)'!C58</f>
        <v>DIVISLAB</v>
      </c>
      <c r="B67" s="75">
        <f>VLOOKUP($A67,'Data Vlaue (Cr)'!$C:$FB,2)</f>
        <v>100</v>
      </c>
      <c r="C67" s="75">
        <f>VLOOKUP($A67,'Data Vlaue (Cr)'!$C:$FB,8)</f>
        <v>6005</v>
      </c>
      <c r="D67" s="75">
        <f>VLOOKUP($A67,'Data Vlaue (Cr)'!$C:$FB,4)</f>
        <v>6024</v>
      </c>
      <c r="E67" s="75">
        <f>VLOOKUP($A67,'Data Vlaue (Cr)'!$C:$FB,5)</f>
        <v>6100</v>
      </c>
      <c r="F67" s="75">
        <f t="shared" si="0"/>
        <v>19</v>
      </c>
      <c r="G67" s="75">
        <f t="shared" si="1"/>
        <v>-1.2616201859229748</v>
      </c>
      <c r="H67" s="75">
        <f>VLOOKUP($A67,'Data Vlaue (Cr)'!$C:$FB,99)</f>
        <v>3354</v>
      </c>
      <c r="I67" s="75">
        <f>VLOOKUP($A67,'Data Vlaue (Cr)'!$C:$FB,100)</f>
        <v>3216</v>
      </c>
      <c r="J67" s="75">
        <f t="shared" si="2"/>
        <v>138</v>
      </c>
      <c r="K67" s="75">
        <f t="shared" si="3"/>
        <v>4.1144901610017888</v>
      </c>
      <c r="L67" s="75">
        <f>VLOOKUP($A67,'Data Vlaue (Cr)'!$C:$FB,67)</f>
        <v>3159</v>
      </c>
      <c r="M67" s="75">
        <f>VLOOKUP($A67,'Data Vlaue (Cr)'!$C:$FB,68)</f>
        <v>1185</v>
      </c>
      <c r="N67" s="75">
        <f t="shared" si="4"/>
        <v>1974</v>
      </c>
      <c r="O67" s="75">
        <f t="shared" si="5"/>
        <v>62.488129154795821</v>
      </c>
      <c r="P67" s="75">
        <f>VLOOKUP($A67,'Data Vlaue (Cr)'!$C:$FB,119)</f>
        <v>0.63</v>
      </c>
      <c r="Q67" s="75">
        <f>VLOOKUP($A67,'Data Vlaue (Cr)'!$C:$FB,122)*100</f>
        <v>3.2800000000000002</v>
      </c>
      <c r="R67" s="75">
        <f>VLOOKUP($A67,'Data Vlaue (Cr)'!$C:$FB,125)</f>
        <v>0.79</v>
      </c>
      <c r="S67" s="75">
        <f>VLOOKUP($A67,'Data Vlaue (Cr)'!$C:$FB,128)*100</f>
        <v>88.1</v>
      </c>
    </row>
    <row r="68" spans="1:19" x14ac:dyDescent="0.25">
      <c r="A68" s="96" t="str">
        <f>'Data Vlaue (Cr)'!C59</f>
        <v>DIXON</v>
      </c>
      <c r="B68" s="75">
        <f>VLOOKUP($A68,'Data Vlaue (Cr)'!$C:$FB,2)</f>
        <v>50</v>
      </c>
      <c r="C68" s="75">
        <f>VLOOKUP($A68,'Data Vlaue (Cr)'!$C:$FB,8)</f>
        <v>16876</v>
      </c>
      <c r="D68" s="75">
        <f>VLOOKUP($A68,'Data Vlaue (Cr)'!$C:$FB,4)</f>
        <v>16917</v>
      </c>
      <c r="E68" s="75">
        <f>VLOOKUP($A68,'Data Vlaue (Cr)'!$C:$FB,5)</f>
        <v>16971</v>
      </c>
      <c r="F68" s="75">
        <f t="shared" si="0"/>
        <v>41</v>
      </c>
      <c r="G68" s="75">
        <f t="shared" si="1"/>
        <v>-0.31920553289590353</v>
      </c>
      <c r="H68" s="75">
        <f>VLOOKUP($A68,'Data Vlaue (Cr)'!$C:$FB,99)</f>
        <v>5824</v>
      </c>
      <c r="I68" s="75">
        <f>VLOOKUP($A68,'Data Vlaue (Cr)'!$C:$FB,100)</f>
        <v>5544</v>
      </c>
      <c r="J68" s="75">
        <f t="shared" si="2"/>
        <v>280</v>
      </c>
      <c r="K68" s="75">
        <f t="shared" si="3"/>
        <v>4.8076923076923084</v>
      </c>
      <c r="L68" s="75">
        <f>VLOOKUP($A68,'Data Vlaue (Cr)'!$C:$FB,67)</f>
        <v>7694</v>
      </c>
      <c r="M68" s="75">
        <f>VLOOKUP($A68,'Data Vlaue (Cr)'!$C:$FB,68)</f>
        <v>6097</v>
      </c>
      <c r="N68" s="75">
        <f t="shared" si="4"/>
        <v>1597</v>
      </c>
      <c r="O68" s="75">
        <f t="shared" si="5"/>
        <v>20.756433584611386</v>
      </c>
      <c r="P68" s="75">
        <f>VLOOKUP($A68,'Data Vlaue (Cr)'!$C:$FB,119)</f>
        <v>0.7</v>
      </c>
      <c r="Q68" s="75">
        <f>VLOOKUP($A68,'Data Vlaue (Cr)'!$C:$FB,122)*100</f>
        <v>-9.09</v>
      </c>
      <c r="R68" s="75">
        <f>VLOOKUP($A68,'Data Vlaue (Cr)'!$C:$FB,125)</f>
        <v>0.44</v>
      </c>
      <c r="S68" s="75">
        <f>VLOOKUP($A68,'Data Vlaue (Cr)'!$C:$FB,128)*100</f>
        <v>-21.43</v>
      </c>
    </row>
    <row r="69" spans="1:19" x14ac:dyDescent="0.25">
      <c r="A69" s="96" t="str">
        <f>'Data Vlaue (Cr)'!C60</f>
        <v>DLF</v>
      </c>
      <c r="B69" s="75">
        <f>VLOOKUP($A69,'Data Vlaue (Cr)'!$C:$FB,2)</f>
        <v>825</v>
      </c>
      <c r="C69" s="75">
        <f>VLOOKUP($A69,'Data Vlaue (Cr)'!$C:$FB,8)</f>
        <v>770.5</v>
      </c>
      <c r="D69" s="75">
        <f>VLOOKUP($A69,'Data Vlaue (Cr)'!$C:$FB,4)</f>
        <v>772.25</v>
      </c>
      <c r="E69" s="75">
        <f>VLOOKUP($A69,'Data Vlaue (Cr)'!$C:$FB,5)</f>
        <v>777.85</v>
      </c>
      <c r="F69" s="75">
        <f t="shared" si="0"/>
        <v>1.75</v>
      </c>
      <c r="G69" s="75">
        <f t="shared" si="1"/>
        <v>-0.72515377144707327</v>
      </c>
      <c r="H69" s="75">
        <f>VLOOKUP($A69,'Data Vlaue (Cr)'!$C:$FB,99)</f>
        <v>5158</v>
      </c>
      <c r="I69" s="75">
        <f>VLOOKUP($A69,'Data Vlaue (Cr)'!$C:$FB,100)</f>
        <v>5087</v>
      </c>
      <c r="J69" s="75">
        <f t="shared" si="2"/>
        <v>71</v>
      </c>
      <c r="K69" s="75">
        <f t="shared" si="3"/>
        <v>1.3765025203567274</v>
      </c>
      <c r="L69" s="75">
        <f>VLOOKUP($A69,'Data Vlaue (Cr)'!$C:$FB,67)</f>
        <v>2484</v>
      </c>
      <c r="M69" s="75">
        <f>VLOOKUP($A69,'Data Vlaue (Cr)'!$C:$FB,68)</f>
        <v>2672</v>
      </c>
      <c r="N69" s="75">
        <f t="shared" si="4"/>
        <v>-188</v>
      </c>
      <c r="O69" s="75">
        <f t="shared" si="5"/>
        <v>-7.5684380032206118</v>
      </c>
      <c r="P69" s="75">
        <f>VLOOKUP($A69,'Data Vlaue (Cr)'!$C:$FB,119)</f>
        <v>0.55000000000000004</v>
      </c>
      <c r="Q69" s="75">
        <f>VLOOKUP($A69,'Data Vlaue (Cr)'!$C:$FB,122)*100</f>
        <v>-1.79</v>
      </c>
      <c r="R69" s="75">
        <f>VLOOKUP($A69,'Data Vlaue (Cr)'!$C:$FB,125)</f>
        <v>0.45</v>
      </c>
      <c r="S69" s="75">
        <f>VLOOKUP($A69,'Data Vlaue (Cr)'!$C:$FB,128)*100</f>
        <v>15.379999999999999</v>
      </c>
    </row>
    <row r="70" spans="1:19" x14ac:dyDescent="0.25">
      <c r="A70" s="96" t="str">
        <f>'Data Vlaue (Cr)'!C61</f>
        <v>DMART</v>
      </c>
      <c r="B70" s="75">
        <f>VLOOKUP($A70,'Data Vlaue (Cr)'!$C:$FB,2)</f>
        <v>150</v>
      </c>
      <c r="C70" s="75">
        <f>VLOOKUP($A70,'Data Vlaue (Cr)'!$C:$FB,8)</f>
        <v>4737.8999999999996</v>
      </c>
      <c r="D70" s="75">
        <f>VLOOKUP($A70,'Data Vlaue (Cr)'!$C:$FB,4)</f>
        <v>4708.7</v>
      </c>
      <c r="E70" s="75">
        <f>VLOOKUP($A70,'Data Vlaue (Cr)'!$C:$FB,5)</f>
        <v>4630.8</v>
      </c>
      <c r="F70" s="75">
        <f t="shared" si="0"/>
        <v>-29.199999999999818</v>
      </c>
      <c r="G70" s="75">
        <f t="shared" si="1"/>
        <v>1.654384437318148</v>
      </c>
      <c r="H70" s="75">
        <f>VLOOKUP($A70,'Data Vlaue (Cr)'!$C:$FB,99)</f>
        <v>4228</v>
      </c>
      <c r="I70" s="75">
        <f>VLOOKUP($A70,'Data Vlaue (Cr)'!$C:$FB,100)</f>
        <v>4067</v>
      </c>
      <c r="J70" s="75">
        <f t="shared" si="2"/>
        <v>161</v>
      </c>
      <c r="K70" s="75">
        <f t="shared" si="3"/>
        <v>3.8079470198675498</v>
      </c>
      <c r="L70" s="75">
        <f>VLOOKUP($A70,'Data Vlaue (Cr)'!$C:$FB,67)</f>
        <v>7218</v>
      </c>
      <c r="M70" s="75">
        <f>VLOOKUP($A70,'Data Vlaue (Cr)'!$C:$FB,68)</f>
        <v>8170</v>
      </c>
      <c r="N70" s="75">
        <f t="shared" si="4"/>
        <v>-952</v>
      </c>
      <c r="O70" s="75">
        <f t="shared" si="5"/>
        <v>-13.189249099473537</v>
      </c>
      <c r="P70" s="75">
        <f>VLOOKUP($A70,'Data Vlaue (Cr)'!$C:$FB,119)</f>
        <v>0.91</v>
      </c>
      <c r="Q70" s="75">
        <f>VLOOKUP($A70,'Data Vlaue (Cr)'!$C:$FB,122)*100</f>
        <v>13.750000000000002</v>
      </c>
      <c r="R70" s="75">
        <f>VLOOKUP($A70,'Data Vlaue (Cr)'!$C:$FB,125)</f>
        <v>0.35</v>
      </c>
      <c r="S70" s="75">
        <f>VLOOKUP($A70,'Data Vlaue (Cr)'!$C:$FB,128)*100</f>
        <v>2.94</v>
      </c>
    </row>
    <row r="71" spans="1:19" x14ac:dyDescent="0.25">
      <c r="A71" s="96" t="str">
        <f>'Data Vlaue (Cr)'!C62</f>
        <v>DRREDDY</v>
      </c>
      <c r="B71" s="75">
        <f>VLOOKUP($A71,'Data Vlaue (Cr)'!$C:$FB,2)</f>
        <v>625</v>
      </c>
      <c r="C71" s="75">
        <f>VLOOKUP($A71,'Data Vlaue (Cr)'!$C:$FB,8)</f>
        <v>1245.4000000000001</v>
      </c>
      <c r="D71" s="75">
        <f>VLOOKUP($A71,'Data Vlaue (Cr)'!$C:$FB,4)</f>
        <v>1241.2</v>
      </c>
      <c r="E71" s="75">
        <f>VLOOKUP($A71,'Data Vlaue (Cr)'!$C:$FB,5)</f>
        <v>1244.5999999999999</v>
      </c>
      <c r="F71" s="75">
        <f t="shared" si="0"/>
        <v>-4.2000000000000455</v>
      </c>
      <c r="G71" s="75">
        <f t="shared" si="1"/>
        <v>-0.27392845633257035</v>
      </c>
      <c r="H71" s="75">
        <f>VLOOKUP($A71,'Data Vlaue (Cr)'!$C:$FB,99)</f>
        <v>3138</v>
      </c>
      <c r="I71" s="75">
        <f>VLOOKUP($A71,'Data Vlaue (Cr)'!$C:$FB,100)</f>
        <v>3110</v>
      </c>
      <c r="J71" s="75">
        <f t="shared" si="2"/>
        <v>28</v>
      </c>
      <c r="K71" s="75">
        <f t="shared" si="3"/>
        <v>0.89228808158062467</v>
      </c>
      <c r="L71" s="75">
        <f>VLOOKUP($A71,'Data Vlaue (Cr)'!$C:$FB,67)</f>
        <v>995</v>
      </c>
      <c r="M71" s="75">
        <f>VLOOKUP($A71,'Data Vlaue (Cr)'!$C:$FB,68)</f>
        <v>1114</v>
      </c>
      <c r="N71" s="75">
        <f t="shared" si="4"/>
        <v>-119</v>
      </c>
      <c r="O71" s="75">
        <f t="shared" si="5"/>
        <v>-11.959798994974873</v>
      </c>
      <c r="P71" s="75">
        <f>VLOOKUP($A71,'Data Vlaue (Cr)'!$C:$FB,119)</f>
        <v>0.8</v>
      </c>
      <c r="Q71" s="75">
        <f>VLOOKUP($A71,'Data Vlaue (Cr)'!$C:$FB,122)*100</f>
        <v>2.56</v>
      </c>
      <c r="R71" s="75">
        <f>VLOOKUP($A71,'Data Vlaue (Cr)'!$C:$FB,125)</f>
        <v>0.66</v>
      </c>
      <c r="S71" s="75">
        <f>VLOOKUP($A71,'Data Vlaue (Cr)'!$C:$FB,128)*100</f>
        <v>-22.35</v>
      </c>
    </row>
    <row r="72" spans="1:19" x14ac:dyDescent="0.25">
      <c r="A72" s="96" t="str">
        <f>'Data Vlaue (Cr)'!C63</f>
        <v>EICHERMOT</v>
      </c>
      <c r="B72" s="75">
        <f>VLOOKUP($A72,'Data Vlaue (Cr)'!$C:$FB,2)</f>
        <v>175</v>
      </c>
      <c r="C72" s="75">
        <f>VLOOKUP($A72,'Data Vlaue (Cr)'!$C:$FB,8)</f>
        <v>5937.5</v>
      </c>
      <c r="D72" s="75">
        <f>VLOOKUP($A72,'Data Vlaue (Cr)'!$C:$FB,4)</f>
        <v>5948.5</v>
      </c>
      <c r="E72" s="75">
        <f>VLOOKUP($A72,'Data Vlaue (Cr)'!$C:$FB,5)</f>
        <v>5958.5</v>
      </c>
      <c r="F72" s="75">
        <f t="shared" si="0"/>
        <v>11</v>
      </c>
      <c r="G72" s="75">
        <f t="shared" si="1"/>
        <v>-0.16810960746406658</v>
      </c>
      <c r="H72" s="75">
        <f>VLOOKUP($A72,'Data Vlaue (Cr)'!$C:$FB,99)</f>
        <v>4878</v>
      </c>
      <c r="I72" s="75">
        <f>VLOOKUP($A72,'Data Vlaue (Cr)'!$C:$FB,100)</f>
        <v>4915</v>
      </c>
      <c r="J72" s="75">
        <f t="shared" si="2"/>
        <v>-37</v>
      </c>
      <c r="K72" s="75">
        <f t="shared" si="3"/>
        <v>-0.7585075850758507</v>
      </c>
      <c r="L72" s="75">
        <f>VLOOKUP($A72,'Data Vlaue (Cr)'!$C:$FB,67)</f>
        <v>2431</v>
      </c>
      <c r="M72" s="75">
        <f>VLOOKUP($A72,'Data Vlaue (Cr)'!$C:$FB,68)</f>
        <v>5406</v>
      </c>
      <c r="N72" s="75">
        <f t="shared" si="4"/>
        <v>-2975</v>
      </c>
      <c r="O72" s="75">
        <f t="shared" si="5"/>
        <v>-122.37762237762237</v>
      </c>
      <c r="P72" s="75">
        <f>VLOOKUP($A72,'Data Vlaue (Cr)'!$C:$FB,119)</f>
        <v>0.74</v>
      </c>
      <c r="Q72" s="75">
        <f>VLOOKUP($A72,'Data Vlaue (Cr)'!$C:$FB,122)*100</f>
        <v>-2.63</v>
      </c>
      <c r="R72" s="75">
        <f>VLOOKUP($A72,'Data Vlaue (Cr)'!$C:$FB,125)</f>
        <v>0.61</v>
      </c>
      <c r="S72" s="75">
        <f>VLOOKUP($A72,'Data Vlaue (Cr)'!$C:$FB,128)*100</f>
        <v>27.08</v>
      </c>
    </row>
    <row r="73" spans="1:19" x14ac:dyDescent="0.25">
      <c r="A73" s="96" t="str">
        <f>'Data Vlaue (Cr)'!C64</f>
        <v>ETERNAL</v>
      </c>
      <c r="B73" s="75">
        <f>VLOOKUP($A73,'Data Vlaue (Cr)'!$C:$FB,2)</f>
        <v>2425</v>
      </c>
      <c r="C73" s="75">
        <f>VLOOKUP($A73,'Data Vlaue (Cr)'!$C:$FB,8)</f>
        <v>326.55</v>
      </c>
      <c r="D73" s="75">
        <f>VLOOKUP($A73,'Data Vlaue (Cr)'!$C:$FB,4)</f>
        <v>326.3</v>
      </c>
      <c r="E73" s="75">
        <f>VLOOKUP($A73,'Data Vlaue (Cr)'!$C:$FB,5)</f>
        <v>321.7</v>
      </c>
      <c r="F73" s="75">
        <f t="shared" si="0"/>
        <v>-0.25</v>
      </c>
      <c r="G73" s="75">
        <f t="shared" si="1"/>
        <v>1.4097456328532094</v>
      </c>
      <c r="H73" s="75">
        <f>VLOOKUP($A73,'Data Vlaue (Cr)'!$C:$FB,99)</f>
        <v>11930</v>
      </c>
      <c r="I73" s="75">
        <f>VLOOKUP($A73,'Data Vlaue (Cr)'!$C:$FB,100)</f>
        <v>11614</v>
      </c>
      <c r="J73" s="75">
        <f t="shared" si="2"/>
        <v>316</v>
      </c>
      <c r="K73" s="75">
        <f t="shared" si="3"/>
        <v>2.6487845766974014</v>
      </c>
      <c r="L73" s="75">
        <f>VLOOKUP($A73,'Data Vlaue (Cr)'!$C:$FB,67)</f>
        <v>15229</v>
      </c>
      <c r="M73" s="75">
        <f>VLOOKUP($A73,'Data Vlaue (Cr)'!$C:$FB,68)</f>
        <v>9077</v>
      </c>
      <c r="N73" s="75">
        <f t="shared" si="4"/>
        <v>6152</v>
      </c>
      <c r="O73" s="75">
        <f t="shared" si="5"/>
        <v>40.396611727624929</v>
      </c>
      <c r="P73" s="75">
        <f>VLOOKUP($A73,'Data Vlaue (Cr)'!$C:$FB,119)</f>
        <v>0.81</v>
      </c>
      <c r="Q73" s="75">
        <f>VLOOKUP($A73,'Data Vlaue (Cr)'!$C:$FB,122)*100</f>
        <v>-6.9</v>
      </c>
      <c r="R73" s="75">
        <f>VLOOKUP($A73,'Data Vlaue (Cr)'!$C:$FB,125)</f>
        <v>0.46</v>
      </c>
      <c r="S73" s="75">
        <f>VLOOKUP($A73,'Data Vlaue (Cr)'!$C:$FB,128)*100</f>
        <v>-16.36</v>
      </c>
    </row>
    <row r="74" spans="1:19" x14ac:dyDescent="0.25">
      <c r="A74" s="96" t="str">
        <f>'Data Vlaue (Cr)'!C65</f>
        <v>EXIDEIND</v>
      </c>
      <c r="B74" s="75">
        <f>VLOOKUP($A74,'Data Vlaue (Cr)'!$C:$FB,2)</f>
        <v>1800</v>
      </c>
      <c r="C74" s="75">
        <f>VLOOKUP($A74,'Data Vlaue (Cr)'!$C:$FB,8)</f>
        <v>396.3</v>
      </c>
      <c r="D74" s="75">
        <f>VLOOKUP($A74,'Data Vlaue (Cr)'!$C:$FB,4)</f>
        <v>397.3</v>
      </c>
      <c r="E74" s="75">
        <f>VLOOKUP($A74,'Data Vlaue (Cr)'!$C:$FB,5)</f>
        <v>394.6</v>
      </c>
      <c r="F74" s="75">
        <f t="shared" si="0"/>
        <v>1</v>
      </c>
      <c r="G74" s="75">
        <f t="shared" si="1"/>
        <v>0.67958721369242092</v>
      </c>
      <c r="H74" s="75">
        <f>VLOOKUP($A74,'Data Vlaue (Cr)'!$C:$FB,99)</f>
        <v>2462</v>
      </c>
      <c r="I74" s="75">
        <f>VLOOKUP($A74,'Data Vlaue (Cr)'!$C:$FB,100)</f>
        <v>2462</v>
      </c>
      <c r="J74" s="75">
        <f t="shared" si="2"/>
        <v>0</v>
      </c>
      <c r="K74" s="75">
        <f t="shared" si="3"/>
        <v>0</v>
      </c>
      <c r="L74" s="75">
        <f>VLOOKUP($A74,'Data Vlaue (Cr)'!$C:$FB,67)</f>
        <v>2778</v>
      </c>
      <c r="M74" s="75">
        <f>VLOOKUP($A74,'Data Vlaue (Cr)'!$C:$FB,68)</f>
        <v>5367</v>
      </c>
      <c r="N74" s="75">
        <f t="shared" si="4"/>
        <v>-2589</v>
      </c>
      <c r="O74" s="75">
        <f t="shared" si="5"/>
        <v>-93.196544276457885</v>
      </c>
      <c r="P74" s="75">
        <f>VLOOKUP($A74,'Data Vlaue (Cr)'!$C:$FB,119)</f>
        <v>0.59</v>
      </c>
      <c r="Q74" s="75">
        <f>VLOOKUP($A74,'Data Vlaue (Cr)'!$C:$FB,122)*100</f>
        <v>5.36</v>
      </c>
      <c r="R74" s="75">
        <f>VLOOKUP($A74,'Data Vlaue (Cr)'!$C:$FB,125)</f>
        <v>0.25</v>
      </c>
      <c r="S74" s="75">
        <f>VLOOKUP($A74,'Data Vlaue (Cr)'!$C:$FB,128)*100</f>
        <v>-24.240000000000002</v>
      </c>
    </row>
    <row r="75" spans="1:19" x14ac:dyDescent="0.25">
      <c r="A75" s="96" t="str">
        <f>'Data Vlaue (Cr)'!C66</f>
        <v>FEDERALBNK</v>
      </c>
      <c r="B75" s="75">
        <f>VLOOKUP($A75,'Data Vlaue (Cr)'!$C:$FB,2)</f>
        <v>5000</v>
      </c>
      <c r="C75" s="75">
        <f>VLOOKUP($A75,'Data Vlaue (Cr)'!$C:$FB,8)</f>
        <v>199.71</v>
      </c>
      <c r="D75" s="75">
        <f>VLOOKUP($A75,'Data Vlaue (Cr)'!$C:$FB,4)</f>
        <v>199.1</v>
      </c>
      <c r="E75" s="75">
        <f>VLOOKUP($A75,'Data Vlaue (Cr)'!$C:$FB,5)</f>
        <v>199.25</v>
      </c>
      <c r="F75" s="75">
        <f t="shared" si="0"/>
        <v>-0.61000000000001364</v>
      </c>
      <c r="G75" s="75">
        <f>(D75-E75)/D75*100</f>
        <v>-7.533902561527156E-2</v>
      </c>
      <c r="H75" s="75">
        <f>VLOOKUP($A75,'Data Vlaue (Cr)'!$C:$FB,99)</f>
        <v>3819</v>
      </c>
      <c r="I75" s="75">
        <f>VLOOKUP($A75,'Data Vlaue (Cr)'!$C:$FB,100)</f>
        <v>3778</v>
      </c>
      <c r="J75" s="75">
        <f t="shared" si="2"/>
        <v>41</v>
      </c>
      <c r="K75" s="75">
        <f t="shared" si="3"/>
        <v>1.073579471065724</v>
      </c>
      <c r="L75" s="75">
        <f>VLOOKUP($A75,'Data Vlaue (Cr)'!$C:$FB,67)</f>
        <v>1719</v>
      </c>
      <c r="M75" s="75">
        <f>VLOOKUP($A75,'Data Vlaue (Cr)'!$C:$FB,68)</f>
        <v>2043</v>
      </c>
      <c r="N75" s="75">
        <f t="shared" si="4"/>
        <v>-324</v>
      </c>
      <c r="O75" s="75">
        <f t="shared" si="5"/>
        <v>-18.848167539267017</v>
      </c>
      <c r="P75" s="75">
        <f>VLOOKUP($A75,'Data Vlaue (Cr)'!$C:$FB,119)</f>
        <v>0.75</v>
      </c>
      <c r="Q75" s="75">
        <f>VLOOKUP($A75,'Data Vlaue (Cr)'!$C:$FB,122)*100</f>
        <v>4.17</v>
      </c>
      <c r="R75" s="75">
        <f>VLOOKUP($A75,'Data Vlaue (Cr)'!$C:$FB,125)</f>
        <v>0.56999999999999995</v>
      </c>
      <c r="S75" s="75">
        <f>VLOOKUP($A75,'Data Vlaue (Cr)'!$C:$FB,128)*100</f>
        <v>3.64</v>
      </c>
    </row>
    <row r="76" spans="1:19" x14ac:dyDescent="0.25">
      <c r="A76" s="96" t="str">
        <f>'Data Vlaue (Cr)'!C67</f>
        <v>FINNIFTY</v>
      </c>
      <c r="B76" s="75">
        <f>VLOOKUP($A76,'Data Vlaue (Cr)'!$C:$FB,2)</f>
        <v>65</v>
      </c>
      <c r="C76" s="75">
        <f>VLOOKUP($A76,'Data Vlaue (Cr)'!$C:$FB,8)</f>
        <v>26487.8</v>
      </c>
      <c r="D76" s="75">
        <f>VLOOKUP($A76,'Data Vlaue (Cr)'!$C:$FB,4)</f>
        <v>26549.5</v>
      </c>
      <c r="E76" s="75">
        <f>VLOOKUP($A76,'Data Vlaue (Cr)'!$C:$FB,5)</f>
        <v>26658.400000000001</v>
      </c>
      <c r="F76" s="75">
        <f t="shared" ref="F76:F139" si="6">D76-C76</f>
        <v>61.700000000000728</v>
      </c>
      <c r="G76" s="75">
        <f t="shared" ref="G76:G139" si="7">(D76-E76)/D76*100</f>
        <v>-0.41017721614343566</v>
      </c>
      <c r="H76" s="75">
        <f>VLOOKUP($A76,'Data Vlaue (Cr)'!$C:$FB,99)</f>
        <v>6836</v>
      </c>
      <c r="I76" s="75">
        <f>VLOOKUP($A76,'Data Vlaue (Cr)'!$C:$FB,100)</f>
        <v>6313</v>
      </c>
      <c r="J76" s="75">
        <f t="shared" ref="J76:J139" si="8">H76-I76</f>
        <v>523</v>
      </c>
      <c r="K76" s="75">
        <f t="shared" ref="K76:K139" si="9">J76/H76*100</f>
        <v>7.6506729081334113</v>
      </c>
      <c r="L76" s="75">
        <f>VLOOKUP($A76,'Data Vlaue (Cr)'!$C:$FB,67)</f>
        <v>22575</v>
      </c>
      <c r="M76" s="75">
        <f>VLOOKUP($A76,'Data Vlaue (Cr)'!$C:$FB,68)</f>
        <v>20592</v>
      </c>
      <c r="N76" s="75">
        <f t="shared" ref="N76:N139" si="10">L76-M76</f>
        <v>1983</v>
      </c>
      <c r="O76" s="75">
        <f t="shared" ref="O76:O139" si="11">N76/L76*100</f>
        <v>8.7840531561461788</v>
      </c>
      <c r="P76" s="75">
        <f>VLOOKUP($A76,'Data Vlaue (Cr)'!$C:$FB,119)</f>
        <v>0.76</v>
      </c>
      <c r="Q76" s="75">
        <f>VLOOKUP($A76,'Data Vlaue (Cr)'!$C:$FB,122)*100</f>
        <v>-9.5200000000000014</v>
      </c>
      <c r="R76" s="75">
        <f>VLOOKUP($A76,'Data Vlaue (Cr)'!$C:$FB,125)</f>
        <v>0.84</v>
      </c>
      <c r="S76" s="75">
        <f>VLOOKUP($A76,'Data Vlaue (Cr)'!$C:$FB,128)*100</f>
        <v>-6.67</v>
      </c>
    </row>
    <row r="77" spans="1:19" x14ac:dyDescent="0.25">
      <c r="A77" s="96" t="str">
        <f>'Data Vlaue (Cr)'!C68</f>
        <v>FORTIS</v>
      </c>
      <c r="B77" s="75">
        <f>VLOOKUP($A77,'Data Vlaue (Cr)'!$C:$FB,2)</f>
        <v>775</v>
      </c>
      <c r="C77" s="75">
        <f>VLOOKUP($A77,'Data Vlaue (Cr)'!$C:$FB,8)</f>
        <v>963.95</v>
      </c>
      <c r="D77" s="75">
        <f>VLOOKUP($A77,'Data Vlaue (Cr)'!$C:$FB,4)</f>
        <v>964.7</v>
      </c>
      <c r="E77" s="75">
        <f>VLOOKUP($A77,'Data Vlaue (Cr)'!$C:$FB,5)</f>
        <v>949.7</v>
      </c>
      <c r="F77" s="75">
        <f t="shared" si="6"/>
        <v>0.75</v>
      </c>
      <c r="G77" s="75">
        <f t="shared" si="7"/>
        <v>1.5548875298020108</v>
      </c>
      <c r="H77" s="75">
        <f>VLOOKUP($A77,'Data Vlaue (Cr)'!$C:$FB,99)</f>
        <v>1718</v>
      </c>
      <c r="I77" s="75">
        <f>VLOOKUP($A77,'Data Vlaue (Cr)'!$C:$FB,100)</f>
        <v>1687</v>
      </c>
      <c r="J77" s="75">
        <f t="shared" si="8"/>
        <v>31</v>
      </c>
      <c r="K77" s="75">
        <f t="shared" si="9"/>
        <v>1.8044237485448196</v>
      </c>
      <c r="L77" s="75">
        <f>VLOOKUP($A77,'Data Vlaue (Cr)'!$C:$FB,67)</f>
        <v>1494</v>
      </c>
      <c r="M77" s="75">
        <f>VLOOKUP($A77,'Data Vlaue (Cr)'!$C:$FB,68)</f>
        <v>779</v>
      </c>
      <c r="N77" s="75">
        <f t="shared" si="10"/>
        <v>715</v>
      </c>
      <c r="O77" s="75">
        <f t="shared" si="11"/>
        <v>47.858099062918342</v>
      </c>
      <c r="P77" s="75">
        <f>VLOOKUP($A77,'Data Vlaue (Cr)'!$C:$FB,119)</f>
        <v>0.91</v>
      </c>
      <c r="Q77" s="75">
        <f>VLOOKUP($A77,'Data Vlaue (Cr)'!$C:$FB,122)*100</f>
        <v>7.06</v>
      </c>
      <c r="R77" s="75">
        <f>VLOOKUP($A77,'Data Vlaue (Cr)'!$C:$FB,125)</f>
        <v>0.39</v>
      </c>
      <c r="S77" s="75">
        <f>VLOOKUP($A77,'Data Vlaue (Cr)'!$C:$FB,128)*100</f>
        <v>-40.910000000000004</v>
      </c>
    </row>
    <row r="78" spans="1:19" x14ac:dyDescent="0.25">
      <c r="A78" s="96" t="str">
        <f>'Data Vlaue (Cr)'!C69</f>
        <v>GAIL</v>
      </c>
      <c r="B78" s="75">
        <f>VLOOKUP($A78,'Data Vlaue (Cr)'!$C:$FB,2)</f>
        <v>3150</v>
      </c>
      <c r="C78" s="75">
        <f>VLOOKUP($A78,'Data Vlaue (Cr)'!$C:$FB,8)</f>
        <v>178.12</v>
      </c>
      <c r="D78" s="75">
        <f>VLOOKUP($A78,'Data Vlaue (Cr)'!$C:$FB,4)</f>
        <v>178.17</v>
      </c>
      <c r="E78" s="75">
        <f>VLOOKUP($A78,'Data Vlaue (Cr)'!$C:$FB,5)</f>
        <v>175.53</v>
      </c>
      <c r="F78" s="75">
        <f t="shared" si="6"/>
        <v>4.9999999999982947E-2</v>
      </c>
      <c r="G78" s="75">
        <f t="shared" si="7"/>
        <v>1.4817309311331799</v>
      </c>
      <c r="H78" s="75">
        <f>VLOOKUP($A78,'Data Vlaue (Cr)'!$C:$FB,99)</f>
        <v>3151</v>
      </c>
      <c r="I78" s="75">
        <f>VLOOKUP($A78,'Data Vlaue (Cr)'!$C:$FB,100)</f>
        <v>3089</v>
      </c>
      <c r="J78" s="75">
        <f t="shared" si="8"/>
        <v>62</v>
      </c>
      <c r="K78" s="75">
        <f t="shared" si="9"/>
        <v>1.9676293240241192</v>
      </c>
      <c r="L78" s="75">
        <f>VLOOKUP($A78,'Data Vlaue (Cr)'!$C:$FB,67)</f>
        <v>2153</v>
      </c>
      <c r="M78" s="75">
        <f>VLOOKUP($A78,'Data Vlaue (Cr)'!$C:$FB,68)</f>
        <v>1225</v>
      </c>
      <c r="N78" s="75">
        <f t="shared" si="10"/>
        <v>928</v>
      </c>
      <c r="O78" s="75">
        <f t="shared" si="11"/>
        <v>43.102647468648399</v>
      </c>
      <c r="P78" s="75">
        <f>VLOOKUP($A78,'Data Vlaue (Cr)'!$C:$FB,119)</f>
        <v>0.75</v>
      </c>
      <c r="Q78" s="75">
        <f>VLOOKUP($A78,'Data Vlaue (Cr)'!$C:$FB,122)*100</f>
        <v>-2.6</v>
      </c>
      <c r="R78" s="75">
        <f>VLOOKUP($A78,'Data Vlaue (Cr)'!$C:$FB,125)</f>
        <v>0.38</v>
      </c>
      <c r="S78" s="75">
        <f>VLOOKUP($A78,'Data Vlaue (Cr)'!$C:$FB,128)*100</f>
        <v>-9.5200000000000014</v>
      </c>
    </row>
    <row r="79" spans="1:19" x14ac:dyDescent="0.25">
      <c r="A79" s="96" t="str">
        <f>'Data Vlaue (Cr)'!C70</f>
        <v>GLENMARK</v>
      </c>
      <c r="B79" s="75">
        <f>VLOOKUP($A79,'Data Vlaue (Cr)'!$C:$FB,2)</f>
        <v>375</v>
      </c>
      <c r="C79" s="75">
        <f>VLOOKUP($A79,'Data Vlaue (Cr)'!$C:$FB,8)</f>
        <v>1924</v>
      </c>
      <c r="D79" s="75">
        <f>VLOOKUP($A79,'Data Vlaue (Cr)'!$C:$FB,4)</f>
        <v>1929.5</v>
      </c>
      <c r="E79" s="75">
        <f>VLOOKUP($A79,'Data Vlaue (Cr)'!$C:$FB,5)</f>
        <v>1949.8</v>
      </c>
      <c r="F79" s="75">
        <f t="shared" si="6"/>
        <v>5.5</v>
      </c>
      <c r="G79" s="75">
        <f t="shared" si="7"/>
        <v>-1.0520860326509434</v>
      </c>
      <c r="H79" s="75">
        <f>VLOOKUP($A79,'Data Vlaue (Cr)'!$C:$FB,99)</f>
        <v>2665</v>
      </c>
      <c r="I79" s="75">
        <f>VLOOKUP($A79,'Data Vlaue (Cr)'!$C:$FB,100)</f>
        <v>2649</v>
      </c>
      <c r="J79" s="75">
        <f t="shared" si="8"/>
        <v>16</v>
      </c>
      <c r="K79" s="75">
        <f t="shared" si="9"/>
        <v>0.60037523452157604</v>
      </c>
      <c r="L79" s="75">
        <f>VLOOKUP($A79,'Data Vlaue (Cr)'!$C:$FB,67)</f>
        <v>1328</v>
      </c>
      <c r="M79" s="75">
        <f>VLOOKUP($A79,'Data Vlaue (Cr)'!$C:$FB,68)</f>
        <v>3187</v>
      </c>
      <c r="N79" s="75">
        <f t="shared" si="10"/>
        <v>-1859</v>
      </c>
      <c r="O79" s="75">
        <f t="shared" si="11"/>
        <v>-139.98493975903614</v>
      </c>
      <c r="P79" s="75">
        <f>VLOOKUP($A79,'Data Vlaue (Cr)'!$C:$FB,119)</f>
        <v>0.47</v>
      </c>
      <c r="Q79" s="75">
        <f>VLOOKUP($A79,'Data Vlaue (Cr)'!$C:$FB,122)*100</f>
        <v>-17.54</v>
      </c>
      <c r="R79" s="75">
        <f>VLOOKUP($A79,'Data Vlaue (Cr)'!$C:$FB,125)</f>
        <v>0.51</v>
      </c>
      <c r="S79" s="75">
        <f>VLOOKUP($A79,'Data Vlaue (Cr)'!$C:$FB,128)*100</f>
        <v>-38.550000000000004</v>
      </c>
    </row>
    <row r="80" spans="1:19" x14ac:dyDescent="0.25">
      <c r="A80" s="96" t="str">
        <f>'Data Vlaue (Cr)'!C71</f>
        <v>GMRAIRPORT</v>
      </c>
      <c r="B80" s="75">
        <f>VLOOKUP($A80,'Data Vlaue (Cr)'!$C:$FB,2)</f>
        <v>6975</v>
      </c>
      <c r="C80" s="75">
        <f>VLOOKUP($A80,'Data Vlaue (Cr)'!$C:$FB,8)</f>
        <v>91.01</v>
      </c>
      <c r="D80" s="75">
        <f>VLOOKUP($A80,'Data Vlaue (Cr)'!$C:$FB,4)</f>
        <v>91.28</v>
      </c>
      <c r="E80" s="75">
        <f>VLOOKUP($A80,'Data Vlaue (Cr)'!$C:$FB,5)</f>
        <v>90.77</v>
      </c>
      <c r="F80" s="75">
        <f t="shared" si="6"/>
        <v>0.26999999999999602</v>
      </c>
      <c r="G80" s="75">
        <f t="shared" si="7"/>
        <v>0.55872042068361649</v>
      </c>
      <c r="H80" s="75">
        <f>VLOOKUP($A80,'Data Vlaue (Cr)'!$C:$FB,99)</f>
        <v>2677</v>
      </c>
      <c r="I80" s="75">
        <f>VLOOKUP($A80,'Data Vlaue (Cr)'!$C:$FB,100)</f>
        <v>2673</v>
      </c>
      <c r="J80" s="75">
        <f t="shared" si="8"/>
        <v>4</v>
      </c>
      <c r="K80" s="75">
        <f t="shared" si="9"/>
        <v>0.14942099364960779</v>
      </c>
      <c r="L80" s="75">
        <f>VLOOKUP($A80,'Data Vlaue (Cr)'!$C:$FB,67)</f>
        <v>894</v>
      </c>
      <c r="M80" s="75">
        <f>VLOOKUP($A80,'Data Vlaue (Cr)'!$C:$FB,68)</f>
        <v>534</v>
      </c>
      <c r="N80" s="75">
        <f t="shared" si="10"/>
        <v>360</v>
      </c>
      <c r="O80" s="75">
        <f t="shared" si="11"/>
        <v>40.268456375838923</v>
      </c>
      <c r="P80" s="75">
        <f>VLOOKUP($A80,'Data Vlaue (Cr)'!$C:$FB,119)</f>
        <v>0.5</v>
      </c>
      <c r="Q80" s="75">
        <f>VLOOKUP($A80,'Data Vlaue (Cr)'!$C:$FB,122)*100</f>
        <v>0</v>
      </c>
      <c r="R80" s="75">
        <f>VLOOKUP($A80,'Data Vlaue (Cr)'!$C:$FB,125)</f>
        <v>0.35</v>
      </c>
      <c r="S80" s="75">
        <f>VLOOKUP($A80,'Data Vlaue (Cr)'!$C:$FB,128)*100</f>
        <v>-46.150000000000006</v>
      </c>
    </row>
    <row r="81" spans="1:19" x14ac:dyDescent="0.25">
      <c r="A81" s="96" t="str">
        <f>'Data Vlaue (Cr)'!C72</f>
        <v>GODREJCP</v>
      </c>
      <c r="B81" s="75">
        <f>VLOOKUP($A81,'Data Vlaue (Cr)'!$C:$FB,2)</f>
        <v>500</v>
      </c>
      <c r="C81" s="75">
        <f>VLOOKUP($A81,'Data Vlaue (Cr)'!$C:$FB,8)</f>
        <v>1246.9000000000001</v>
      </c>
      <c r="D81" s="75">
        <f>VLOOKUP($A81,'Data Vlaue (Cr)'!$C:$FB,4)</f>
        <v>1250.5999999999999</v>
      </c>
      <c r="E81" s="75">
        <f>VLOOKUP($A81,'Data Vlaue (Cr)'!$C:$FB,5)</f>
        <v>1223.0999999999999</v>
      </c>
      <c r="F81" s="75">
        <f t="shared" si="6"/>
        <v>3.6999999999998181</v>
      </c>
      <c r="G81" s="75">
        <f t="shared" si="7"/>
        <v>2.1989445066368143</v>
      </c>
      <c r="H81" s="75">
        <f>VLOOKUP($A81,'Data Vlaue (Cr)'!$C:$FB,99)</f>
        <v>1579</v>
      </c>
      <c r="I81" s="75">
        <f>VLOOKUP($A81,'Data Vlaue (Cr)'!$C:$FB,100)</f>
        <v>1520</v>
      </c>
      <c r="J81" s="75">
        <f t="shared" si="8"/>
        <v>59</v>
      </c>
      <c r="K81" s="75">
        <f t="shared" si="9"/>
        <v>3.7365421152628246</v>
      </c>
      <c r="L81" s="75">
        <f>VLOOKUP($A81,'Data Vlaue (Cr)'!$C:$FB,67)</f>
        <v>1891</v>
      </c>
      <c r="M81" s="75">
        <f>VLOOKUP($A81,'Data Vlaue (Cr)'!$C:$FB,68)</f>
        <v>525</v>
      </c>
      <c r="N81" s="75">
        <f t="shared" si="10"/>
        <v>1366</v>
      </c>
      <c r="O81" s="75">
        <f t="shared" si="11"/>
        <v>72.236911686938129</v>
      </c>
      <c r="P81" s="75">
        <f>VLOOKUP($A81,'Data Vlaue (Cr)'!$C:$FB,119)</f>
        <v>0.65</v>
      </c>
      <c r="Q81" s="75">
        <f>VLOOKUP($A81,'Data Vlaue (Cr)'!$C:$FB,122)*100</f>
        <v>6.5600000000000005</v>
      </c>
      <c r="R81" s="75">
        <f>VLOOKUP($A81,'Data Vlaue (Cr)'!$C:$FB,125)</f>
        <v>0.22</v>
      </c>
      <c r="S81" s="75">
        <f>VLOOKUP($A81,'Data Vlaue (Cr)'!$C:$FB,128)*100</f>
        <v>-31.25</v>
      </c>
    </row>
    <row r="82" spans="1:19" x14ac:dyDescent="0.25">
      <c r="A82" s="96" t="str">
        <f>'Data Vlaue (Cr)'!C73</f>
        <v>GODREJPROP</v>
      </c>
      <c r="B82" s="75">
        <f>VLOOKUP($A82,'Data Vlaue (Cr)'!$C:$FB,2)</f>
        <v>275</v>
      </c>
      <c r="C82" s="75">
        <f>VLOOKUP($A82,'Data Vlaue (Cr)'!$C:$FB,8)</f>
        <v>2041.8</v>
      </c>
      <c r="D82" s="75">
        <f>VLOOKUP($A82,'Data Vlaue (Cr)'!$C:$FB,4)</f>
        <v>2041.6</v>
      </c>
      <c r="E82" s="75">
        <f>VLOOKUP($A82,'Data Vlaue (Cr)'!$C:$FB,5)</f>
        <v>2017</v>
      </c>
      <c r="F82" s="75">
        <f t="shared" si="6"/>
        <v>-0.20000000000004547</v>
      </c>
      <c r="G82" s="75">
        <f t="shared" si="7"/>
        <v>1.2049373040752307</v>
      </c>
      <c r="H82" s="75">
        <f>VLOOKUP($A82,'Data Vlaue (Cr)'!$C:$FB,99)</f>
        <v>2787</v>
      </c>
      <c r="I82" s="75">
        <f>VLOOKUP($A82,'Data Vlaue (Cr)'!$C:$FB,100)</f>
        <v>2762</v>
      </c>
      <c r="J82" s="75">
        <f t="shared" si="8"/>
        <v>25</v>
      </c>
      <c r="K82" s="75">
        <f t="shared" si="9"/>
        <v>0.89702188733405097</v>
      </c>
      <c r="L82" s="75">
        <f>VLOOKUP($A82,'Data Vlaue (Cr)'!$C:$FB,67)</f>
        <v>1339</v>
      </c>
      <c r="M82" s="75">
        <f>VLOOKUP($A82,'Data Vlaue (Cr)'!$C:$FB,68)</f>
        <v>1150</v>
      </c>
      <c r="N82" s="75">
        <f t="shared" si="10"/>
        <v>189</v>
      </c>
      <c r="O82" s="75">
        <f t="shared" si="11"/>
        <v>14.115011202389843</v>
      </c>
      <c r="P82" s="75">
        <f>VLOOKUP($A82,'Data Vlaue (Cr)'!$C:$FB,119)</f>
        <v>0.62</v>
      </c>
      <c r="Q82" s="75">
        <f>VLOOKUP($A82,'Data Vlaue (Cr)'!$C:$FB,122)*100</f>
        <v>8.77</v>
      </c>
      <c r="R82" s="75">
        <f>VLOOKUP($A82,'Data Vlaue (Cr)'!$C:$FB,125)</f>
        <v>0.4</v>
      </c>
      <c r="S82" s="75">
        <f>VLOOKUP($A82,'Data Vlaue (Cr)'!$C:$FB,128)*100</f>
        <v>-9.09</v>
      </c>
    </row>
    <row r="83" spans="1:19" x14ac:dyDescent="0.25">
      <c r="A83" s="96" t="str">
        <f>'Data Vlaue (Cr)'!C74</f>
        <v>GRANULES</v>
      </c>
      <c r="B83" s="75">
        <f>VLOOKUP($A83,'Data Vlaue (Cr)'!$C:$FB,2)</f>
        <v>1075</v>
      </c>
      <c r="C83" s="75">
        <f>VLOOKUP($A83,'Data Vlaue (Cr)'!$C:$FB,8)</f>
        <v>461.35</v>
      </c>
      <c r="D83" s="75">
        <f>VLOOKUP($A83,'Data Vlaue (Cr)'!$C:$FB,4)</f>
        <v>461.4</v>
      </c>
      <c r="E83" s="75">
        <f>VLOOKUP($A83,'Data Vlaue (Cr)'!$C:$FB,5)</f>
        <v>459.3</v>
      </c>
      <c r="F83" s="75">
        <f t="shared" si="6"/>
        <v>4.9999999999954525E-2</v>
      </c>
      <c r="G83" s="75">
        <f t="shared" si="7"/>
        <v>0.45513654096228129</v>
      </c>
      <c r="H83" s="75">
        <f>VLOOKUP($A83,'Data Vlaue (Cr)'!$C:$FB,99)</f>
        <v>759</v>
      </c>
      <c r="I83" s="75">
        <f>VLOOKUP($A83,'Data Vlaue (Cr)'!$C:$FB,100)</f>
        <v>769</v>
      </c>
      <c r="J83" s="75">
        <f t="shared" si="8"/>
        <v>-10</v>
      </c>
      <c r="K83" s="75">
        <f t="shared" si="9"/>
        <v>-1.3175230566534915</v>
      </c>
      <c r="L83" s="75">
        <f>VLOOKUP($A83,'Data Vlaue (Cr)'!$C:$FB,67)</f>
        <v>233</v>
      </c>
      <c r="M83" s="75">
        <f>VLOOKUP($A83,'Data Vlaue (Cr)'!$C:$FB,68)</f>
        <v>167</v>
      </c>
      <c r="N83" s="75">
        <f t="shared" si="10"/>
        <v>66</v>
      </c>
      <c r="O83" s="75">
        <f t="shared" si="11"/>
        <v>28.326180257510732</v>
      </c>
      <c r="P83" s="75">
        <f>VLOOKUP($A83,'Data Vlaue (Cr)'!$C:$FB,119)</f>
        <v>0.53</v>
      </c>
      <c r="Q83" s="75">
        <f>VLOOKUP($A83,'Data Vlaue (Cr)'!$C:$FB,122)*100</f>
        <v>3.92</v>
      </c>
      <c r="R83" s="75">
        <f>VLOOKUP($A83,'Data Vlaue (Cr)'!$C:$FB,125)</f>
        <v>0.41</v>
      </c>
      <c r="S83" s="75">
        <f>VLOOKUP($A83,'Data Vlaue (Cr)'!$C:$FB,128)*100</f>
        <v>-24.07</v>
      </c>
    </row>
    <row r="84" spans="1:19" x14ac:dyDescent="0.25">
      <c r="A84" s="96" t="str">
        <f>'Data Vlaue (Cr)'!C75</f>
        <v>GRASIM</v>
      </c>
      <c r="B84" s="75">
        <f>VLOOKUP($A84,'Data Vlaue (Cr)'!$C:$FB,2)</f>
        <v>250</v>
      </c>
      <c r="C84" s="75">
        <f>VLOOKUP($A84,'Data Vlaue (Cr)'!$C:$FB,8)</f>
        <v>2864.9</v>
      </c>
      <c r="D84" s="75">
        <f>VLOOKUP($A84,'Data Vlaue (Cr)'!$C:$FB,4)</f>
        <v>2870.2</v>
      </c>
      <c r="E84" s="75">
        <f>VLOOKUP($A84,'Data Vlaue (Cr)'!$C:$FB,5)</f>
        <v>2831</v>
      </c>
      <c r="F84" s="75">
        <f t="shared" si="6"/>
        <v>5.2999999999997272</v>
      </c>
      <c r="G84" s="75">
        <f t="shared" si="7"/>
        <v>1.3657584837293506</v>
      </c>
      <c r="H84" s="75">
        <f>VLOOKUP($A84,'Data Vlaue (Cr)'!$C:$FB,99)</f>
        <v>4884</v>
      </c>
      <c r="I84" s="75">
        <f>VLOOKUP($A84,'Data Vlaue (Cr)'!$C:$FB,100)</f>
        <v>4916</v>
      </c>
      <c r="J84" s="75">
        <f t="shared" si="8"/>
        <v>-32</v>
      </c>
      <c r="K84" s="75">
        <f t="shared" si="9"/>
        <v>-0.65520065520065529</v>
      </c>
      <c r="L84" s="75">
        <f>VLOOKUP($A84,'Data Vlaue (Cr)'!$C:$FB,67)</f>
        <v>3778</v>
      </c>
      <c r="M84" s="75">
        <f>VLOOKUP($A84,'Data Vlaue (Cr)'!$C:$FB,68)</f>
        <v>1790</v>
      </c>
      <c r="N84" s="75">
        <f t="shared" si="10"/>
        <v>1988</v>
      </c>
      <c r="O84" s="75">
        <f t="shared" si="11"/>
        <v>52.620434092112234</v>
      </c>
      <c r="P84" s="75">
        <f>VLOOKUP($A84,'Data Vlaue (Cr)'!$C:$FB,119)</f>
        <v>0.72</v>
      </c>
      <c r="Q84" s="75">
        <f>VLOOKUP($A84,'Data Vlaue (Cr)'!$C:$FB,122)*100</f>
        <v>0</v>
      </c>
      <c r="R84" s="75">
        <f>VLOOKUP($A84,'Data Vlaue (Cr)'!$C:$FB,125)</f>
        <v>0.31</v>
      </c>
      <c r="S84" s="75">
        <f>VLOOKUP($A84,'Data Vlaue (Cr)'!$C:$FB,128)*100</f>
        <v>-46.550000000000004</v>
      </c>
    </row>
    <row r="85" spans="1:19" x14ac:dyDescent="0.25">
      <c r="A85" s="96" t="str">
        <f>'Data Vlaue (Cr)'!C76</f>
        <v>HAL</v>
      </c>
      <c r="B85" s="75">
        <f>VLOOKUP($A85,'Data Vlaue (Cr)'!$C:$FB,2)</f>
        <v>150</v>
      </c>
      <c r="C85" s="75">
        <f>VLOOKUP($A85,'Data Vlaue (Cr)'!$C:$FB,8)</f>
        <v>4468.3999999999996</v>
      </c>
      <c r="D85" s="75">
        <f>VLOOKUP($A85,'Data Vlaue (Cr)'!$C:$FB,4)</f>
        <v>4456</v>
      </c>
      <c r="E85" s="75">
        <f>VLOOKUP($A85,'Data Vlaue (Cr)'!$C:$FB,5)</f>
        <v>4443.8999999999996</v>
      </c>
      <c r="F85" s="75">
        <f t="shared" si="6"/>
        <v>-12.399999999999636</v>
      </c>
      <c r="G85" s="75">
        <f t="shared" si="7"/>
        <v>0.2715439856373511</v>
      </c>
      <c r="H85" s="75">
        <f>VLOOKUP($A85,'Data Vlaue (Cr)'!$C:$FB,99)</f>
        <v>11339</v>
      </c>
      <c r="I85" s="75">
        <f>VLOOKUP($A85,'Data Vlaue (Cr)'!$C:$FB,100)</f>
        <v>8792</v>
      </c>
      <c r="J85" s="75">
        <f t="shared" si="8"/>
        <v>2547</v>
      </c>
      <c r="K85" s="75">
        <f t="shared" si="9"/>
        <v>22.462298262633389</v>
      </c>
      <c r="L85" s="75">
        <f>VLOOKUP($A85,'Data Vlaue (Cr)'!$C:$FB,67)</f>
        <v>26242</v>
      </c>
      <c r="M85" s="75">
        <f>VLOOKUP($A85,'Data Vlaue (Cr)'!$C:$FB,68)</f>
        <v>7926</v>
      </c>
      <c r="N85" s="75">
        <f t="shared" si="10"/>
        <v>18316</v>
      </c>
      <c r="O85" s="75">
        <f t="shared" si="11"/>
        <v>69.796509412392354</v>
      </c>
      <c r="P85" s="75">
        <f>VLOOKUP($A85,'Data Vlaue (Cr)'!$C:$FB,119)</f>
        <v>0.5</v>
      </c>
      <c r="Q85" s="75">
        <f>VLOOKUP($A85,'Data Vlaue (Cr)'!$C:$FB,122)*100</f>
        <v>-10.71</v>
      </c>
      <c r="R85" s="75">
        <f>VLOOKUP($A85,'Data Vlaue (Cr)'!$C:$FB,125)</f>
        <v>0.38</v>
      </c>
      <c r="S85" s="75">
        <f>VLOOKUP($A85,'Data Vlaue (Cr)'!$C:$FB,128)*100</f>
        <v>-20.830000000000002</v>
      </c>
    </row>
    <row r="86" spans="1:19" x14ac:dyDescent="0.25">
      <c r="A86" s="96" t="str">
        <f>'Data Vlaue (Cr)'!C77</f>
        <v>HAVELLS</v>
      </c>
      <c r="B86" s="75">
        <f>VLOOKUP($A86,'Data Vlaue (Cr)'!$C:$FB,2)</f>
        <v>500</v>
      </c>
      <c r="C86" s="75">
        <f>VLOOKUP($A86,'Data Vlaue (Cr)'!$C:$FB,8)</f>
        <v>1567.9</v>
      </c>
      <c r="D86" s="75">
        <f>VLOOKUP($A86,'Data Vlaue (Cr)'!$C:$FB,4)</f>
        <v>1565.6</v>
      </c>
      <c r="E86" s="75">
        <f>VLOOKUP($A86,'Data Vlaue (Cr)'!$C:$FB,5)</f>
        <v>1570.2</v>
      </c>
      <c r="F86" s="75">
        <f t="shared" si="6"/>
        <v>-2.3000000000001819</v>
      </c>
      <c r="G86" s="75">
        <f t="shared" si="7"/>
        <v>-0.29381706693920134</v>
      </c>
      <c r="H86" s="75">
        <f>VLOOKUP($A86,'Data Vlaue (Cr)'!$C:$FB,99)</f>
        <v>2193</v>
      </c>
      <c r="I86" s="75">
        <f>VLOOKUP($A86,'Data Vlaue (Cr)'!$C:$FB,100)</f>
        <v>2182</v>
      </c>
      <c r="J86" s="75">
        <f t="shared" si="8"/>
        <v>11</v>
      </c>
      <c r="K86" s="75">
        <f t="shared" si="9"/>
        <v>0.50159598723210208</v>
      </c>
      <c r="L86" s="75">
        <f>VLOOKUP($A86,'Data Vlaue (Cr)'!$C:$FB,67)</f>
        <v>857</v>
      </c>
      <c r="M86" s="75">
        <f>VLOOKUP($A86,'Data Vlaue (Cr)'!$C:$FB,68)</f>
        <v>1284</v>
      </c>
      <c r="N86" s="75">
        <f t="shared" si="10"/>
        <v>-427</v>
      </c>
      <c r="O86" s="75">
        <f t="shared" si="11"/>
        <v>-49.824970828471407</v>
      </c>
      <c r="P86" s="75">
        <f>VLOOKUP($A86,'Data Vlaue (Cr)'!$C:$FB,119)</f>
        <v>0.87</v>
      </c>
      <c r="Q86" s="75">
        <f>VLOOKUP($A86,'Data Vlaue (Cr)'!$C:$FB,122)*100</f>
        <v>-1.1400000000000001</v>
      </c>
      <c r="R86" s="75">
        <f>VLOOKUP($A86,'Data Vlaue (Cr)'!$C:$FB,125)</f>
        <v>0.84</v>
      </c>
      <c r="S86" s="75">
        <f>VLOOKUP($A86,'Data Vlaue (Cr)'!$C:$FB,128)*100</f>
        <v>-5.62</v>
      </c>
    </row>
    <row r="87" spans="1:19" x14ac:dyDescent="0.25">
      <c r="A87" s="96" t="str">
        <f>'Data Vlaue (Cr)'!C78</f>
        <v>HCLTECH</v>
      </c>
      <c r="B87" s="75">
        <f>VLOOKUP($A87,'Data Vlaue (Cr)'!$C:$FB,2)</f>
        <v>350</v>
      </c>
      <c r="C87" s="75">
        <f>VLOOKUP($A87,'Data Vlaue (Cr)'!$C:$FB,8)</f>
        <v>1496</v>
      </c>
      <c r="D87" s="75">
        <f>VLOOKUP($A87,'Data Vlaue (Cr)'!$C:$FB,4)</f>
        <v>1499.2</v>
      </c>
      <c r="E87" s="75">
        <f>VLOOKUP($A87,'Data Vlaue (Cr)'!$C:$FB,5)</f>
        <v>1481.4</v>
      </c>
      <c r="F87" s="75">
        <f t="shared" si="6"/>
        <v>3.2000000000000455</v>
      </c>
      <c r="G87" s="75">
        <f t="shared" si="7"/>
        <v>1.1872998932764109</v>
      </c>
      <c r="H87" s="75">
        <f>VLOOKUP($A87,'Data Vlaue (Cr)'!$C:$FB,99)</f>
        <v>5192</v>
      </c>
      <c r="I87" s="75">
        <f>VLOOKUP($A87,'Data Vlaue (Cr)'!$C:$FB,100)</f>
        <v>4683</v>
      </c>
      <c r="J87" s="75">
        <f t="shared" si="8"/>
        <v>509</v>
      </c>
      <c r="K87" s="75">
        <f t="shared" si="9"/>
        <v>9.8035439137134048</v>
      </c>
      <c r="L87" s="75">
        <f>VLOOKUP($A87,'Data Vlaue (Cr)'!$C:$FB,67)</f>
        <v>7669</v>
      </c>
      <c r="M87" s="75">
        <f>VLOOKUP($A87,'Data Vlaue (Cr)'!$C:$FB,68)</f>
        <v>2453</v>
      </c>
      <c r="N87" s="75">
        <f t="shared" si="10"/>
        <v>5216</v>
      </c>
      <c r="O87" s="75">
        <f t="shared" si="11"/>
        <v>68.01408267049159</v>
      </c>
      <c r="P87" s="75">
        <f>VLOOKUP($A87,'Data Vlaue (Cr)'!$C:$FB,119)</f>
        <v>0.64</v>
      </c>
      <c r="Q87" s="75">
        <f>VLOOKUP($A87,'Data Vlaue (Cr)'!$C:$FB,122)*100</f>
        <v>0</v>
      </c>
      <c r="R87" s="75">
        <f>VLOOKUP($A87,'Data Vlaue (Cr)'!$C:$FB,125)</f>
        <v>0.35</v>
      </c>
      <c r="S87" s="75">
        <f>VLOOKUP($A87,'Data Vlaue (Cr)'!$C:$FB,128)*100</f>
        <v>-27.08</v>
      </c>
    </row>
    <row r="88" spans="1:19" x14ac:dyDescent="0.25">
      <c r="A88" s="96" t="str">
        <f>'Data Vlaue (Cr)'!C79</f>
        <v>HDFCAMC</v>
      </c>
      <c r="B88" s="75">
        <f>VLOOKUP($A88,'Data Vlaue (Cr)'!$C:$FB,2)</f>
        <v>150</v>
      </c>
      <c r="C88" s="75">
        <f>VLOOKUP($A88,'Data Vlaue (Cr)'!$C:$FB,8)</f>
        <v>5709.5</v>
      </c>
      <c r="D88" s="75">
        <f>VLOOKUP($A88,'Data Vlaue (Cr)'!$C:$FB,4)</f>
        <v>5707</v>
      </c>
      <c r="E88" s="75">
        <f>VLOOKUP($A88,'Data Vlaue (Cr)'!$C:$FB,5)</f>
        <v>5724.5</v>
      </c>
      <c r="F88" s="75">
        <f t="shared" si="6"/>
        <v>-2.5</v>
      </c>
      <c r="G88" s="75">
        <f t="shared" si="7"/>
        <v>-0.30664096723322237</v>
      </c>
      <c r="H88" s="75">
        <f>VLOOKUP($A88,'Data Vlaue (Cr)'!$C:$FB,99)</f>
        <v>2414</v>
      </c>
      <c r="I88" s="75">
        <f>VLOOKUP($A88,'Data Vlaue (Cr)'!$C:$FB,100)</f>
        <v>2420</v>
      </c>
      <c r="J88" s="75">
        <f t="shared" si="8"/>
        <v>-6</v>
      </c>
      <c r="K88" s="75">
        <f t="shared" si="9"/>
        <v>-0.24855012427506215</v>
      </c>
      <c r="L88" s="75">
        <f>VLOOKUP($A88,'Data Vlaue (Cr)'!$C:$FB,67)</f>
        <v>1265</v>
      </c>
      <c r="M88" s="75">
        <f>VLOOKUP($A88,'Data Vlaue (Cr)'!$C:$FB,68)</f>
        <v>2048</v>
      </c>
      <c r="N88" s="75">
        <f t="shared" si="10"/>
        <v>-783</v>
      </c>
      <c r="O88" s="75">
        <f t="shared" si="11"/>
        <v>-61.897233201581024</v>
      </c>
      <c r="P88" s="75">
        <f>VLOOKUP($A88,'Data Vlaue (Cr)'!$C:$FB,119)</f>
        <v>0.65</v>
      </c>
      <c r="Q88" s="75">
        <f>VLOOKUP($A88,'Data Vlaue (Cr)'!$C:$FB,122)*100</f>
        <v>-4.41</v>
      </c>
      <c r="R88" s="75">
        <f>VLOOKUP($A88,'Data Vlaue (Cr)'!$C:$FB,125)</f>
        <v>0.46</v>
      </c>
      <c r="S88" s="75">
        <f>VLOOKUP($A88,'Data Vlaue (Cr)'!$C:$FB,128)*100</f>
        <v>-22.03</v>
      </c>
    </row>
    <row r="89" spans="1:19" x14ac:dyDescent="0.25">
      <c r="A89" s="96" t="str">
        <f>'Data Vlaue (Cr)'!C80</f>
        <v>HDFCBANK</v>
      </c>
      <c r="B89" s="75">
        <f>VLOOKUP($A89,'Data Vlaue (Cr)'!$C:$FB,2)</f>
        <v>550</v>
      </c>
      <c r="C89" s="75">
        <f>VLOOKUP($A89,'Data Vlaue (Cr)'!$C:$FB,8)</f>
        <v>1988.2</v>
      </c>
      <c r="D89" s="75">
        <f>VLOOKUP($A89,'Data Vlaue (Cr)'!$C:$FB,4)</f>
        <v>1990.8</v>
      </c>
      <c r="E89" s="75">
        <f>VLOOKUP($A89,'Data Vlaue (Cr)'!$C:$FB,5)</f>
        <v>1994.9</v>
      </c>
      <c r="F89" s="75">
        <f t="shared" si="6"/>
        <v>2.5999999999999091</v>
      </c>
      <c r="G89" s="75">
        <f t="shared" si="7"/>
        <v>-0.20594735784609888</v>
      </c>
      <c r="H89" s="75">
        <f>VLOOKUP($A89,'Data Vlaue (Cr)'!$C:$FB,99)</f>
        <v>29640</v>
      </c>
      <c r="I89" s="75">
        <f>VLOOKUP($A89,'Data Vlaue (Cr)'!$C:$FB,100)</f>
        <v>29256</v>
      </c>
      <c r="J89" s="75">
        <f t="shared" si="8"/>
        <v>384</v>
      </c>
      <c r="K89" s="75">
        <f t="shared" si="9"/>
        <v>1.2955465587044535</v>
      </c>
      <c r="L89" s="75">
        <f>VLOOKUP($A89,'Data Vlaue (Cr)'!$C:$FB,67)</f>
        <v>12307</v>
      </c>
      <c r="M89" s="75">
        <f>VLOOKUP($A89,'Data Vlaue (Cr)'!$C:$FB,68)</f>
        <v>12278</v>
      </c>
      <c r="N89" s="75">
        <f t="shared" si="10"/>
        <v>29</v>
      </c>
      <c r="O89" s="75">
        <f t="shared" si="11"/>
        <v>0.2356382546518242</v>
      </c>
      <c r="P89" s="75">
        <f>VLOOKUP($A89,'Data Vlaue (Cr)'!$C:$FB,119)</f>
        <v>0.68</v>
      </c>
      <c r="Q89" s="75">
        <f>VLOOKUP($A89,'Data Vlaue (Cr)'!$C:$FB,122)*100</f>
        <v>-5.56</v>
      </c>
      <c r="R89" s="75">
        <f>VLOOKUP($A89,'Data Vlaue (Cr)'!$C:$FB,125)</f>
        <v>0.62</v>
      </c>
      <c r="S89" s="75">
        <f>VLOOKUP($A89,'Data Vlaue (Cr)'!$C:$FB,128)*100</f>
        <v>3.3300000000000005</v>
      </c>
    </row>
    <row r="90" spans="1:19" x14ac:dyDescent="0.25">
      <c r="A90" s="96" t="str">
        <f>'Data Vlaue (Cr)'!C81</f>
        <v>HDFCLIFE</v>
      </c>
      <c r="B90" s="75">
        <f>VLOOKUP($A90,'Data Vlaue (Cr)'!$C:$FB,2)</f>
        <v>1100</v>
      </c>
      <c r="C90" s="75">
        <f>VLOOKUP($A90,'Data Vlaue (Cr)'!$C:$FB,8)</f>
        <v>796.55</v>
      </c>
      <c r="D90" s="75">
        <f>VLOOKUP($A90,'Data Vlaue (Cr)'!$C:$FB,4)</f>
        <v>796.6</v>
      </c>
      <c r="E90" s="75">
        <f>VLOOKUP($A90,'Data Vlaue (Cr)'!$C:$FB,5)</f>
        <v>796.1</v>
      </c>
      <c r="F90" s="75">
        <f t="shared" si="6"/>
        <v>5.0000000000068212E-2</v>
      </c>
      <c r="G90" s="75">
        <f t="shared" si="7"/>
        <v>6.2766758724579458E-2</v>
      </c>
      <c r="H90" s="75">
        <f>VLOOKUP($A90,'Data Vlaue (Cr)'!$C:$FB,99)</f>
        <v>3898</v>
      </c>
      <c r="I90" s="75">
        <f>VLOOKUP($A90,'Data Vlaue (Cr)'!$C:$FB,100)</f>
        <v>3870</v>
      </c>
      <c r="J90" s="75">
        <f t="shared" si="8"/>
        <v>28</v>
      </c>
      <c r="K90" s="75">
        <f t="shared" si="9"/>
        <v>0.71831708568496666</v>
      </c>
      <c r="L90" s="75">
        <f>VLOOKUP($A90,'Data Vlaue (Cr)'!$C:$FB,67)</f>
        <v>1446</v>
      </c>
      <c r="M90" s="75">
        <f>VLOOKUP($A90,'Data Vlaue (Cr)'!$C:$FB,68)</f>
        <v>1900</v>
      </c>
      <c r="N90" s="75">
        <f t="shared" si="10"/>
        <v>-454</v>
      </c>
      <c r="O90" s="75">
        <f t="shared" si="11"/>
        <v>-31.396957123098201</v>
      </c>
      <c r="P90" s="75">
        <f>VLOOKUP($A90,'Data Vlaue (Cr)'!$C:$FB,119)</f>
        <v>0.92</v>
      </c>
      <c r="Q90" s="75">
        <f>VLOOKUP($A90,'Data Vlaue (Cr)'!$C:$FB,122)*100</f>
        <v>-3.16</v>
      </c>
      <c r="R90" s="75">
        <f>VLOOKUP($A90,'Data Vlaue (Cr)'!$C:$FB,125)</f>
        <v>0.47</v>
      </c>
      <c r="S90" s="75">
        <f>VLOOKUP($A90,'Data Vlaue (Cr)'!$C:$FB,128)*100</f>
        <v>-11.32</v>
      </c>
    </row>
    <row r="91" spans="1:19" x14ac:dyDescent="0.25">
      <c r="A91" s="96" t="str">
        <f>'Data Vlaue (Cr)'!C82</f>
        <v>HEROMOTOCO</v>
      </c>
      <c r="B91" s="75">
        <f>VLOOKUP($A91,'Data Vlaue (Cr)'!$C:$FB,2)</f>
        <v>150</v>
      </c>
      <c r="C91" s="75">
        <f>VLOOKUP($A91,'Data Vlaue (Cr)'!$C:$FB,8)</f>
        <v>5136</v>
      </c>
      <c r="D91" s="75">
        <f>VLOOKUP($A91,'Data Vlaue (Cr)'!$C:$FB,4)</f>
        <v>5127.3999999999996</v>
      </c>
      <c r="E91" s="75">
        <f>VLOOKUP($A91,'Data Vlaue (Cr)'!$C:$FB,5)</f>
        <v>5125.8</v>
      </c>
      <c r="F91" s="75">
        <f t="shared" si="6"/>
        <v>-8.6000000000003638</v>
      </c>
      <c r="G91" s="75">
        <f t="shared" si="7"/>
        <v>3.1204899169158917E-2</v>
      </c>
      <c r="H91" s="75">
        <f>VLOOKUP($A91,'Data Vlaue (Cr)'!$C:$FB,99)</f>
        <v>8365</v>
      </c>
      <c r="I91" s="75">
        <f>VLOOKUP($A91,'Data Vlaue (Cr)'!$C:$FB,100)</f>
        <v>8063</v>
      </c>
      <c r="J91" s="75">
        <f t="shared" si="8"/>
        <v>302</v>
      </c>
      <c r="K91" s="75">
        <f t="shared" si="9"/>
        <v>3.6102809324566643</v>
      </c>
      <c r="L91" s="75">
        <f>VLOOKUP($A91,'Data Vlaue (Cr)'!$C:$FB,67)</f>
        <v>10177</v>
      </c>
      <c r="M91" s="75">
        <f>VLOOKUP($A91,'Data Vlaue (Cr)'!$C:$FB,68)</f>
        <v>19985</v>
      </c>
      <c r="N91" s="75">
        <f t="shared" si="10"/>
        <v>-9808</v>
      </c>
      <c r="O91" s="75">
        <f t="shared" si="11"/>
        <v>-96.374177065932983</v>
      </c>
      <c r="P91" s="75">
        <f>VLOOKUP($A91,'Data Vlaue (Cr)'!$C:$FB,119)</f>
        <v>0.94</v>
      </c>
      <c r="Q91" s="75">
        <f>VLOOKUP($A91,'Data Vlaue (Cr)'!$C:$FB,122)*100</f>
        <v>-6</v>
      </c>
      <c r="R91" s="75">
        <f>VLOOKUP($A91,'Data Vlaue (Cr)'!$C:$FB,125)</f>
        <v>0.59</v>
      </c>
      <c r="S91" s="75">
        <f>VLOOKUP($A91,'Data Vlaue (Cr)'!$C:$FB,128)*100</f>
        <v>25.53</v>
      </c>
    </row>
    <row r="92" spans="1:19" x14ac:dyDescent="0.25">
      <c r="A92" s="96" t="str">
        <f>'Data Vlaue (Cr)'!C83</f>
        <v>HFCL</v>
      </c>
      <c r="B92" s="75">
        <f>VLOOKUP($A92,'Data Vlaue (Cr)'!$C:$FB,2)</f>
        <v>6450</v>
      </c>
      <c r="C92" s="75">
        <f>VLOOKUP($A92,'Data Vlaue (Cr)'!$C:$FB,8)</f>
        <v>75.27</v>
      </c>
      <c r="D92" s="75">
        <f>VLOOKUP($A92,'Data Vlaue (Cr)'!$C:$FB,4)</f>
        <v>75.36</v>
      </c>
      <c r="E92" s="75">
        <f>VLOOKUP($A92,'Data Vlaue (Cr)'!$C:$FB,5)</f>
        <v>74.760000000000005</v>
      </c>
      <c r="F92" s="75">
        <f t="shared" si="6"/>
        <v>9.0000000000003411E-2</v>
      </c>
      <c r="G92" s="75">
        <f t="shared" si="7"/>
        <v>0.79617834394903708</v>
      </c>
      <c r="H92" s="75">
        <f>VLOOKUP($A92,'Data Vlaue (Cr)'!$C:$FB,99)</f>
        <v>1091</v>
      </c>
      <c r="I92" s="75">
        <f>VLOOKUP($A92,'Data Vlaue (Cr)'!$C:$FB,100)</f>
        <v>1090</v>
      </c>
      <c r="J92" s="75">
        <f t="shared" si="8"/>
        <v>1</v>
      </c>
      <c r="K92" s="75">
        <f t="shared" si="9"/>
        <v>9.1659028414298807E-2</v>
      </c>
      <c r="L92" s="75">
        <f>VLOOKUP($A92,'Data Vlaue (Cr)'!$C:$FB,67)</f>
        <v>197</v>
      </c>
      <c r="M92" s="75">
        <f>VLOOKUP($A92,'Data Vlaue (Cr)'!$C:$FB,68)</f>
        <v>280</v>
      </c>
      <c r="N92" s="75">
        <f t="shared" si="10"/>
        <v>-83</v>
      </c>
      <c r="O92" s="75">
        <f t="shared" si="11"/>
        <v>-42.131979695431468</v>
      </c>
      <c r="P92" s="75">
        <f>VLOOKUP($A92,'Data Vlaue (Cr)'!$C:$FB,119)</f>
        <v>0.56999999999999995</v>
      </c>
      <c r="Q92" s="75">
        <f>VLOOKUP($A92,'Data Vlaue (Cr)'!$C:$FB,122)*100</f>
        <v>5.56</v>
      </c>
      <c r="R92" s="75">
        <f>VLOOKUP($A92,'Data Vlaue (Cr)'!$C:$FB,125)</f>
        <v>0.36</v>
      </c>
      <c r="S92" s="75">
        <f>VLOOKUP($A92,'Data Vlaue (Cr)'!$C:$FB,128)*100</f>
        <v>9.09</v>
      </c>
    </row>
    <row r="93" spans="1:19" x14ac:dyDescent="0.25">
      <c r="A93" s="96" t="str">
        <f>'Data Vlaue (Cr)'!C84</f>
        <v>HINDALCO</v>
      </c>
      <c r="B93" s="75">
        <f>VLOOKUP($A93,'Data Vlaue (Cr)'!$C:$FB,2)</f>
        <v>1400</v>
      </c>
      <c r="C93" s="75">
        <f>VLOOKUP($A93,'Data Vlaue (Cr)'!$C:$FB,8)</f>
        <v>700.85</v>
      </c>
      <c r="D93" s="75">
        <f>VLOOKUP($A93,'Data Vlaue (Cr)'!$C:$FB,4)</f>
        <v>702.15</v>
      </c>
      <c r="E93" s="75">
        <f>VLOOKUP($A93,'Data Vlaue (Cr)'!$C:$FB,5)</f>
        <v>709.1</v>
      </c>
      <c r="F93" s="75">
        <f t="shared" si="6"/>
        <v>1.2999999999999545</v>
      </c>
      <c r="G93" s="75">
        <f t="shared" si="7"/>
        <v>-0.98981699067151541</v>
      </c>
      <c r="H93" s="75">
        <f>VLOOKUP($A93,'Data Vlaue (Cr)'!$C:$FB,99)</f>
        <v>5909</v>
      </c>
      <c r="I93" s="75">
        <f>VLOOKUP($A93,'Data Vlaue (Cr)'!$C:$FB,100)</f>
        <v>5864</v>
      </c>
      <c r="J93" s="75">
        <f t="shared" si="8"/>
        <v>45</v>
      </c>
      <c r="K93" s="75">
        <f t="shared" si="9"/>
        <v>0.76155017769504152</v>
      </c>
      <c r="L93" s="75">
        <f>VLOOKUP($A93,'Data Vlaue (Cr)'!$C:$FB,67)</f>
        <v>4100</v>
      </c>
      <c r="M93" s="75">
        <f>VLOOKUP($A93,'Data Vlaue (Cr)'!$C:$FB,68)</f>
        <v>4699</v>
      </c>
      <c r="N93" s="75">
        <f t="shared" si="10"/>
        <v>-599</v>
      </c>
      <c r="O93" s="75">
        <f t="shared" si="11"/>
        <v>-14.609756097560975</v>
      </c>
      <c r="P93" s="75">
        <f>VLOOKUP($A93,'Data Vlaue (Cr)'!$C:$FB,119)</f>
        <v>0.68</v>
      </c>
      <c r="Q93" s="75">
        <f>VLOOKUP($A93,'Data Vlaue (Cr)'!$C:$FB,122)*100</f>
        <v>-8.1100000000000012</v>
      </c>
      <c r="R93" s="75">
        <f>VLOOKUP($A93,'Data Vlaue (Cr)'!$C:$FB,125)</f>
        <v>0.73</v>
      </c>
      <c r="S93" s="75">
        <f>VLOOKUP($A93,'Data Vlaue (Cr)'!$C:$FB,128)*100</f>
        <v>-8.75</v>
      </c>
    </row>
    <row r="94" spans="1:19" x14ac:dyDescent="0.25">
      <c r="A94" s="96" t="str">
        <f>'Data Vlaue (Cr)'!C85</f>
        <v>HINDPETRO</v>
      </c>
      <c r="B94" s="75">
        <f>VLOOKUP($A94,'Data Vlaue (Cr)'!$C:$FB,2)</f>
        <v>2025</v>
      </c>
      <c r="C94" s="75">
        <f>VLOOKUP($A94,'Data Vlaue (Cr)'!$C:$FB,8)</f>
        <v>390.8</v>
      </c>
      <c r="D94" s="75">
        <f>VLOOKUP($A94,'Data Vlaue (Cr)'!$C:$FB,4)</f>
        <v>391.75</v>
      </c>
      <c r="E94" s="75">
        <f>VLOOKUP($A94,'Data Vlaue (Cr)'!$C:$FB,5)</f>
        <v>396.35</v>
      </c>
      <c r="F94" s="75">
        <f t="shared" si="6"/>
        <v>0.94999999999998863</v>
      </c>
      <c r="G94" s="75">
        <f t="shared" si="7"/>
        <v>-1.1742182514358706</v>
      </c>
      <c r="H94" s="75">
        <f>VLOOKUP($A94,'Data Vlaue (Cr)'!$C:$FB,99)</f>
        <v>3279</v>
      </c>
      <c r="I94" s="75">
        <f>VLOOKUP($A94,'Data Vlaue (Cr)'!$C:$FB,100)</f>
        <v>3353</v>
      </c>
      <c r="J94" s="75">
        <f t="shared" si="8"/>
        <v>-74</v>
      </c>
      <c r="K94" s="75">
        <f t="shared" si="9"/>
        <v>-2.2567856053674902</v>
      </c>
      <c r="L94" s="75">
        <f>VLOOKUP($A94,'Data Vlaue (Cr)'!$C:$FB,67)</f>
        <v>1508</v>
      </c>
      <c r="M94" s="75">
        <f>VLOOKUP($A94,'Data Vlaue (Cr)'!$C:$FB,68)</f>
        <v>2059</v>
      </c>
      <c r="N94" s="75">
        <f t="shared" si="10"/>
        <v>-551</v>
      </c>
      <c r="O94" s="75">
        <f t="shared" si="11"/>
        <v>-36.538461538461533</v>
      </c>
      <c r="P94" s="75">
        <f>VLOOKUP($A94,'Data Vlaue (Cr)'!$C:$FB,119)</f>
        <v>0.56000000000000005</v>
      </c>
      <c r="Q94" s="75">
        <f>VLOOKUP($A94,'Data Vlaue (Cr)'!$C:$FB,122)*100</f>
        <v>3.6999999999999997</v>
      </c>
      <c r="R94" s="75">
        <f>VLOOKUP($A94,'Data Vlaue (Cr)'!$C:$FB,125)</f>
        <v>0.43</v>
      </c>
      <c r="S94" s="75">
        <f>VLOOKUP($A94,'Data Vlaue (Cr)'!$C:$FB,128)*100</f>
        <v>-6.52</v>
      </c>
    </row>
    <row r="95" spans="1:19" x14ac:dyDescent="0.25">
      <c r="A95" s="96" t="str">
        <f>'Data Vlaue (Cr)'!C86</f>
        <v>HINDUNILVR</v>
      </c>
      <c r="B95" s="75">
        <f>VLOOKUP($A95,'Data Vlaue (Cr)'!$C:$FB,2)</f>
        <v>300</v>
      </c>
      <c r="C95" s="75">
        <f>VLOOKUP($A95,'Data Vlaue (Cr)'!$C:$FB,8)</f>
        <v>2669.8</v>
      </c>
      <c r="D95" s="75">
        <f>VLOOKUP($A95,'Data Vlaue (Cr)'!$C:$FB,4)</f>
        <v>2670.8</v>
      </c>
      <c r="E95" s="75">
        <f>VLOOKUP($A95,'Data Vlaue (Cr)'!$C:$FB,5)</f>
        <v>2606.4</v>
      </c>
      <c r="F95" s="75">
        <f t="shared" si="6"/>
        <v>1</v>
      </c>
      <c r="G95" s="75">
        <f t="shared" si="7"/>
        <v>2.411262543058263</v>
      </c>
      <c r="H95" s="75">
        <f>VLOOKUP($A95,'Data Vlaue (Cr)'!$C:$FB,99)</f>
        <v>7933</v>
      </c>
      <c r="I95" s="75">
        <f>VLOOKUP($A95,'Data Vlaue (Cr)'!$C:$FB,100)</f>
        <v>7471</v>
      </c>
      <c r="J95" s="75">
        <f t="shared" si="8"/>
        <v>462</v>
      </c>
      <c r="K95" s="75">
        <f t="shared" si="9"/>
        <v>5.8237741081558045</v>
      </c>
      <c r="L95" s="75">
        <f>VLOOKUP($A95,'Data Vlaue (Cr)'!$C:$FB,67)</f>
        <v>18121</v>
      </c>
      <c r="M95" s="75">
        <f>VLOOKUP($A95,'Data Vlaue (Cr)'!$C:$FB,68)</f>
        <v>6465</v>
      </c>
      <c r="N95" s="75">
        <f t="shared" si="10"/>
        <v>11656</v>
      </c>
      <c r="O95" s="75">
        <f t="shared" si="11"/>
        <v>64.323160973456211</v>
      </c>
      <c r="P95" s="75">
        <f>VLOOKUP($A95,'Data Vlaue (Cr)'!$C:$FB,119)</f>
        <v>0.69</v>
      </c>
      <c r="Q95" s="75">
        <f>VLOOKUP($A95,'Data Vlaue (Cr)'!$C:$FB,122)*100</f>
        <v>32.690000000000005</v>
      </c>
      <c r="R95" s="75">
        <f>VLOOKUP($A95,'Data Vlaue (Cr)'!$C:$FB,125)</f>
        <v>0.4</v>
      </c>
      <c r="S95" s="75">
        <f>VLOOKUP($A95,'Data Vlaue (Cr)'!$C:$FB,128)*100</f>
        <v>-13.04</v>
      </c>
    </row>
    <row r="96" spans="1:19" x14ac:dyDescent="0.25">
      <c r="A96" s="96" t="str">
        <f>'Data Vlaue (Cr)'!C87</f>
        <v>HINDZINC</v>
      </c>
      <c r="B96" s="75">
        <f>VLOOKUP($A96,'Data Vlaue (Cr)'!$C:$FB,2)</f>
        <v>1225</v>
      </c>
      <c r="C96" s="75">
        <f>VLOOKUP($A96,'Data Vlaue (Cr)'!$C:$FB,8)</f>
        <v>430</v>
      </c>
      <c r="D96" s="75">
        <f>VLOOKUP($A96,'Data Vlaue (Cr)'!$C:$FB,4)</f>
        <v>430.4</v>
      </c>
      <c r="E96" s="75">
        <f>VLOOKUP($A96,'Data Vlaue (Cr)'!$C:$FB,5)</f>
        <v>429.75</v>
      </c>
      <c r="F96" s="75">
        <f t="shared" si="6"/>
        <v>0.39999999999997726</v>
      </c>
      <c r="G96" s="75">
        <f t="shared" si="7"/>
        <v>0.15102230483270848</v>
      </c>
      <c r="H96" s="75">
        <f>VLOOKUP($A96,'Data Vlaue (Cr)'!$C:$FB,99)</f>
        <v>1979</v>
      </c>
      <c r="I96" s="75">
        <f>VLOOKUP($A96,'Data Vlaue (Cr)'!$C:$FB,100)</f>
        <v>1949</v>
      </c>
      <c r="J96" s="75">
        <f t="shared" si="8"/>
        <v>30</v>
      </c>
      <c r="K96" s="75">
        <f t="shared" si="9"/>
        <v>1.5159171298635674</v>
      </c>
      <c r="L96" s="75">
        <f>VLOOKUP($A96,'Data Vlaue (Cr)'!$C:$FB,67)</f>
        <v>719</v>
      </c>
      <c r="M96" s="75">
        <f>VLOOKUP($A96,'Data Vlaue (Cr)'!$C:$FB,68)</f>
        <v>861</v>
      </c>
      <c r="N96" s="75">
        <f t="shared" si="10"/>
        <v>-142</v>
      </c>
      <c r="O96" s="75">
        <f t="shared" si="11"/>
        <v>-19.749652294853963</v>
      </c>
      <c r="P96" s="75">
        <f>VLOOKUP($A96,'Data Vlaue (Cr)'!$C:$FB,119)</f>
        <v>0.61</v>
      </c>
      <c r="Q96" s="75">
        <f>VLOOKUP($A96,'Data Vlaue (Cr)'!$C:$FB,122)*100</f>
        <v>5.17</v>
      </c>
      <c r="R96" s="75">
        <f>VLOOKUP($A96,'Data Vlaue (Cr)'!$C:$FB,125)</f>
        <v>0.57999999999999996</v>
      </c>
      <c r="S96" s="75">
        <f>VLOOKUP($A96,'Data Vlaue (Cr)'!$C:$FB,128)*100</f>
        <v>70.59</v>
      </c>
    </row>
    <row r="97" spans="1:19" x14ac:dyDescent="0.25">
      <c r="A97" s="96" t="str">
        <f>'Data Vlaue (Cr)'!C88</f>
        <v>HUDCO</v>
      </c>
      <c r="B97" s="75">
        <f>VLOOKUP($A97,'Data Vlaue (Cr)'!$C:$FB,2)</f>
        <v>2775</v>
      </c>
      <c r="C97" s="75">
        <f>VLOOKUP($A97,'Data Vlaue (Cr)'!$C:$FB,8)</f>
        <v>214.39</v>
      </c>
      <c r="D97" s="75">
        <f>VLOOKUP($A97,'Data Vlaue (Cr)'!$C:$FB,4)</f>
        <v>214.29</v>
      </c>
      <c r="E97" s="75">
        <f>VLOOKUP($A97,'Data Vlaue (Cr)'!$C:$FB,5)</f>
        <v>214.64</v>
      </c>
      <c r="F97" s="75">
        <f t="shared" si="6"/>
        <v>-9.9999999999994316E-2</v>
      </c>
      <c r="G97" s="75">
        <f t="shared" si="7"/>
        <v>-0.16333006673199604</v>
      </c>
      <c r="H97" s="75">
        <f>VLOOKUP($A97,'Data Vlaue (Cr)'!$C:$FB,99)</f>
        <v>1257</v>
      </c>
      <c r="I97" s="75">
        <f>VLOOKUP($A97,'Data Vlaue (Cr)'!$C:$FB,100)</f>
        <v>1224</v>
      </c>
      <c r="J97" s="75">
        <f t="shared" si="8"/>
        <v>33</v>
      </c>
      <c r="K97" s="75">
        <f t="shared" si="9"/>
        <v>2.6252983293556085</v>
      </c>
      <c r="L97" s="75">
        <f>VLOOKUP($A97,'Data Vlaue (Cr)'!$C:$FB,67)</f>
        <v>572</v>
      </c>
      <c r="M97" s="75">
        <f>VLOOKUP($A97,'Data Vlaue (Cr)'!$C:$FB,68)</f>
        <v>745</v>
      </c>
      <c r="N97" s="75">
        <f t="shared" si="10"/>
        <v>-173</v>
      </c>
      <c r="O97" s="75">
        <f t="shared" si="11"/>
        <v>-30.244755244755243</v>
      </c>
      <c r="P97" s="75">
        <f>VLOOKUP($A97,'Data Vlaue (Cr)'!$C:$FB,119)</f>
        <v>0.6</v>
      </c>
      <c r="Q97" s="75">
        <f>VLOOKUP($A97,'Data Vlaue (Cr)'!$C:$FB,122)*100</f>
        <v>-6.25</v>
      </c>
      <c r="R97" s="75">
        <f>VLOOKUP($A97,'Data Vlaue (Cr)'!$C:$FB,125)</f>
        <v>0.41</v>
      </c>
      <c r="S97" s="75">
        <f>VLOOKUP($A97,'Data Vlaue (Cr)'!$C:$FB,128)*100</f>
        <v>-14.580000000000002</v>
      </c>
    </row>
    <row r="98" spans="1:19" x14ac:dyDescent="0.25">
      <c r="A98" s="96" t="str">
        <f>'Data Vlaue (Cr)'!C89</f>
        <v>ICICIBANK</v>
      </c>
      <c r="B98" s="75">
        <f>VLOOKUP($A98,'Data Vlaue (Cr)'!$C:$FB,2)</f>
        <v>700</v>
      </c>
      <c r="C98" s="75">
        <f>VLOOKUP($A98,'Data Vlaue (Cr)'!$C:$FB,8)</f>
        <v>1430.6</v>
      </c>
      <c r="D98" s="75">
        <f>VLOOKUP($A98,'Data Vlaue (Cr)'!$C:$FB,4)</f>
        <v>1431.1</v>
      </c>
      <c r="E98" s="75">
        <f>VLOOKUP($A98,'Data Vlaue (Cr)'!$C:$FB,5)</f>
        <v>1437.3</v>
      </c>
      <c r="F98" s="75">
        <f t="shared" si="6"/>
        <v>0.5</v>
      </c>
      <c r="G98" s="75">
        <f t="shared" si="7"/>
        <v>-0.43323317727622429</v>
      </c>
      <c r="H98" s="75">
        <f>VLOOKUP($A98,'Data Vlaue (Cr)'!$C:$FB,99)</f>
        <v>20696</v>
      </c>
      <c r="I98" s="75">
        <f>VLOOKUP($A98,'Data Vlaue (Cr)'!$C:$FB,100)</f>
        <v>20415</v>
      </c>
      <c r="J98" s="75">
        <f t="shared" si="8"/>
        <v>281</v>
      </c>
      <c r="K98" s="75">
        <f t="shared" si="9"/>
        <v>1.3577502899110938</v>
      </c>
      <c r="L98" s="75">
        <f>VLOOKUP($A98,'Data Vlaue (Cr)'!$C:$FB,67)</f>
        <v>7131</v>
      </c>
      <c r="M98" s="75">
        <f>VLOOKUP($A98,'Data Vlaue (Cr)'!$C:$FB,68)</f>
        <v>6243</v>
      </c>
      <c r="N98" s="75">
        <f t="shared" si="10"/>
        <v>888</v>
      </c>
      <c r="O98" s="75">
        <f t="shared" si="11"/>
        <v>12.452671434581406</v>
      </c>
      <c r="P98" s="75">
        <f>VLOOKUP($A98,'Data Vlaue (Cr)'!$C:$FB,119)</f>
        <v>0.57999999999999996</v>
      </c>
      <c r="Q98" s="75">
        <f>VLOOKUP($A98,'Data Vlaue (Cr)'!$C:$FB,122)*100</f>
        <v>-4.92</v>
      </c>
      <c r="R98" s="75">
        <f>VLOOKUP($A98,'Data Vlaue (Cr)'!$C:$FB,125)</f>
        <v>0.54</v>
      </c>
      <c r="S98" s="75">
        <f>VLOOKUP($A98,'Data Vlaue (Cr)'!$C:$FB,128)*100</f>
        <v>5.88</v>
      </c>
    </row>
    <row r="99" spans="1:19" x14ac:dyDescent="0.25">
      <c r="A99" s="96" t="str">
        <f>'Data Vlaue (Cr)'!C90</f>
        <v>ICICIGI</v>
      </c>
      <c r="B99" s="75">
        <f>VLOOKUP($A99,'Data Vlaue (Cr)'!$C:$FB,2)</f>
        <v>325</v>
      </c>
      <c r="C99" s="75">
        <f>VLOOKUP($A99,'Data Vlaue (Cr)'!$C:$FB,8)</f>
        <v>1968.5</v>
      </c>
      <c r="D99" s="75">
        <f>VLOOKUP($A99,'Data Vlaue (Cr)'!$C:$FB,4)</f>
        <v>1975.2</v>
      </c>
      <c r="E99" s="75">
        <f>VLOOKUP($A99,'Data Vlaue (Cr)'!$C:$FB,5)</f>
        <v>1953.2</v>
      </c>
      <c r="F99" s="75">
        <f t="shared" si="6"/>
        <v>6.7000000000000455</v>
      </c>
      <c r="G99" s="75">
        <f t="shared" si="7"/>
        <v>1.1138112596192791</v>
      </c>
      <c r="H99" s="75">
        <f>VLOOKUP($A99,'Data Vlaue (Cr)'!$C:$FB,99)</f>
        <v>1253</v>
      </c>
      <c r="I99" s="75">
        <f>VLOOKUP($A99,'Data Vlaue (Cr)'!$C:$FB,100)</f>
        <v>1223</v>
      </c>
      <c r="J99" s="75">
        <f t="shared" si="8"/>
        <v>30</v>
      </c>
      <c r="K99" s="75">
        <f t="shared" si="9"/>
        <v>2.3942537909018355</v>
      </c>
      <c r="L99" s="75">
        <f>VLOOKUP($A99,'Data Vlaue (Cr)'!$C:$FB,67)</f>
        <v>345</v>
      </c>
      <c r="M99" s="75">
        <f>VLOOKUP($A99,'Data Vlaue (Cr)'!$C:$FB,68)</f>
        <v>328</v>
      </c>
      <c r="N99" s="75">
        <f t="shared" si="10"/>
        <v>17</v>
      </c>
      <c r="O99" s="75">
        <f t="shared" si="11"/>
        <v>4.9275362318840585</v>
      </c>
      <c r="P99" s="75">
        <f>VLOOKUP($A99,'Data Vlaue (Cr)'!$C:$FB,119)</f>
        <v>0.78</v>
      </c>
      <c r="Q99" s="75">
        <f>VLOOKUP($A99,'Data Vlaue (Cr)'!$C:$FB,122)*100</f>
        <v>-11.360000000000001</v>
      </c>
      <c r="R99" s="75">
        <f>VLOOKUP($A99,'Data Vlaue (Cr)'!$C:$FB,125)</f>
        <v>0.31</v>
      </c>
      <c r="S99" s="75">
        <f>VLOOKUP($A99,'Data Vlaue (Cr)'!$C:$FB,128)*100</f>
        <v>-50</v>
      </c>
    </row>
    <row r="100" spans="1:19" x14ac:dyDescent="0.25">
      <c r="A100" s="96" t="str">
        <f>'Data Vlaue (Cr)'!C91</f>
        <v>ICICIPRULI</v>
      </c>
      <c r="B100" s="75">
        <f>VLOOKUP($A100,'Data Vlaue (Cr)'!$C:$FB,2)</f>
        <v>925</v>
      </c>
      <c r="C100" s="75">
        <f>VLOOKUP($A100,'Data Vlaue (Cr)'!$C:$FB,8)</f>
        <v>632.04999999999995</v>
      </c>
      <c r="D100" s="75">
        <f>VLOOKUP($A100,'Data Vlaue (Cr)'!$C:$FB,4)</f>
        <v>634.04999999999995</v>
      </c>
      <c r="E100" s="75">
        <f>VLOOKUP($A100,'Data Vlaue (Cr)'!$C:$FB,5)</f>
        <v>634.1</v>
      </c>
      <c r="F100" s="75">
        <f t="shared" si="6"/>
        <v>2</v>
      </c>
      <c r="G100" s="75">
        <f t="shared" si="7"/>
        <v>-7.885813421665203E-3</v>
      </c>
      <c r="H100" s="75">
        <f>VLOOKUP($A100,'Data Vlaue (Cr)'!$C:$FB,99)</f>
        <v>1129</v>
      </c>
      <c r="I100" s="75">
        <f>VLOOKUP($A100,'Data Vlaue (Cr)'!$C:$FB,100)</f>
        <v>1113</v>
      </c>
      <c r="J100" s="75">
        <f t="shared" si="8"/>
        <v>16</v>
      </c>
      <c r="K100" s="75">
        <f t="shared" si="9"/>
        <v>1.4171833480956599</v>
      </c>
      <c r="L100" s="75">
        <f>VLOOKUP($A100,'Data Vlaue (Cr)'!$C:$FB,67)</f>
        <v>210</v>
      </c>
      <c r="M100" s="75">
        <f>VLOOKUP($A100,'Data Vlaue (Cr)'!$C:$FB,68)</f>
        <v>331</v>
      </c>
      <c r="N100" s="75">
        <f t="shared" si="10"/>
        <v>-121</v>
      </c>
      <c r="O100" s="75">
        <f t="shared" si="11"/>
        <v>-57.619047619047613</v>
      </c>
      <c r="P100" s="75">
        <f>VLOOKUP($A100,'Data Vlaue (Cr)'!$C:$FB,119)</f>
        <v>0.72</v>
      </c>
      <c r="Q100" s="75">
        <f>VLOOKUP($A100,'Data Vlaue (Cr)'!$C:$FB,122)*100</f>
        <v>5.88</v>
      </c>
      <c r="R100" s="75">
        <f>VLOOKUP($A100,'Data Vlaue (Cr)'!$C:$FB,125)</f>
        <v>0.28999999999999998</v>
      </c>
      <c r="S100" s="75">
        <f>VLOOKUP($A100,'Data Vlaue (Cr)'!$C:$FB,128)*100</f>
        <v>-14.71</v>
      </c>
    </row>
    <row r="101" spans="1:19" x14ac:dyDescent="0.25">
      <c r="A101" s="96" t="str">
        <f>'Data Vlaue (Cr)'!C92</f>
        <v>IDEA</v>
      </c>
      <c r="B101" s="75">
        <f>VLOOKUP($A101,'Data Vlaue (Cr)'!$C:$FB,2)</f>
        <v>71475</v>
      </c>
      <c r="C101" s="75">
        <f>VLOOKUP($A101,'Data Vlaue (Cr)'!$C:$FB,8)</f>
        <v>6.79</v>
      </c>
      <c r="D101" s="75">
        <f>VLOOKUP($A101,'Data Vlaue (Cr)'!$C:$FB,4)</f>
        <v>6.79</v>
      </c>
      <c r="E101" s="75">
        <f>VLOOKUP($A101,'Data Vlaue (Cr)'!$C:$FB,5)</f>
        <v>6.6</v>
      </c>
      <c r="F101" s="75">
        <f t="shared" si="6"/>
        <v>0</v>
      </c>
      <c r="G101" s="75">
        <f t="shared" si="7"/>
        <v>2.7982326951399172</v>
      </c>
      <c r="H101" s="75">
        <f>VLOOKUP($A101,'Data Vlaue (Cr)'!$C:$FB,99)</f>
        <v>5189</v>
      </c>
      <c r="I101" s="75">
        <f>VLOOKUP($A101,'Data Vlaue (Cr)'!$C:$FB,100)</f>
        <v>5153</v>
      </c>
      <c r="J101" s="75">
        <f t="shared" si="8"/>
        <v>36</v>
      </c>
      <c r="K101" s="75">
        <f t="shared" si="9"/>
        <v>0.69377529389092307</v>
      </c>
      <c r="L101" s="75">
        <f>VLOOKUP($A101,'Data Vlaue (Cr)'!$C:$FB,67)</f>
        <v>1598</v>
      </c>
      <c r="M101" s="75">
        <f>VLOOKUP($A101,'Data Vlaue (Cr)'!$C:$FB,68)</f>
        <v>1483</v>
      </c>
      <c r="N101" s="75">
        <f t="shared" si="10"/>
        <v>115</v>
      </c>
      <c r="O101" s="75">
        <f t="shared" si="11"/>
        <v>7.1964956195244056</v>
      </c>
      <c r="P101" s="75">
        <f>VLOOKUP($A101,'Data Vlaue (Cr)'!$C:$FB,119)</f>
        <v>0.5</v>
      </c>
      <c r="Q101" s="75">
        <f>VLOOKUP($A101,'Data Vlaue (Cr)'!$C:$FB,122)*100</f>
        <v>0</v>
      </c>
      <c r="R101" s="75">
        <f>VLOOKUP($A101,'Data Vlaue (Cr)'!$C:$FB,125)</f>
        <v>0.28000000000000003</v>
      </c>
      <c r="S101" s="75">
        <f>VLOOKUP($A101,'Data Vlaue (Cr)'!$C:$FB,128)*100</f>
        <v>7.6899999999999995</v>
      </c>
    </row>
    <row r="102" spans="1:19" x14ac:dyDescent="0.25">
      <c r="A102" s="96" t="str">
        <f>'Data Vlaue (Cr)'!C93</f>
        <v>IDFCFIRSTB</v>
      </c>
      <c r="B102" s="75">
        <f>VLOOKUP($A102,'Data Vlaue (Cr)'!$C:$FB,2)</f>
        <v>9275</v>
      </c>
      <c r="C102" s="75">
        <f>VLOOKUP($A102,'Data Vlaue (Cr)'!$C:$FB,8)</f>
        <v>71.25</v>
      </c>
      <c r="D102" s="75">
        <f>VLOOKUP($A102,'Data Vlaue (Cr)'!$C:$FB,4)</f>
        <v>71.27</v>
      </c>
      <c r="E102" s="75">
        <f>VLOOKUP($A102,'Data Vlaue (Cr)'!$C:$FB,5)</f>
        <v>71.489999999999995</v>
      </c>
      <c r="F102" s="75">
        <f t="shared" si="6"/>
        <v>1.9999999999996021E-2</v>
      </c>
      <c r="G102" s="75">
        <f t="shared" si="7"/>
        <v>-0.30868528132453893</v>
      </c>
      <c r="H102" s="75">
        <f>VLOOKUP($A102,'Data Vlaue (Cr)'!$C:$FB,99)</f>
        <v>4189</v>
      </c>
      <c r="I102" s="75">
        <f>VLOOKUP($A102,'Data Vlaue (Cr)'!$C:$FB,100)</f>
        <v>4147</v>
      </c>
      <c r="J102" s="75">
        <f t="shared" si="8"/>
        <v>42</v>
      </c>
      <c r="K102" s="75">
        <f t="shared" si="9"/>
        <v>1.0026259250417759</v>
      </c>
      <c r="L102" s="75">
        <f>VLOOKUP($A102,'Data Vlaue (Cr)'!$C:$FB,67)</f>
        <v>905</v>
      </c>
      <c r="M102" s="75">
        <f>VLOOKUP($A102,'Data Vlaue (Cr)'!$C:$FB,68)</f>
        <v>1822</v>
      </c>
      <c r="N102" s="75">
        <f t="shared" si="10"/>
        <v>-917</v>
      </c>
      <c r="O102" s="75">
        <f t="shared" si="11"/>
        <v>-101.32596685082873</v>
      </c>
      <c r="P102" s="75">
        <f>VLOOKUP($A102,'Data Vlaue (Cr)'!$C:$FB,119)</f>
        <v>0.78</v>
      </c>
      <c r="Q102" s="75">
        <f>VLOOKUP($A102,'Data Vlaue (Cr)'!$C:$FB,122)*100</f>
        <v>-4.88</v>
      </c>
      <c r="R102" s="75">
        <f>VLOOKUP($A102,'Data Vlaue (Cr)'!$C:$FB,125)</f>
        <v>0.66</v>
      </c>
      <c r="S102" s="75">
        <f>VLOOKUP($A102,'Data Vlaue (Cr)'!$C:$FB,128)*100</f>
        <v>-5.71</v>
      </c>
    </row>
    <row r="103" spans="1:19" x14ac:dyDescent="0.25">
      <c r="A103" s="96" t="str">
        <f>'Data Vlaue (Cr)'!C94</f>
        <v>IEX</v>
      </c>
      <c r="B103" s="75">
        <f>VLOOKUP($A103,'Data Vlaue (Cr)'!$C:$FB,2)</f>
        <v>3750</v>
      </c>
      <c r="C103" s="75">
        <f>VLOOKUP($A103,'Data Vlaue (Cr)'!$C:$FB,8)</f>
        <v>143.15</v>
      </c>
      <c r="D103" s="75">
        <f>VLOOKUP($A103,'Data Vlaue (Cr)'!$C:$FB,4)</f>
        <v>143.63999999999999</v>
      </c>
      <c r="E103" s="75">
        <f>VLOOKUP($A103,'Data Vlaue (Cr)'!$C:$FB,5)</f>
        <v>142.19999999999999</v>
      </c>
      <c r="F103" s="75">
        <f t="shared" si="6"/>
        <v>0.48999999999998067</v>
      </c>
      <c r="G103" s="75">
        <f t="shared" si="7"/>
        <v>1.002506265664159</v>
      </c>
      <c r="H103" s="75">
        <f>VLOOKUP($A103,'Data Vlaue (Cr)'!$C:$FB,99)</f>
        <v>1762</v>
      </c>
      <c r="I103" s="75">
        <f>VLOOKUP($A103,'Data Vlaue (Cr)'!$C:$FB,100)</f>
        <v>1776</v>
      </c>
      <c r="J103" s="75">
        <f t="shared" si="8"/>
        <v>-14</v>
      </c>
      <c r="K103" s="75">
        <f t="shared" si="9"/>
        <v>-0.79455164585698068</v>
      </c>
      <c r="L103" s="75">
        <f>VLOOKUP($A103,'Data Vlaue (Cr)'!$C:$FB,67)</f>
        <v>897</v>
      </c>
      <c r="M103" s="75">
        <f>VLOOKUP($A103,'Data Vlaue (Cr)'!$C:$FB,68)</f>
        <v>680</v>
      </c>
      <c r="N103" s="75">
        <f t="shared" si="10"/>
        <v>217</v>
      </c>
      <c r="O103" s="75">
        <f t="shared" si="11"/>
        <v>24.191750278706799</v>
      </c>
      <c r="P103" s="75">
        <f>VLOOKUP($A103,'Data Vlaue (Cr)'!$C:$FB,119)</f>
        <v>0.75</v>
      </c>
      <c r="Q103" s="75">
        <f>VLOOKUP($A103,'Data Vlaue (Cr)'!$C:$FB,122)*100</f>
        <v>4.17</v>
      </c>
      <c r="R103" s="75">
        <f>VLOOKUP($A103,'Data Vlaue (Cr)'!$C:$FB,125)</f>
        <v>0.65</v>
      </c>
      <c r="S103" s="75">
        <f>VLOOKUP($A103,'Data Vlaue (Cr)'!$C:$FB,128)*100</f>
        <v>-8.4500000000000011</v>
      </c>
    </row>
    <row r="104" spans="1:19" x14ac:dyDescent="0.25">
      <c r="A104" s="96" t="str">
        <f>'Data Vlaue (Cr)'!C95</f>
        <v>IGL</v>
      </c>
      <c r="B104" s="75">
        <f>VLOOKUP($A104,'Data Vlaue (Cr)'!$C:$FB,2)</f>
        <v>2750</v>
      </c>
      <c r="C104" s="75">
        <f>VLOOKUP($A104,'Data Vlaue (Cr)'!$C:$FB,8)</f>
        <v>205.23</v>
      </c>
      <c r="D104" s="75">
        <f>VLOOKUP($A104,'Data Vlaue (Cr)'!$C:$FB,4)</f>
        <v>205.82</v>
      </c>
      <c r="E104" s="75">
        <f>VLOOKUP($A104,'Data Vlaue (Cr)'!$C:$FB,5)</f>
        <v>204.81</v>
      </c>
      <c r="F104" s="75">
        <f t="shared" si="6"/>
        <v>0.59000000000000341</v>
      </c>
      <c r="G104" s="75">
        <f t="shared" si="7"/>
        <v>0.49072004664269314</v>
      </c>
      <c r="H104" s="75">
        <f>VLOOKUP($A104,'Data Vlaue (Cr)'!$C:$FB,99)</f>
        <v>687</v>
      </c>
      <c r="I104" s="75">
        <f>VLOOKUP($A104,'Data Vlaue (Cr)'!$C:$FB,100)</f>
        <v>658</v>
      </c>
      <c r="J104" s="75">
        <f t="shared" si="8"/>
        <v>29</v>
      </c>
      <c r="K104" s="75">
        <f t="shared" si="9"/>
        <v>4.2212518195050945</v>
      </c>
      <c r="L104" s="75">
        <f>VLOOKUP($A104,'Data Vlaue (Cr)'!$C:$FB,67)</f>
        <v>409</v>
      </c>
      <c r="M104" s="75">
        <f>VLOOKUP($A104,'Data Vlaue (Cr)'!$C:$FB,68)</f>
        <v>196</v>
      </c>
      <c r="N104" s="75">
        <f t="shared" si="10"/>
        <v>213</v>
      </c>
      <c r="O104" s="75">
        <f t="shared" si="11"/>
        <v>52.078239608801958</v>
      </c>
      <c r="P104" s="75">
        <f>VLOOKUP($A104,'Data Vlaue (Cr)'!$C:$FB,119)</f>
        <v>0.65</v>
      </c>
      <c r="Q104" s="75">
        <f>VLOOKUP($A104,'Data Vlaue (Cr)'!$C:$FB,122)*100</f>
        <v>-2.9899999999999998</v>
      </c>
      <c r="R104" s="75">
        <f>VLOOKUP($A104,'Data Vlaue (Cr)'!$C:$FB,125)</f>
        <v>0.27</v>
      </c>
      <c r="S104" s="75">
        <f>VLOOKUP($A104,'Data Vlaue (Cr)'!$C:$FB,128)*100</f>
        <v>-15.620000000000001</v>
      </c>
    </row>
    <row r="105" spans="1:19" x14ac:dyDescent="0.25">
      <c r="A105" s="96" t="str">
        <f>'Data Vlaue (Cr)'!C96</f>
        <v>IIFL</v>
      </c>
      <c r="B105" s="75">
        <f>VLOOKUP($A105,'Data Vlaue (Cr)'!$C:$FB,2)</f>
        <v>1650</v>
      </c>
      <c r="C105" s="75">
        <f>VLOOKUP($A105,'Data Vlaue (Cr)'!$C:$FB,8)</f>
        <v>471.5</v>
      </c>
      <c r="D105" s="75">
        <f>VLOOKUP($A105,'Data Vlaue (Cr)'!$C:$FB,4)</f>
        <v>471.55</v>
      </c>
      <c r="E105" s="75">
        <f>VLOOKUP($A105,'Data Vlaue (Cr)'!$C:$FB,5)</f>
        <v>472.25</v>
      </c>
      <c r="F105" s="75">
        <f t="shared" si="6"/>
        <v>5.0000000000011369E-2</v>
      </c>
      <c r="G105" s="75">
        <f t="shared" si="7"/>
        <v>-0.14844661223623976</v>
      </c>
      <c r="H105" s="75">
        <f>VLOOKUP($A105,'Data Vlaue (Cr)'!$C:$FB,99)</f>
        <v>1027</v>
      </c>
      <c r="I105" s="75">
        <f>VLOOKUP($A105,'Data Vlaue (Cr)'!$C:$FB,100)</f>
        <v>1053</v>
      </c>
      <c r="J105" s="75">
        <f t="shared" si="8"/>
        <v>-26</v>
      </c>
      <c r="K105" s="75">
        <f t="shared" si="9"/>
        <v>-2.5316455696202533</v>
      </c>
      <c r="L105" s="75">
        <f>VLOOKUP($A105,'Data Vlaue (Cr)'!$C:$FB,67)</f>
        <v>525</v>
      </c>
      <c r="M105" s="75">
        <f>VLOOKUP($A105,'Data Vlaue (Cr)'!$C:$FB,68)</f>
        <v>1500</v>
      </c>
      <c r="N105" s="75">
        <f t="shared" si="10"/>
        <v>-975</v>
      </c>
      <c r="O105" s="75">
        <f t="shared" si="11"/>
        <v>-185.71428571428572</v>
      </c>
      <c r="P105" s="75">
        <f>VLOOKUP($A105,'Data Vlaue (Cr)'!$C:$FB,119)</f>
        <v>0.57999999999999996</v>
      </c>
      <c r="Q105" s="75">
        <f>VLOOKUP($A105,'Data Vlaue (Cr)'!$C:$FB,122)*100</f>
        <v>1.7500000000000002</v>
      </c>
      <c r="R105" s="75">
        <f>VLOOKUP($A105,'Data Vlaue (Cr)'!$C:$FB,125)</f>
        <v>0.49</v>
      </c>
      <c r="S105" s="75">
        <f>VLOOKUP($A105,'Data Vlaue (Cr)'!$C:$FB,128)*100</f>
        <v>63.33</v>
      </c>
    </row>
    <row r="106" spans="1:19" x14ac:dyDescent="0.25">
      <c r="A106" s="96" t="str">
        <f>'Data Vlaue (Cr)'!C97</f>
        <v>INDHOTEL</v>
      </c>
      <c r="B106" s="75">
        <f>VLOOKUP($A106,'Data Vlaue (Cr)'!$C:$FB,2)</f>
        <v>1000</v>
      </c>
      <c r="C106" s="75">
        <f>VLOOKUP($A106,'Data Vlaue (Cr)'!$C:$FB,8)</f>
        <v>806.8</v>
      </c>
      <c r="D106" s="75">
        <f>VLOOKUP($A106,'Data Vlaue (Cr)'!$C:$FB,4)</f>
        <v>807.4</v>
      </c>
      <c r="E106" s="75">
        <f>VLOOKUP($A106,'Data Vlaue (Cr)'!$C:$FB,5)</f>
        <v>777.6</v>
      </c>
      <c r="F106" s="75">
        <f t="shared" si="6"/>
        <v>0.60000000000002274</v>
      </c>
      <c r="G106" s="75">
        <f t="shared" si="7"/>
        <v>3.6908595491701703</v>
      </c>
      <c r="H106" s="75">
        <f>VLOOKUP($A106,'Data Vlaue (Cr)'!$C:$FB,99)</f>
        <v>3382</v>
      </c>
      <c r="I106" s="75">
        <f>VLOOKUP($A106,'Data Vlaue (Cr)'!$C:$FB,100)</f>
        <v>2999</v>
      </c>
      <c r="J106" s="75">
        <f t="shared" si="8"/>
        <v>383</v>
      </c>
      <c r="K106" s="75">
        <f t="shared" si="9"/>
        <v>11.324659964518037</v>
      </c>
      <c r="L106" s="75">
        <f>VLOOKUP($A106,'Data Vlaue (Cr)'!$C:$FB,67)</f>
        <v>10673</v>
      </c>
      <c r="M106" s="75">
        <f>VLOOKUP($A106,'Data Vlaue (Cr)'!$C:$FB,68)</f>
        <v>1091</v>
      </c>
      <c r="N106" s="75">
        <f t="shared" si="10"/>
        <v>9582</v>
      </c>
      <c r="O106" s="75">
        <f t="shared" si="11"/>
        <v>89.777944345544839</v>
      </c>
      <c r="P106" s="75">
        <f>VLOOKUP($A106,'Data Vlaue (Cr)'!$C:$FB,119)</f>
        <v>0.82</v>
      </c>
      <c r="Q106" s="75">
        <f>VLOOKUP($A106,'Data Vlaue (Cr)'!$C:$FB,122)*100</f>
        <v>6.49</v>
      </c>
      <c r="R106" s="75">
        <f>VLOOKUP($A106,'Data Vlaue (Cr)'!$C:$FB,125)</f>
        <v>0.28999999999999998</v>
      </c>
      <c r="S106" s="75">
        <f>VLOOKUP($A106,'Data Vlaue (Cr)'!$C:$FB,128)*100</f>
        <v>-34.089999999999996</v>
      </c>
    </row>
    <row r="107" spans="1:19" x14ac:dyDescent="0.25">
      <c r="A107" s="96" t="str">
        <f>'Data Vlaue (Cr)'!C98</f>
        <v>INDIANB</v>
      </c>
      <c r="B107" s="75">
        <f>VLOOKUP($A107,'Data Vlaue (Cr)'!$C:$FB,2)</f>
        <v>1000</v>
      </c>
      <c r="C107" s="75">
        <f>VLOOKUP($A107,'Data Vlaue (Cr)'!$C:$FB,8)</f>
        <v>670.05</v>
      </c>
      <c r="D107" s="75">
        <f>VLOOKUP($A107,'Data Vlaue (Cr)'!$C:$FB,4)</f>
        <v>671.5</v>
      </c>
      <c r="E107" s="75">
        <f>VLOOKUP($A107,'Data Vlaue (Cr)'!$C:$FB,5)</f>
        <v>673</v>
      </c>
      <c r="F107" s="75">
        <f t="shared" si="6"/>
        <v>1.4500000000000455</v>
      </c>
      <c r="G107" s="75">
        <f t="shared" si="7"/>
        <v>-0.22338049143708116</v>
      </c>
      <c r="H107" s="75">
        <f>VLOOKUP($A107,'Data Vlaue (Cr)'!$C:$FB,99)</f>
        <v>805</v>
      </c>
      <c r="I107" s="75">
        <f>VLOOKUP($A107,'Data Vlaue (Cr)'!$C:$FB,100)</f>
        <v>807</v>
      </c>
      <c r="J107" s="75">
        <f t="shared" si="8"/>
        <v>-2</v>
      </c>
      <c r="K107" s="75">
        <f t="shared" si="9"/>
        <v>-0.2484472049689441</v>
      </c>
      <c r="L107" s="75">
        <f>VLOOKUP($A107,'Data Vlaue (Cr)'!$C:$FB,67)</f>
        <v>253</v>
      </c>
      <c r="M107" s="75">
        <f>VLOOKUP($A107,'Data Vlaue (Cr)'!$C:$FB,68)</f>
        <v>482</v>
      </c>
      <c r="N107" s="75">
        <f t="shared" si="10"/>
        <v>-229</v>
      </c>
      <c r="O107" s="75">
        <f t="shared" si="11"/>
        <v>-90.51383399209486</v>
      </c>
      <c r="P107" s="75">
        <f>VLOOKUP($A107,'Data Vlaue (Cr)'!$C:$FB,119)</f>
        <v>0.7</v>
      </c>
      <c r="Q107" s="75">
        <f>VLOOKUP($A107,'Data Vlaue (Cr)'!$C:$FB,122)*100</f>
        <v>-4.1099999999999994</v>
      </c>
      <c r="R107" s="75">
        <f>VLOOKUP($A107,'Data Vlaue (Cr)'!$C:$FB,125)</f>
        <v>0.34</v>
      </c>
      <c r="S107" s="75">
        <f>VLOOKUP($A107,'Data Vlaue (Cr)'!$C:$FB,128)*100</f>
        <v>6.25</v>
      </c>
    </row>
    <row r="108" spans="1:19" x14ac:dyDescent="0.25">
      <c r="A108" s="96" t="str">
        <f>'Data Vlaue (Cr)'!C99</f>
        <v>INDIAVIX</v>
      </c>
      <c r="B108" s="75">
        <f>VLOOKUP($A108,'Data Vlaue (Cr)'!$C:$FB,2)</f>
        <v>1</v>
      </c>
      <c r="C108" s="75">
        <f>VLOOKUP($A108,'Data Vlaue (Cr)'!$C:$FB,8)</f>
        <v>11.79</v>
      </c>
      <c r="D108" s="75">
        <f>VLOOKUP($A108,'Data Vlaue (Cr)'!$C:$FB,4)</f>
        <v>11.79</v>
      </c>
      <c r="E108" s="75">
        <f>VLOOKUP($A108,'Data Vlaue (Cr)'!$C:$FB,5)</f>
        <v>11.79</v>
      </c>
      <c r="F108" s="75">
        <f t="shared" si="6"/>
        <v>0</v>
      </c>
      <c r="G108" s="75">
        <f t="shared" si="7"/>
        <v>0</v>
      </c>
      <c r="H108" s="75">
        <f>VLOOKUP($A108,'Data Vlaue (Cr)'!$C:$FB,99)</f>
        <v>0</v>
      </c>
      <c r="I108" s="75">
        <f>VLOOKUP($A108,'Data Vlaue (Cr)'!$C:$FB,100)</f>
        <v>0</v>
      </c>
      <c r="J108" s="75">
        <f t="shared" si="8"/>
        <v>0</v>
      </c>
      <c r="K108" s="75" t="e">
        <f t="shared" si="9"/>
        <v>#DIV/0!</v>
      </c>
      <c r="L108" s="75">
        <f>VLOOKUP($A108,'Data Vlaue (Cr)'!$C:$FB,67)</f>
        <v>0</v>
      </c>
      <c r="M108" s="75">
        <f>VLOOKUP($A108,'Data Vlaue (Cr)'!$C:$FB,68)</f>
        <v>0</v>
      </c>
      <c r="N108" s="75">
        <f t="shared" si="10"/>
        <v>0</v>
      </c>
      <c r="O108" s="75" t="e">
        <f t="shared" si="11"/>
        <v>#DIV/0!</v>
      </c>
      <c r="P108" s="75">
        <f>VLOOKUP($A108,'Data Vlaue (Cr)'!$C:$FB,119)</f>
        <v>0</v>
      </c>
      <c r="Q108" s="75">
        <f>VLOOKUP($A108,'Data Vlaue (Cr)'!$C:$FB,122)*100</f>
        <v>0</v>
      </c>
      <c r="R108" s="75">
        <f>VLOOKUP($A108,'Data Vlaue (Cr)'!$C:$FB,125)</f>
        <v>0</v>
      </c>
      <c r="S108" s="75">
        <f>VLOOKUP($A108,'Data Vlaue (Cr)'!$C:$FB,128)*100</f>
        <v>0</v>
      </c>
    </row>
    <row r="109" spans="1:19" x14ac:dyDescent="0.25">
      <c r="A109" s="96" t="str">
        <f>'Data Vlaue (Cr)'!C100</f>
        <v>INDIGO</v>
      </c>
      <c r="B109" s="75">
        <f>VLOOKUP($A109,'Data Vlaue (Cr)'!$C:$FB,2)</f>
        <v>150</v>
      </c>
      <c r="C109" s="75">
        <f>VLOOKUP($A109,'Data Vlaue (Cr)'!$C:$FB,8)</f>
        <v>6155.5</v>
      </c>
      <c r="D109" s="75">
        <f>VLOOKUP($A109,'Data Vlaue (Cr)'!$C:$FB,4)</f>
        <v>6145</v>
      </c>
      <c r="E109" s="75">
        <f>VLOOKUP($A109,'Data Vlaue (Cr)'!$C:$FB,5)</f>
        <v>6065.5</v>
      </c>
      <c r="F109" s="75">
        <f t="shared" si="6"/>
        <v>-10.5</v>
      </c>
      <c r="G109" s="75">
        <f t="shared" si="7"/>
        <v>1.2937347436940603</v>
      </c>
      <c r="H109" s="75">
        <f>VLOOKUP($A109,'Data Vlaue (Cr)'!$C:$FB,99)</f>
        <v>6593</v>
      </c>
      <c r="I109" s="75">
        <f>VLOOKUP($A109,'Data Vlaue (Cr)'!$C:$FB,100)</f>
        <v>6172</v>
      </c>
      <c r="J109" s="75">
        <f t="shared" si="8"/>
        <v>421</v>
      </c>
      <c r="K109" s="75">
        <f t="shared" si="9"/>
        <v>6.3855604428939783</v>
      </c>
      <c r="L109" s="75">
        <f>VLOOKUP($A109,'Data Vlaue (Cr)'!$C:$FB,67)</f>
        <v>4058</v>
      </c>
      <c r="M109" s="75">
        <f>VLOOKUP($A109,'Data Vlaue (Cr)'!$C:$FB,68)</f>
        <v>2684</v>
      </c>
      <c r="N109" s="75">
        <f t="shared" si="10"/>
        <v>1374</v>
      </c>
      <c r="O109" s="75">
        <f t="shared" si="11"/>
        <v>33.859043863972396</v>
      </c>
      <c r="P109" s="75">
        <f>VLOOKUP($A109,'Data Vlaue (Cr)'!$C:$FB,119)</f>
        <v>1.02</v>
      </c>
      <c r="Q109" s="75">
        <f>VLOOKUP($A109,'Data Vlaue (Cr)'!$C:$FB,122)*100</f>
        <v>6.25</v>
      </c>
      <c r="R109" s="75">
        <f>VLOOKUP($A109,'Data Vlaue (Cr)'!$C:$FB,125)</f>
        <v>0.44</v>
      </c>
      <c r="S109" s="75">
        <f>VLOOKUP($A109,'Data Vlaue (Cr)'!$C:$FB,128)*100</f>
        <v>-44.3</v>
      </c>
    </row>
    <row r="110" spans="1:19" x14ac:dyDescent="0.25">
      <c r="A110" s="96" t="str">
        <f>'Data Vlaue (Cr)'!C101</f>
        <v>INDUSINDBK</v>
      </c>
      <c r="B110" s="75">
        <f>VLOOKUP($A110,'Data Vlaue (Cr)'!$C:$FB,2)</f>
        <v>700</v>
      </c>
      <c r="C110" s="75">
        <f>VLOOKUP($A110,'Data Vlaue (Cr)'!$C:$FB,8)</f>
        <v>778.2</v>
      </c>
      <c r="D110" s="75">
        <f>VLOOKUP($A110,'Data Vlaue (Cr)'!$C:$FB,4)</f>
        <v>780.1</v>
      </c>
      <c r="E110" s="75">
        <f>VLOOKUP($A110,'Data Vlaue (Cr)'!$C:$FB,5)</f>
        <v>786.35</v>
      </c>
      <c r="F110" s="75">
        <f t="shared" si="6"/>
        <v>1.8999999999999773</v>
      </c>
      <c r="G110" s="75">
        <f t="shared" si="7"/>
        <v>-0.80117933598256641</v>
      </c>
      <c r="H110" s="75">
        <f>VLOOKUP($A110,'Data Vlaue (Cr)'!$C:$FB,99)</f>
        <v>6363</v>
      </c>
      <c r="I110" s="75">
        <f>VLOOKUP($A110,'Data Vlaue (Cr)'!$C:$FB,100)</f>
        <v>6259</v>
      </c>
      <c r="J110" s="75">
        <f t="shared" si="8"/>
        <v>104</v>
      </c>
      <c r="K110" s="75">
        <f t="shared" si="9"/>
        <v>1.6344491592016346</v>
      </c>
      <c r="L110" s="75">
        <f>VLOOKUP($A110,'Data Vlaue (Cr)'!$C:$FB,67)</f>
        <v>1915</v>
      </c>
      <c r="M110" s="75">
        <f>VLOOKUP($A110,'Data Vlaue (Cr)'!$C:$FB,68)</f>
        <v>1752</v>
      </c>
      <c r="N110" s="75">
        <f t="shared" si="10"/>
        <v>163</v>
      </c>
      <c r="O110" s="75">
        <f t="shared" si="11"/>
        <v>8.5117493472584869</v>
      </c>
      <c r="P110" s="75">
        <f>VLOOKUP($A110,'Data Vlaue (Cr)'!$C:$FB,119)</f>
        <v>0.57999999999999996</v>
      </c>
      <c r="Q110" s="75">
        <f>VLOOKUP($A110,'Data Vlaue (Cr)'!$C:$FB,122)*100</f>
        <v>-6.45</v>
      </c>
      <c r="R110" s="75">
        <f>VLOOKUP($A110,'Data Vlaue (Cr)'!$C:$FB,125)</f>
        <v>0.49</v>
      </c>
      <c r="S110" s="75">
        <f>VLOOKUP($A110,'Data Vlaue (Cr)'!$C:$FB,128)*100</f>
        <v>-12.5</v>
      </c>
    </row>
    <row r="111" spans="1:19" x14ac:dyDescent="0.25">
      <c r="A111" s="96" t="str">
        <f>'Data Vlaue (Cr)'!C102</f>
        <v>INDUSTOWER</v>
      </c>
      <c r="B111" s="75">
        <f>VLOOKUP($A111,'Data Vlaue (Cr)'!$C:$FB,2)</f>
        <v>1700</v>
      </c>
      <c r="C111" s="75">
        <f>VLOOKUP($A111,'Data Vlaue (Cr)'!$C:$FB,8)</f>
        <v>349.1</v>
      </c>
      <c r="D111" s="75">
        <f>VLOOKUP($A111,'Data Vlaue (Cr)'!$C:$FB,4)</f>
        <v>349.4</v>
      </c>
      <c r="E111" s="75">
        <f>VLOOKUP($A111,'Data Vlaue (Cr)'!$C:$FB,5)</f>
        <v>341.25</v>
      </c>
      <c r="F111" s="75">
        <f t="shared" si="6"/>
        <v>0.29999999999995453</v>
      </c>
      <c r="G111" s="75">
        <f t="shared" si="7"/>
        <v>2.3325701202060611</v>
      </c>
      <c r="H111" s="75">
        <f>VLOOKUP($A111,'Data Vlaue (Cr)'!$C:$FB,99)</f>
        <v>4111</v>
      </c>
      <c r="I111" s="75">
        <f>VLOOKUP($A111,'Data Vlaue (Cr)'!$C:$FB,100)</f>
        <v>4036</v>
      </c>
      <c r="J111" s="75">
        <f t="shared" si="8"/>
        <v>75</v>
      </c>
      <c r="K111" s="75">
        <f t="shared" si="9"/>
        <v>1.8243736317197761</v>
      </c>
      <c r="L111" s="75">
        <f>VLOOKUP($A111,'Data Vlaue (Cr)'!$C:$FB,67)</f>
        <v>5350</v>
      </c>
      <c r="M111" s="75">
        <f>VLOOKUP($A111,'Data Vlaue (Cr)'!$C:$FB,68)</f>
        <v>2297</v>
      </c>
      <c r="N111" s="75">
        <f t="shared" si="10"/>
        <v>3053</v>
      </c>
      <c r="O111" s="75">
        <f t="shared" si="11"/>
        <v>57.065420560747661</v>
      </c>
      <c r="P111" s="75">
        <f>VLOOKUP($A111,'Data Vlaue (Cr)'!$C:$FB,119)</f>
        <v>0.68</v>
      </c>
      <c r="Q111" s="75">
        <f>VLOOKUP($A111,'Data Vlaue (Cr)'!$C:$FB,122)*100</f>
        <v>25.929999999999996</v>
      </c>
      <c r="R111" s="75">
        <f>VLOOKUP($A111,'Data Vlaue (Cr)'!$C:$FB,125)</f>
        <v>0.39</v>
      </c>
      <c r="S111" s="75">
        <f>VLOOKUP($A111,'Data Vlaue (Cr)'!$C:$FB,128)*100</f>
        <v>44.440000000000005</v>
      </c>
    </row>
    <row r="112" spans="1:19" x14ac:dyDescent="0.25">
      <c r="A112" s="96" t="str">
        <f>'Data Vlaue (Cr)'!C103</f>
        <v>INFY</v>
      </c>
      <c r="B112" s="75">
        <f>VLOOKUP($A112,'Data Vlaue (Cr)'!$C:$FB,2)</f>
        <v>400</v>
      </c>
      <c r="C112" s="75">
        <f>VLOOKUP($A112,'Data Vlaue (Cr)'!$C:$FB,8)</f>
        <v>1496.2</v>
      </c>
      <c r="D112" s="75">
        <f>VLOOKUP($A112,'Data Vlaue (Cr)'!$C:$FB,4)</f>
        <v>1498.5</v>
      </c>
      <c r="E112" s="75">
        <f>VLOOKUP($A112,'Data Vlaue (Cr)'!$C:$FB,5)</f>
        <v>1445.5</v>
      </c>
      <c r="F112" s="75">
        <f t="shared" si="6"/>
        <v>2.2999999999999545</v>
      </c>
      <c r="G112" s="75">
        <f t="shared" si="7"/>
        <v>3.5368702035368704</v>
      </c>
      <c r="H112" s="75">
        <f>VLOOKUP($A112,'Data Vlaue (Cr)'!$C:$FB,99)</f>
        <v>18885</v>
      </c>
      <c r="I112" s="75">
        <f>VLOOKUP($A112,'Data Vlaue (Cr)'!$C:$FB,100)</f>
        <v>19522</v>
      </c>
      <c r="J112" s="75">
        <f t="shared" si="8"/>
        <v>-637</v>
      </c>
      <c r="K112" s="75">
        <f t="shared" si="9"/>
        <v>-3.37304739211014</v>
      </c>
      <c r="L112" s="75">
        <f>VLOOKUP($A112,'Data Vlaue (Cr)'!$C:$FB,67)</f>
        <v>27260</v>
      </c>
      <c r="M112" s="75">
        <f>VLOOKUP($A112,'Data Vlaue (Cr)'!$C:$FB,68)</f>
        <v>5842</v>
      </c>
      <c r="N112" s="75">
        <f t="shared" si="10"/>
        <v>21418</v>
      </c>
      <c r="O112" s="75">
        <f t="shared" si="11"/>
        <v>78.569332355099036</v>
      </c>
      <c r="P112" s="75">
        <f>VLOOKUP($A112,'Data Vlaue (Cr)'!$C:$FB,119)</f>
        <v>0.68</v>
      </c>
      <c r="Q112" s="75">
        <f>VLOOKUP($A112,'Data Vlaue (Cr)'!$C:$FB,122)*100</f>
        <v>23.64</v>
      </c>
      <c r="R112" s="75">
        <f>VLOOKUP($A112,'Data Vlaue (Cr)'!$C:$FB,125)</f>
        <v>0.44</v>
      </c>
      <c r="S112" s="75">
        <f>VLOOKUP($A112,'Data Vlaue (Cr)'!$C:$FB,128)*100</f>
        <v>-8.33</v>
      </c>
    </row>
    <row r="113" spans="1:19" x14ac:dyDescent="0.25">
      <c r="A113" s="96" t="str">
        <f>'Data Vlaue (Cr)'!C104</f>
        <v>INOXWIND</v>
      </c>
      <c r="B113" s="75">
        <f>VLOOKUP($A113,'Data Vlaue (Cr)'!$C:$FB,2)</f>
        <v>3272</v>
      </c>
      <c r="C113" s="75">
        <f>VLOOKUP($A113,'Data Vlaue (Cr)'!$C:$FB,8)</f>
        <v>144.19</v>
      </c>
      <c r="D113" s="75">
        <f>VLOOKUP($A113,'Data Vlaue (Cr)'!$C:$FB,4)</f>
        <v>144.13</v>
      </c>
      <c r="E113" s="75">
        <f>VLOOKUP($A113,'Data Vlaue (Cr)'!$C:$FB,5)</f>
        <v>144.52000000000001</v>
      </c>
      <c r="F113" s="75">
        <f t="shared" si="6"/>
        <v>-6.0000000000002274E-2</v>
      </c>
      <c r="G113" s="75">
        <f t="shared" si="7"/>
        <v>-0.27058905155069368</v>
      </c>
      <c r="H113" s="75">
        <f>VLOOKUP($A113,'Data Vlaue (Cr)'!$C:$FB,99)</f>
        <v>1213</v>
      </c>
      <c r="I113" s="75">
        <f>VLOOKUP($A113,'Data Vlaue (Cr)'!$C:$FB,100)</f>
        <v>1227</v>
      </c>
      <c r="J113" s="75">
        <f t="shared" si="8"/>
        <v>-14</v>
      </c>
      <c r="K113" s="75">
        <f t="shared" si="9"/>
        <v>-1.1541632316570487</v>
      </c>
      <c r="L113" s="75">
        <f>VLOOKUP($A113,'Data Vlaue (Cr)'!$C:$FB,67)</f>
        <v>558</v>
      </c>
      <c r="M113" s="75">
        <f>VLOOKUP($A113,'Data Vlaue (Cr)'!$C:$FB,68)</f>
        <v>2830</v>
      </c>
      <c r="N113" s="75">
        <f t="shared" si="10"/>
        <v>-2272</v>
      </c>
      <c r="O113" s="75">
        <f t="shared" si="11"/>
        <v>-407.16845878136201</v>
      </c>
      <c r="P113" s="75">
        <f>VLOOKUP($A113,'Data Vlaue (Cr)'!$C:$FB,119)</f>
        <v>0.52</v>
      </c>
      <c r="Q113" s="75">
        <f>VLOOKUP($A113,'Data Vlaue (Cr)'!$C:$FB,122)*100</f>
        <v>1.96</v>
      </c>
      <c r="R113" s="75">
        <f>VLOOKUP($A113,'Data Vlaue (Cr)'!$C:$FB,125)</f>
        <v>0.34</v>
      </c>
      <c r="S113" s="75">
        <f>VLOOKUP($A113,'Data Vlaue (Cr)'!$C:$FB,128)*100</f>
        <v>25.929999999999996</v>
      </c>
    </row>
    <row r="114" spans="1:19" x14ac:dyDescent="0.25">
      <c r="A114" s="96" t="str">
        <f>'Data Vlaue (Cr)'!C105</f>
        <v>IOC</v>
      </c>
      <c r="B114" s="75">
        <f>VLOOKUP($A114,'Data Vlaue (Cr)'!$C:$FB,2)</f>
        <v>4875</v>
      </c>
      <c r="C114" s="75">
        <f>VLOOKUP($A114,'Data Vlaue (Cr)'!$C:$FB,8)</f>
        <v>141.44</v>
      </c>
      <c r="D114" s="75">
        <f>VLOOKUP($A114,'Data Vlaue (Cr)'!$C:$FB,4)</f>
        <v>141.71</v>
      </c>
      <c r="E114" s="75">
        <f>VLOOKUP($A114,'Data Vlaue (Cr)'!$C:$FB,5)</f>
        <v>142.47999999999999</v>
      </c>
      <c r="F114" s="75">
        <f t="shared" si="6"/>
        <v>0.27000000000001023</v>
      </c>
      <c r="G114" s="75">
        <f t="shared" si="7"/>
        <v>-0.54336320654857229</v>
      </c>
      <c r="H114" s="75">
        <f>VLOOKUP($A114,'Data Vlaue (Cr)'!$C:$FB,99)</f>
        <v>2266</v>
      </c>
      <c r="I114" s="75">
        <f>VLOOKUP($A114,'Data Vlaue (Cr)'!$C:$FB,100)</f>
        <v>2303</v>
      </c>
      <c r="J114" s="75">
        <f t="shared" si="8"/>
        <v>-37</v>
      </c>
      <c r="K114" s="75">
        <f t="shared" si="9"/>
        <v>-1.6328331862312444</v>
      </c>
      <c r="L114" s="75">
        <f>VLOOKUP($A114,'Data Vlaue (Cr)'!$C:$FB,67)</f>
        <v>1095</v>
      </c>
      <c r="M114" s="75">
        <f>VLOOKUP($A114,'Data Vlaue (Cr)'!$C:$FB,68)</f>
        <v>1466</v>
      </c>
      <c r="N114" s="75">
        <f t="shared" si="10"/>
        <v>-371</v>
      </c>
      <c r="O114" s="75">
        <f t="shared" si="11"/>
        <v>-33.881278538812786</v>
      </c>
      <c r="P114" s="75">
        <f>VLOOKUP($A114,'Data Vlaue (Cr)'!$C:$FB,119)</f>
        <v>0.85</v>
      </c>
      <c r="Q114" s="75">
        <f>VLOOKUP($A114,'Data Vlaue (Cr)'!$C:$FB,122)*100</f>
        <v>3.66</v>
      </c>
      <c r="R114" s="75">
        <f>VLOOKUP($A114,'Data Vlaue (Cr)'!$C:$FB,125)</f>
        <v>0.77</v>
      </c>
      <c r="S114" s="75">
        <f>VLOOKUP($A114,'Data Vlaue (Cr)'!$C:$FB,128)*100</f>
        <v>13.239999999999998</v>
      </c>
    </row>
    <row r="115" spans="1:19" x14ac:dyDescent="0.25">
      <c r="A115" s="96" t="str">
        <f>'Data Vlaue (Cr)'!C106</f>
        <v>IRB</v>
      </c>
      <c r="B115" s="75">
        <f>VLOOKUP($A115,'Data Vlaue (Cr)'!$C:$FB,2)</f>
        <v>11675</v>
      </c>
      <c r="C115" s="75">
        <f>VLOOKUP($A115,'Data Vlaue (Cr)'!$C:$FB,8)</f>
        <v>44.6</v>
      </c>
      <c r="D115" s="75">
        <f>VLOOKUP($A115,'Data Vlaue (Cr)'!$C:$FB,4)</f>
        <v>44.59</v>
      </c>
      <c r="E115" s="75">
        <f>VLOOKUP($A115,'Data Vlaue (Cr)'!$C:$FB,5)</f>
        <v>45.21</v>
      </c>
      <c r="F115" s="75">
        <f t="shared" si="6"/>
        <v>-9.9999999999980105E-3</v>
      </c>
      <c r="G115" s="75">
        <f t="shared" si="7"/>
        <v>-1.3904462884054662</v>
      </c>
      <c r="H115" s="75">
        <f>VLOOKUP($A115,'Data Vlaue (Cr)'!$C:$FB,99)</f>
        <v>507</v>
      </c>
      <c r="I115" s="75">
        <f>VLOOKUP($A115,'Data Vlaue (Cr)'!$C:$FB,100)</f>
        <v>516</v>
      </c>
      <c r="J115" s="75">
        <f t="shared" si="8"/>
        <v>-9</v>
      </c>
      <c r="K115" s="75">
        <f t="shared" si="9"/>
        <v>-1.7751479289940828</v>
      </c>
      <c r="L115" s="75">
        <f>VLOOKUP($A115,'Data Vlaue (Cr)'!$C:$FB,67)</f>
        <v>117</v>
      </c>
      <c r="M115" s="75">
        <f>VLOOKUP($A115,'Data Vlaue (Cr)'!$C:$FB,68)</f>
        <v>167</v>
      </c>
      <c r="N115" s="75">
        <f t="shared" si="10"/>
        <v>-50</v>
      </c>
      <c r="O115" s="75">
        <f t="shared" si="11"/>
        <v>-42.735042735042732</v>
      </c>
      <c r="P115" s="75">
        <f>VLOOKUP($A115,'Data Vlaue (Cr)'!$C:$FB,119)</f>
        <v>0.48</v>
      </c>
      <c r="Q115" s="75">
        <f>VLOOKUP($A115,'Data Vlaue (Cr)'!$C:$FB,122)*100</f>
        <v>-7.6899999999999995</v>
      </c>
      <c r="R115" s="75">
        <f>VLOOKUP($A115,'Data Vlaue (Cr)'!$C:$FB,125)</f>
        <v>0.47</v>
      </c>
      <c r="S115" s="75">
        <f>VLOOKUP($A115,'Data Vlaue (Cr)'!$C:$FB,128)*100</f>
        <v>80.77</v>
      </c>
    </row>
    <row r="116" spans="1:19" x14ac:dyDescent="0.25">
      <c r="A116" s="96" t="str">
        <f>'Data Vlaue (Cr)'!C107</f>
        <v>IRCTC</v>
      </c>
      <c r="B116" s="75">
        <f>VLOOKUP($A116,'Data Vlaue (Cr)'!$C:$FB,2)</f>
        <v>875</v>
      </c>
      <c r="C116" s="75">
        <f>VLOOKUP($A116,'Data Vlaue (Cr)'!$C:$FB,8)</f>
        <v>731.2</v>
      </c>
      <c r="D116" s="75">
        <f>VLOOKUP($A116,'Data Vlaue (Cr)'!$C:$FB,4)</f>
        <v>731.2</v>
      </c>
      <c r="E116" s="75">
        <f>VLOOKUP($A116,'Data Vlaue (Cr)'!$C:$FB,5)</f>
        <v>727.3</v>
      </c>
      <c r="F116" s="75">
        <f t="shared" si="6"/>
        <v>0</v>
      </c>
      <c r="G116" s="75">
        <f t="shared" si="7"/>
        <v>0.53336980306346971</v>
      </c>
      <c r="H116" s="75">
        <f>VLOOKUP($A116,'Data Vlaue (Cr)'!$C:$FB,99)</f>
        <v>2274</v>
      </c>
      <c r="I116" s="75">
        <f>VLOOKUP($A116,'Data Vlaue (Cr)'!$C:$FB,100)</f>
        <v>2236</v>
      </c>
      <c r="J116" s="75">
        <f t="shared" si="8"/>
        <v>38</v>
      </c>
      <c r="K116" s="75">
        <f t="shared" si="9"/>
        <v>1.6710642040457344</v>
      </c>
      <c r="L116" s="75">
        <f>VLOOKUP($A116,'Data Vlaue (Cr)'!$C:$FB,67)</f>
        <v>963</v>
      </c>
      <c r="M116" s="75">
        <f>VLOOKUP($A116,'Data Vlaue (Cr)'!$C:$FB,68)</f>
        <v>873</v>
      </c>
      <c r="N116" s="75">
        <f t="shared" si="10"/>
        <v>90</v>
      </c>
      <c r="O116" s="75">
        <f t="shared" si="11"/>
        <v>9.3457943925233646</v>
      </c>
      <c r="P116" s="75">
        <f>VLOOKUP($A116,'Data Vlaue (Cr)'!$C:$FB,119)</f>
        <v>0.7</v>
      </c>
      <c r="Q116" s="75">
        <f>VLOOKUP($A116,'Data Vlaue (Cr)'!$C:$FB,122)*100</f>
        <v>4.4799999999999995</v>
      </c>
      <c r="R116" s="75">
        <f>VLOOKUP($A116,'Data Vlaue (Cr)'!$C:$FB,125)</f>
        <v>0.31</v>
      </c>
      <c r="S116" s="75">
        <f>VLOOKUP($A116,'Data Vlaue (Cr)'!$C:$FB,128)*100</f>
        <v>-16.220000000000002</v>
      </c>
    </row>
    <row r="117" spans="1:19" x14ac:dyDescent="0.25">
      <c r="A117" s="96" t="str">
        <f>'Data Vlaue (Cr)'!C108</f>
        <v>IREDA</v>
      </c>
      <c r="B117" s="75">
        <f>VLOOKUP($A117,'Data Vlaue (Cr)'!$C:$FB,2)</f>
        <v>3450</v>
      </c>
      <c r="C117" s="75">
        <f>VLOOKUP($A117,'Data Vlaue (Cr)'!$C:$FB,8)</f>
        <v>148.78</v>
      </c>
      <c r="D117" s="75">
        <f>VLOOKUP($A117,'Data Vlaue (Cr)'!$C:$FB,4)</f>
        <v>148.58000000000001</v>
      </c>
      <c r="E117" s="75">
        <f>VLOOKUP($A117,'Data Vlaue (Cr)'!$C:$FB,5)</f>
        <v>148.84</v>
      </c>
      <c r="F117" s="75">
        <f t="shared" si="6"/>
        <v>-0.19999999999998863</v>
      </c>
      <c r="G117" s="75">
        <f t="shared" si="7"/>
        <v>-0.17498990442858453</v>
      </c>
      <c r="H117" s="75">
        <f>VLOOKUP($A117,'Data Vlaue (Cr)'!$C:$FB,99)</f>
        <v>1029</v>
      </c>
      <c r="I117" s="75">
        <f>VLOOKUP($A117,'Data Vlaue (Cr)'!$C:$FB,100)</f>
        <v>1014</v>
      </c>
      <c r="J117" s="75">
        <f t="shared" si="8"/>
        <v>15</v>
      </c>
      <c r="K117" s="75">
        <f t="shared" si="9"/>
        <v>1.4577259475218658</v>
      </c>
      <c r="L117" s="75">
        <f>VLOOKUP($A117,'Data Vlaue (Cr)'!$C:$FB,67)</f>
        <v>228</v>
      </c>
      <c r="M117" s="75">
        <f>VLOOKUP($A117,'Data Vlaue (Cr)'!$C:$FB,68)</f>
        <v>333</v>
      </c>
      <c r="N117" s="75">
        <f t="shared" si="10"/>
        <v>-105</v>
      </c>
      <c r="O117" s="75">
        <f t="shared" si="11"/>
        <v>-46.05263157894737</v>
      </c>
      <c r="P117" s="75">
        <f>VLOOKUP($A117,'Data Vlaue (Cr)'!$C:$FB,119)</f>
        <v>0.57999999999999996</v>
      </c>
      <c r="Q117" s="75">
        <f>VLOOKUP($A117,'Data Vlaue (Cr)'!$C:$FB,122)*100</f>
        <v>-1.69</v>
      </c>
      <c r="R117" s="75">
        <f>VLOOKUP($A117,'Data Vlaue (Cr)'!$C:$FB,125)</f>
        <v>0.56000000000000005</v>
      </c>
      <c r="S117" s="75">
        <f>VLOOKUP($A117,'Data Vlaue (Cr)'!$C:$FB,128)*100</f>
        <v>107.41000000000001</v>
      </c>
    </row>
    <row r="118" spans="1:19" x14ac:dyDescent="0.25">
      <c r="A118" s="96" t="str">
        <f>'Data Vlaue (Cr)'!C109</f>
        <v>IRFC</v>
      </c>
      <c r="B118" s="75">
        <f>VLOOKUP($A118,'Data Vlaue (Cr)'!$C:$FB,2)</f>
        <v>4250</v>
      </c>
      <c r="C118" s="75">
        <f>VLOOKUP($A118,'Data Vlaue (Cr)'!$C:$FB,8)</f>
        <v>126.73</v>
      </c>
      <c r="D118" s="75">
        <f>VLOOKUP($A118,'Data Vlaue (Cr)'!$C:$FB,4)</f>
        <v>127.2</v>
      </c>
      <c r="E118" s="75">
        <f>VLOOKUP($A118,'Data Vlaue (Cr)'!$C:$FB,5)</f>
        <v>127.27</v>
      </c>
      <c r="F118" s="75">
        <f t="shared" si="6"/>
        <v>0.46999999999999886</v>
      </c>
      <c r="G118" s="75">
        <f t="shared" si="7"/>
        <v>-5.5031446540875134E-2</v>
      </c>
      <c r="H118" s="75">
        <f>VLOOKUP($A118,'Data Vlaue (Cr)'!$C:$FB,99)</f>
        <v>1250</v>
      </c>
      <c r="I118" s="75">
        <f>VLOOKUP($A118,'Data Vlaue (Cr)'!$C:$FB,100)</f>
        <v>1219</v>
      </c>
      <c r="J118" s="75">
        <f t="shared" si="8"/>
        <v>31</v>
      </c>
      <c r="K118" s="75">
        <f t="shared" si="9"/>
        <v>2.48</v>
      </c>
      <c r="L118" s="75">
        <f>VLOOKUP($A118,'Data Vlaue (Cr)'!$C:$FB,67)</f>
        <v>543</v>
      </c>
      <c r="M118" s="75">
        <f>VLOOKUP($A118,'Data Vlaue (Cr)'!$C:$FB,68)</f>
        <v>580</v>
      </c>
      <c r="N118" s="75">
        <f t="shared" si="10"/>
        <v>-37</v>
      </c>
      <c r="O118" s="75">
        <f t="shared" si="11"/>
        <v>-6.8139963167587485</v>
      </c>
      <c r="P118" s="75">
        <f>VLOOKUP($A118,'Data Vlaue (Cr)'!$C:$FB,119)</f>
        <v>0.43</v>
      </c>
      <c r="Q118" s="75">
        <f>VLOOKUP($A118,'Data Vlaue (Cr)'!$C:$FB,122)*100</f>
        <v>0</v>
      </c>
      <c r="R118" s="75">
        <f>VLOOKUP($A118,'Data Vlaue (Cr)'!$C:$FB,125)</f>
        <v>0.42</v>
      </c>
      <c r="S118" s="75">
        <f>VLOOKUP($A118,'Data Vlaue (Cr)'!$C:$FB,128)*100</f>
        <v>31.25</v>
      </c>
    </row>
    <row r="119" spans="1:19" x14ac:dyDescent="0.25">
      <c r="A119" s="96" t="str">
        <f>'Data Vlaue (Cr)'!C110</f>
        <v>ITC</v>
      </c>
      <c r="B119" s="75">
        <f>VLOOKUP($A119,'Data Vlaue (Cr)'!$C:$FB,2)</f>
        <v>1600</v>
      </c>
      <c r="C119" s="75">
        <f>VLOOKUP($A119,'Data Vlaue (Cr)'!$C:$FB,8)</f>
        <v>406.05</v>
      </c>
      <c r="D119" s="75">
        <f>VLOOKUP($A119,'Data Vlaue (Cr)'!$C:$FB,4)</f>
        <v>407.25</v>
      </c>
      <c r="E119" s="75">
        <f>VLOOKUP($A119,'Data Vlaue (Cr)'!$C:$FB,5)</f>
        <v>409.55</v>
      </c>
      <c r="F119" s="75">
        <f t="shared" si="6"/>
        <v>1.1999999999999886</v>
      </c>
      <c r="G119" s="75">
        <f t="shared" si="7"/>
        <v>-0.5647636586863134</v>
      </c>
      <c r="H119" s="75">
        <f>VLOOKUP($A119,'Data Vlaue (Cr)'!$C:$FB,99)</f>
        <v>8097</v>
      </c>
      <c r="I119" s="75">
        <f>VLOOKUP($A119,'Data Vlaue (Cr)'!$C:$FB,100)</f>
        <v>7701</v>
      </c>
      <c r="J119" s="75">
        <f t="shared" si="8"/>
        <v>396</v>
      </c>
      <c r="K119" s="75">
        <f t="shared" si="9"/>
        <v>4.8907002593553166</v>
      </c>
      <c r="L119" s="75">
        <f>VLOOKUP($A119,'Data Vlaue (Cr)'!$C:$FB,67)</f>
        <v>4110</v>
      </c>
      <c r="M119" s="75">
        <f>VLOOKUP($A119,'Data Vlaue (Cr)'!$C:$FB,68)</f>
        <v>3632</v>
      </c>
      <c r="N119" s="75">
        <f t="shared" si="10"/>
        <v>478</v>
      </c>
      <c r="O119" s="75">
        <f t="shared" si="11"/>
        <v>11.630170316301705</v>
      </c>
      <c r="P119" s="75">
        <f>VLOOKUP($A119,'Data Vlaue (Cr)'!$C:$FB,119)</f>
        <v>0.54</v>
      </c>
      <c r="Q119" s="75">
        <f>VLOOKUP($A119,'Data Vlaue (Cr)'!$C:$FB,122)*100</f>
        <v>1.8900000000000001</v>
      </c>
      <c r="R119" s="75">
        <f>VLOOKUP($A119,'Data Vlaue (Cr)'!$C:$FB,125)</f>
        <v>0.54</v>
      </c>
      <c r="S119" s="75">
        <f>VLOOKUP($A119,'Data Vlaue (Cr)'!$C:$FB,128)*100</f>
        <v>-8.4699999999999989</v>
      </c>
    </row>
    <row r="120" spans="1:19" x14ac:dyDescent="0.25">
      <c r="A120" s="96" t="str">
        <f>'Data Vlaue (Cr)'!C111</f>
        <v>JINDALSTEL</v>
      </c>
      <c r="B120" s="75">
        <f>VLOOKUP($A120,'Data Vlaue (Cr)'!$C:$FB,2)</f>
        <v>625</v>
      </c>
      <c r="C120" s="75">
        <f>VLOOKUP($A120,'Data Vlaue (Cr)'!$C:$FB,8)</f>
        <v>1016.25</v>
      </c>
      <c r="D120" s="75">
        <f>VLOOKUP($A120,'Data Vlaue (Cr)'!$C:$FB,4)</f>
        <v>1014.8</v>
      </c>
      <c r="E120" s="75">
        <f>VLOOKUP($A120,'Data Vlaue (Cr)'!$C:$FB,5)</f>
        <v>1006.4</v>
      </c>
      <c r="F120" s="75">
        <f t="shared" si="6"/>
        <v>-1.4500000000000455</v>
      </c>
      <c r="G120" s="75">
        <f t="shared" si="7"/>
        <v>0.82774931020890596</v>
      </c>
      <c r="H120" s="75">
        <f>VLOOKUP($A120,'Data Vlaue (Cr)'!$C:$FB,99)</f>
        <v>2200</v>
      </c>
      <c r="I120" s="75">
        <f>VLOOKUP($A120,'Data Vlaue (Cr)'!$C:$FB,100)</f>
        <v>2203</v>
      </c>
      <c r="J120" s="75">
        <f t="shared" si="8"/>
        <v>-3</v>
      </c>
      <c r="K120" s="75">
        <f t="shared" si="9"/>
        <v>-0.13636363636363638</v>
      </c>
      <c r="L120" s="75">
        <f>VLOOKUP($A120,'Data Vlaue (Cr)'!$C:$FB,67)</f>
        <v>1632</v>
      </c>
      <c r="M120" s="75">
        <f>VLOOKUP($A120,'Data Vlaue (Cr)'!$C:$FB,68)</f>
        <v>1232</v>
      </c>
      <c r="N120" s="75">
        <f t="shared" si="10"/>
        <v>400</v>
      </c>
      <c r="O120" s="75">
        <f t="shared" si="11"/>
        <v>24.509803921568626</v>
      </c>
      <c r="P120" s="75">
        <f>VLOOKUP($A120,'Data Vlaue (Cr)'!$C:$FB,119)</f>
        <v>0.83</v>
      </c>
      <c r="Q120" s="75">
        <f>VLOOKUP($A120,'Data Vlaue (Cr)'!$C:$FB,122)*100</f>
        <v>5.0599999999999996</v>
      </c>
      <c r="R120" s="75">
        <f>VLOOKUP($A120,'Data Vlaue (Cr)'!$C:$FB,125)</f>
        <v>0.43</v>
      </c>
      <c r="S120" s="75">
        <f>VLOOKUP($A120,'Data Vlaue (Cr)'!$C:$FB,128)*100</f>
        <v>-6.52</v>
      </c>
    </row>
    <row r="121" spans="1:19" x14ac:dyDescent="0.25">
      <c r="A121" s="96" t="str">
        <f>'Data Vlaue (Cr)'!C112</f>
        <v>JIOFIN</v>
      </c>
      <c r="B121" s="75">
        <f>VLOOKUP($A121,'Data Vlaue (Cr)'!$C:$FB,2)</f>
        <v>2350</v>
      </c>
      <c r="C121" s="75">
        <f>VLOOKUP($A121,'Data Vlaue (Cr)'!$C:$FB,8)</f>
        <v>328.45</v>
      </c>
      <c r="D121" s="75">
        <f>VLOOKUP($A121,'Data Vlaue (Cr)'!$C:$FB,4)</f>
        <v>329.05</v>
      </c>
      <c r="E121" s="75">
        <f>VLOOKUP($A121,'Data Vlaue (Cr)'!$C:$FB,5)</f>
        <v>332.4</v>
      </c>
      <c r="F121" s="75">
        <f t="shared" si="6"/>
        <v>0.60000000000002274</v>
      </c>
      <c r="G121" s="75">
        <f t="shared" si="7"/>
        <v>-1.0180823583041987</v>
      </c>
      <c r="H121" s="75">
        <f>VLOOKUP($A121,'Data Vlaue (Cr)'!$C:$FB,99)</f>
        <v>7133</v>
      </c>
      <c r="I121" s="75">
        <f>VLOOKUP($A121,'Data Vlaue (Cr)'!$C:$FB,100)</f>
        <v>6968</v>
      </c>
      <c r="J121" s="75">
        <f t="shared" si="8"/>
        <v>165</v>
      </c>
      <c r="K121" s="75">
        <f t="shared" si="9"/>
        <v>2.3131922052432357</v>
      </c>
      <c r="L121" s="75">
        <f>VLOOKUP($A121,'Data Vlaue (Cr)'!$C:$FB,67)</f>
        <v>3111</v>
      </c>
      <c r="M121" s="75">
        <f>VLOOKUP($A121,'Data Vlaue (Cr)'!$C:$FB,68)</f>
        <v>3190</v>
      </c>
      <c r="N121" s="75">
        <f t="shared" si="10"/>
        <v>-79</v>
      </c>
      <c r="O121" s="75">
        <f t="shared" si="11"/>
        <v>-2.5393764063002249</v>
      </c>
      <c r="P121" s="75">
        <f>VLOOKUP($A121,'Data Vlaue (Cr)'!$C:$FB,119)</f>
        <v>0.7</v>
      </c>
      <c r="Q121" s="75">
        <f>VLOOKUP($A121,'Data Vlaue (Cr)'!$C:$FB,122)*100</f>
        <v>-9.09</v>
      </c>
      <c r="R121" s="75">
        <f>VLOOKUP($A121,'Data Vlaue (Cr)'!$C:$FB,125)</f>
        <v>0.54</v>
      </c>
      <c r="S121" s="75">
        <f>VLOOKUP($A121,'Data Vlaue (Cr)'!$C:$FB,128)*100</f>
        <v>-1.82</v>
      </c>
    </row>
    <row r="122" spans="1:19" x14ac:dyDescent="0.25">
      <c r="A122" s="96" t="str">
        <f>'Data Vlaue (Cr)'!C113</f>
        <v>JSL</v>
      </c>
      <c r="B122" s="75">
        <f>VLOOKUP($A122,'Data Vlaue (Cr)'!$C:$FB,2)</f>
        <v>850</v>
      </c>
      <c r="C122" s="75">
        <f>VLOOKUP($A122,'Data Vlaue (Cr)'!$C:$FB,8)</f>
        <v>765.05</v>
      </c>
      <c r="D122" s="75">
        <f>VLOOKUP($A122,'Data Vlaue (Cr)'!$C:$FB,4)</f>
        <v>765.1</v>
      </c>
      <c r="E122" s="75">
        <f>VLOOKUP($A122,'Data Vlaue (Cr)'!$C:$FB,5)</f>
        <v>757.8</v>
      </c>
      <c r="F122" s="75">
        <f t="shared" si="6"/>
        <v>5.0000000000068212E-2</v>
      </c>
      <c r="G122" s="75">
        <f t="shared" si="7"/>
        <v>0.95412364396811766</v>
      </c>
      <c r="H122" s="75">
        <f>VLOOKUP($A122,'Data Vlaue (Cr)'!$C:$FB,99)</f>
        <v>571</v>
      </c>
      <c r="I122" s="75">
        <f>VLOOKUP($A122,'Data Vlaue (Cr)'!$C:$FB,100)</f>
        <v>582</v>
      </c>
      <c r="J122" s="75">
        <f t="shared" si="8"/>
        <v>-11</v>
      </c>
      <c r="K122" s="75">
        <f t="shared" si="9"/>
        <v>-1.9264448336252189</v>
      </c>
      <c r="L122" s="75">
        <f>VLOOKUP($A122,'Data Vlaue (Cr)'!$C:$FB,67)</f>
        <v>460</v>
      </c>
      <c r="M122" s="75">
        <f>VLOOKUP($A122,'Data Vlaue (Cr)'!$C:$FB,68)</f>
        <v>454</v>
      </c>
      <c r="N122" s="75">
        <f t="shared" si="10"/>
        <v>6</v>
      </c>
      <c r="O122" s="75">
        <f t="shared" si="11"/>
        <v>1.3043478260869565</v>
      </c>
      <c r="P122" s="75">
        <f>VLOOKUP($A122,'Data Vlaue (Cr)'!$C:$FB,119)</f>
        <v>0.79</v>
      </c>
      <c r="Q122" s="75">
        <f>VLOOKUP($A122,'Data Vlaue (Cr)'!$C:$FB,122)*100</f>
        <v>16.18</v>
      </c>
      <c r="R122" s="75">
        <f>VLOOKUP($A122,'Data Vlaue (Cr)'!$C:$FB,125)</f>
        <v>0.55000000000000004</v>
      </c>
      <c r="S122" s="75">
        <f>VLOOKUP($A122,'Data Vlaue (Cr)'!$C:$FB,128)*100</f>
        <v>61.760000000000005</v>
      </c>
    </row>
    <row r="123" spans="1:19" x14ac:dyDescent="0.25">
      <c r="A123" s="96" t="str">
        <f>'Data Vlaue (Cr)'!C114</f>
        <v>JSWENERGY</v>
      </c>
      <c r="B123" s="75">
        <f>VLOOKUP($A123,'Data Vlaue (Cr)'!$C:$FB,2)</f>
        <v>1000</v>
      </c>
      <c r="C123" s="75">
        <f>VLOOKUP($A123,'Data Vlaue (Cr)'!$C:$FB,8)</f>
        <v>531.75</v>
      </c>
      <c r="D123" s="75">
        <f>VLOOKUP($A123,'Data Vlaue (Cr)'!$C:$FB,4)</f>
        <v>533.4</v>
      </c>
      <c r="E123" s="75">
        <f>VLOOKUP($A123,'Data Vlaue (Cr)'!$C:$FB,5)</f>
        <v>535.20000000000005</v>
      </c>
      <c r="F123" s="75">
        <f t="shared" si="6"/>
        <v>1.6499999999999773</v>
      </c>
      <c r="G123" s="75">
        <f t="shared" si="7"/>
        <v>-0.33745781777279116</v>
      </c>
      <c r="H123" s="75">
        <f>VLOOKUP($A123,'Data Vlaue (Cr)'!$C:$FB,99)</f>
        <v>2678</v>
      </c>
      <c r="I123" s="75">
        <f>VLOOKUP($A123,'Data Vlaue (Cr)'!$C:$FB,100)</f>
        <v>2603</v>
      </c>
      <c r="J123" s="75">
        <f t="shared" si="8"/>
        <v>75</v>
      </c>
      <c r="K123" s="75">
        <f t="shared" si="9"/>
        <v>2.8005974607916357</v>
      </c>
      <c r="L123" s="75">
        <f>VLOOKUP($A123,'Data Vlaue (Cr)'!$C:$FB,67)</f>
        <v>592</v>
      </c>
      <c r="M123" s="75">
        <f>VLOOKUP($A123,'Data Vlaue (Cr)'!$C:$FB,68)</f>
        <v>369</v>
      </c>
      <c r="N123" s="75">
        <f t="shared" si="10"/>
        <v>223</v>
      </c>
      <c r="O123" s="75">
        <f t="shared" si="11"/>
        <v>37.668918918918919</v>
      </c>
      <c r="P123" s="75">
        <f>VLOOKUP($A123,'Data Vlaue (Cr)'!$C:$FB,119)</f>
        <v>0.56000000000000005</v>
      </c>
      <c r="Q123" s="75">
        <f>VLOOKUP($A123,'Data Vlaue (Cr)'!$C:$FB,122)*100</f>
        <v>0</v>
      </c>
      <c r="R123" s="75">
        <f>VLOOKUP($A123,'Data Vlaue (Cr)'!$C:$FB,125)</f>
        <v>0.39</v>
      </c>
      <c r="S123" s="75">
        <f>VLOOKUP($A123,'Data Vlaue (Cr)'!$C:$FB,128)*100</f>
        <v>39.290000000000006</v>
      </c>
    </row>
    <row r="124" spans="1:19" x14ac:dyDescent="0.25">
      <c r="A124" s="96" t="str">
        <f>'Data Vlaue (Cr)'!C115</f>
        <v>JSWSTEEL</v>
      </c>
      <c r="B124" s="75">
        <f>VLOOKUP($A124,'Data Vlaue (Cr)'!$C:$FB,2)</f>
        <v>675</v>
      </c>
      <c r="C124" s="75">
        <f>VLOOKUP($A124,'Data Vlaue (Cr)'!$C:$FB,8)</f>
        <v>1082.5999999999999</v>
      </c>
      <c r="D124" s="75">
        <f>VLOOKUP($A124,'Data Vlaue (Cr)'!$C:$FB,4)</f>
        <v>1086</v>
      </c>
      <c r="E124" s="75">
        <f>VLOOKUP($A124,'Data Vlaue (Cr)'!$C:$FB,5)</f>
        <v>1077.4000000000001</v>
      </c>
      <c r="F124" s="75">
        <f t="shared" si="6"/>
        <v>3.4000000000000909</v>
      </c>
      <c r="G124" s="75">
        <f t="shared" si="7"/>
        <v>0.79189686924492719</v>
      </c>
      <c r="H124" s="75">
        <f>VLOOKUP($A124,'Data Vlaue (Cr)'!$C:$FB,99)</f>
        <v>6140</v>
      </c>
      <c r="I124" s="75">
        <f>VLOOKUP($A124,'Data Vlaue (Cr)'!$C:$FB,100)</f>
        <v>5993</v>
      </c>
      <c r="J124" s="75">
        <f t="shared" si="8"/>
        <v>147</v>
      </c>
      <c r="K124" s="75">
        <f t="shared" si="9"/>
        <v>2.3941368078175898</v>
      </c>
      <c r="L124" s="75">
        <f>VLOOKUP($A124,'Data Vlaue (Cr)'!$C:$FB,67)</f>
        <v>3099</v>
      </c>
      <c r="M124" s="75">
        <f>VLOOKUP($A124,'Data Vlaue (Cr)'!$C:$FB,68)</f>
        <v>2908</v>
      </c>
      <c r="N124" s="75">
        <f t="shared" si="10"/>
        <v>191</v>
      </c>
      <c r="O124" s="75">
        <f t="shared" si="11"/>
        <v>6.1632784769280411</v>
      </c>
      <c r="P124" s="75">
        <f>VLOOKUP($A124,'Data Vlaue (Cr)'!$C:$FB,119)</f>
        <v>0.77</v>
      </c>
      <c r="Q124" s="75">
        <f>VLOOKUP($A124,'Data Vlaue (Cr)'!$C:$FB,122)*100</f>
        <v>14.93</v>
      </c>
      <c r="R124" s="75">
        <f>VLOOKUP($A124,'Data Vlaue (Cr)'!$C:$FB,125)</f>
        <v>0.4</v>
      </c>
      <c r="S124" s="75">
        <f>VLOOKUP($A124,'Data Vlaue (Cr)'!$C:$FB,128)*100</f>
        <v>8.1100000000000012</v>
      </c>
    </row>
    <row r="125" spans="1:19" x14ac:dyDescent="0.25">
      <c r="A125" s="96" t="str">
        <f>'Data Vlaue (Cr)'!C116</f>
        <v>JUBLFOOD</v>
      </c>
      <c r="B125" s="75">
        <f>VLOOKUP($A125,'Data Vlaue (Cr)'!$C:$FB,2)</f>
        <v>1250</v>
      </c>
      <c r="C125" s="75">
        <f>VLOOKUP($A125,'Data Vlaue (Cr)'!$C:$FB,8)</f>
        <v>634.20000000000005</v>
      </c>
      <c r="D125" s="75">
        <f>VLOOKUP($A125,'Data Vlaue (Cr)'!$C:$FB,4)</f>
        <v>635.9</v>
      </c>
      <c r="E125" s="75">
        <f>VLOOKUP($A125,'Data Vlaue (Cr)'!$C:$FB,5)</f>
        <v>634.85</v>
      </c>
      <c r="F125" s="75">
        <f t="shared" si="6"/>
        <v>1.6999999999999318</v>
      </c>
      <c r="G125" s="75">
        <f t="shared" si="7"/>
        <v>0.16512030193425925</v>
      </c>
      <c r="H125" s="75">
        <f>VLOOKUP($A125,'Data Vlaue (Cr)'!$C:$FB,99)</f>
        <v>2384</v>
      </c>
      <c r="I125" s="75">
        <f>VLOOKUP($A125,'Data Vlaue (Cr)'!$C:$FB,100)</f>
        <v>2380</v>
      </c>
      <c r="J125" s="75">
        <f t="shared" si="8"/>
        <v>4</v>
      </c>
      <c r="K125" s="75">
        <f t="shared" si="9"/>
        <v>0.16778523489932887</v>
      </c>
      <c r="L125" s="75">
        <f>VLOOKUP($A125,'Data Vlaue (Cr)'!$C:$FB,67)</f>
        <v>601</v>
      </c>
      <c r="M125" s="75">
        <f>VLOOKUP($A125,'Data Vlaue (Cr)'!$C:$FB,68)</f>
        <v>1180</v>
      </c>
      <c r="N125" s="75">
        <f t="shared" si="10"/>
        <v>-579</v>
      </c>
      <c r="O125" s="75">
        <f t="shared" si="11"/>
        <v>-96.339434276206333</v>
      </c>
      <c r="P125" s="75">
        <f>VLOOKUP($A125,'Data Vlaue (Cr)'!$C:$FB,119)</f>
        <v>0.52</v>
      </c>
      <c r="Q125" s="75">
        <f>VLOOKUP($A125,'Data Vlaue (Cr)'!$C:$FB,122)*100</f>
        <v>1.96</v>
      </c>
      <c r="R125" s="75">
        <f>VLOOKUP($A125,'Data Vlaue (Cr)'!$C:$FB,125)</f>
        <v>0.36</v>
      </c>
      <c r="S125" s="75">
        <f>VLOOKUP($A125,'Data Vlaue (Cr)'!$C:$FB,128)*100</f>
        <v>-12.2</v>
      </c>
    </row>
    <row r="126" spans="1:19" x14ac:dyDescent="0.25">
      <c r="A126" s="96" t="str">
        <f>'Data Vlaue (Cr)'!C117</f>
        <v>KALYANKJIL</v>
      </c>
      <c r="B126" s="75">
        <f>VLOOKUP($A126,'Data Vlaue (Cr)'!$C:$FB,2)</f>
        <v>1175</v>
      </c>
      <c r="C126" s="75">
        <f>VLOOKUP($A126,'Data Vlaue (Cr)'!$C:$FB,8)</f>
        <v>510.6</v>
      </c>
      <c r="D126" s="75">
        <f>VLOOKUP($A126,'Data Vlaue (Cr)'!$C:$FB,4)</f>
        <v>511.25</v>
      </c>
      <c r="E126" s="75">
        <f>VLOOKUP($A126,'Data Vlaue (Cr)'!$C:$FB,5)</f>
        <v>509.05</v>
      </c>
      <c r="F126" s="75">
        <f t="shared" si="6"/>
        <v>0.64999999999997726</v>
      </c>
      <c r="G126" s="75">
        <f t="shared" si="7"/>
        <v>0.43031784841075571</v>
      </c>
      <c r="H126" s="75">
        <f>VLOOKUP($A126,'Data Vlaue (Cr)'!$C:$FB,99)</f>
        <v>3714</v>
      </c>
      <c r="I126" s="75">
        <f>VLOOKUP($A126,'Data Vlaue (Cr)'!$C:$FB,100)</f>
        <v>3601</v>
      </c>
      <c r="J126" s="75">
        <f t="shared" si="8"/>
        <v>113</v>
      </c>
      <c r="K126" s="75">
        <f t="shared" si="9"/>
        <v>3.0425417339795366</v>
      </c>
      <c r="L126" s="75">
        <f>VLOOKUP($A126,'Data Vlaue (Cr)'!$C:$FB,67)</f>
        <v>4695</v>
      </c>
      <c r="M126" s="75">
        <f>VLOOKUP($A126,'Data Vlaue (Cr)'!$C:$FB,68)</f>
        <v>4217</v>
      </c>
      <c r="N126" s="75">
        <f t="shared" si="10"/>
        <v>478</v>
      </c>
      <c r="O126" s="75">
        <f t="shared" si="11"/>
        <v>10.181043663471778</v>
      </c>
      <c r="P126" s="75">
        <f>VLOOKUP($A126,'Data Vlaue (Cr)'!$C:$FB,119)</f>
        <v>0.35</v>
      </c>
      <c r="Q126" s="75">
        <f>VLOOKUP($A126,'Data Vlaue (Cr)'!$C:$FB,122)*100</f>
        <v>6.0600000000000005</v>
      </c>
      <c r="R126" s="75">
        <f>VLOOKUP($A126,'Data Vlaue (Cr)'!$C:$FB,125)</f>
        <v>0.3</v>
      </c>
      <c r="S126" s="75">
        <f>VLOOKUP($A126,'Data Vlaue (Cr)'!$C:$FB,128)*100</f>
        <v>-31.819999999999997</v>
      </c>
    </row>
    <row r="127" spans="1:19" x14ac:dyDescent="0.25">
      <c r="A127" s="96" t="str">
        <f>'Data Vlaue (Cr)'!C118</f>
        <v>KAYNES</v>
      </c>
      <c r="B127" s="75">
        <f>VLOOKUP($A127,'Data Vlaue (Cr)'!$C:$FB,2)</f>
        <v>100</v>
      </c>
      <c r="C127" s="75">
        <f>VLOOKUP($A127,'Data Vlaue (Cr)'!$C:$FB,8)</f>
        <v>6200.5</v>
      </c>
      <c r="D127" s="75">
        <f>VLOOKUP($A127,'Data Vlaue (Cr)'!$C:$FB,4)</f>
        <v>6218.5</v>
      </c>
      <c r="E127" s="75">
        <f>VLOOKUP($A127,'Data Vlaue (Cr)'!$C:$FB,5)</f>
        <v>6292</v>
      </c>
      <c r="F127" s="75">
        <f t="shared" si="6"/>
        <v>18</v>
      </c>
      <c r="G127" s="75">
        <f t="shared" si="7"/>
        <v>-1.1819570636005468</v>
      </c>
      <c r="H127" s="75">
        <f>VLOOKUP($A127,'Data Vlaue (Cr)'!$C:$FB,99)</f>
        <v>1497</v>
      </c>
      <c r="I127" s="75">
        <f>VLOOKUP($A127,'Data Vlaue (Cr)'!$C:$FB,100)</f>
        <v>1444</v>
      </c>
      <c r="J127" s="75">
        <f t="shared" si="8"/>
        <v>53</v>
      </c>
      <c r="K127" s="75">
        <f t="shared" si="9"/>
        <v>3.5404141616566465</v>
      </c>
      <c r="L127" s="75">
        <f>VLOOKUP($A127,'Data Vlaue (Cr)'!$C:$FB,67)</f>
        <v>1215</v>
      </c>
      <c r="M127" s="75">
        <f>VLOOKUP($A127,'Data Vlaue (Cr)'!$C:$FB,68)</f>
        <v>1302</v>
      </c>
      <c r="N127" s="75">
        <f t="shared" si="10"/>
        <v>-87</v>
      </c>
      <c r="O127" s="75">
        <f t="shared" si="11"/>
        <v>-7.1604938271604937</v>
      </c>
      <c r="P127" s="75">
        <f>VLOOKUP($A127,'Data Vlaue (Cr)'!$C:$FB,119)</f>
        <v>0.63</v>
      </c>
      <c r="Q127" s="75">
        <f>VLOOKUP($A127,'Data Vlaue (Cr)'!$C:$FB,122)*100</f>
        <v>-7.35</v>
      </c>
      <c r="R127" s="75">
        <f>VLOOKUP($A127,'Data Vlaue (Cr)'!$C:$FB,125)</f>
        <v>0.45</v>
      </c>
      <c r="S127" s="75">
        <f>VLOOKUP($A127,'Data Vlaue (Cr)'!$C:$FB,128)*100</f>
        <v>2.27</v>
      </c>
    </row>
    <row r="128" spans="1:19" x14ac:dyDescent="0.25">
      <c r="A128" s="96" t="str">
        <f>'Data Vlaue (Cr)'!C119</f>
        <v>KEI</v>
      </c>
      <c r="B128" s="75">
        <f>VLOOKUP($A128,'Data Vlaue (Cr)'!$C:$FB,2)</f>
        <v>175</v>
      </c>
      <c r="C128" s="75">
        <f>VLOOKUP($A128,'Data Vlaue (Cr)'!$C:$FB,8)</f>
        <v>3986.4</v>
      </c>
      <c r="D128" s="75">
        <f>VLOOKUP($A128,'Data Vlaue (Cr)'!$C:$FB,4)</f>
        <v>3987.7</v>
      </c>
      <c r="E128" s="75">
        <f>VLOOKUP($A128,'Data Vlaue (Cr)'!$C:$FB,5)</f>
        <v>3956.2</v>
      </c>
      <c r="F128" s="75">
        <f t="shared" si="6"/>
        <v>1.2999999999997272</v>
      </c>
      <c r="G128" s="75">
        <f t="shared" si="7"/>
        <v>0.78992903177270113</v>
      </c>
      <c r="H128" s="75">
        <f>VLOOKUP($A128,'Data Vlaue (Cr)'!$C:$FB,99)</f>
        <v>814</v>
      </c>
      <c r="I128" s="75">
        <f>VLOOKUP($A128,'Data Vlaue (Cr)'!$C:$FB,100)</f>
        <v>764</v>
      </c>
      <c r="J128" s="75">
        <f t="shared" si="8"/>
        <v>50</v>
      </c>
      <c r="K128" s="75">
        <f t="shared" si="9"/>
        <v>6.1425061425061429</v>
      </c>
      <c r="L128" s="75">
        <f>VLOOKUP($A128,'Data Vlaue (Cr)'!$C:$FB,67)</f>
        <v>1643</v>
      </c>
      <c r="M128" s="75">
        <f>VLOOKUP($A128,'Data Vlaue (Cr)'!$C:$FB,68)</f>
        <v>801</v>
      </c>
      <c r="N128" s="75">
        <f t="shared" si="10"/>
        <v>842</v>
      </c>
      <c r="O128" s="75">
        <f t="shared" si="11"/>
        <v>51.247717589774801</v>
      </c>
      <c r="P128" s="75">
        <f>VLOOKUP($A128,'Data Vlaue (Cr)'!$C:$FB,119)</f>
        <v>0.72</v>
      </c>
      <c r="Q128" s="75">
        <f>VLOOKUP($A128,'Data Vlaue (Cr)'!$C:$FB,122)*100</f>
        <v>-28.71</v>
      </c>
      <c r="R128" s="75">
        <f>VLOOKUP($A128,'Data Vlaue (Cr)'!$C:$FB,125)</f>
        <v>0.32</v>
      </c>
      <c r="S128" s="75">
        <f>VLOOKUP($A128,'Data Vlaue (Cr)'!$C:$FB,128)*100</f>
        <v>-27.27</v>
      </c>
    </row>
    <row r="129" spans="1:19" x14ac:dyDescent="0.25">
      <c r="A129" s="96" t="str">
        <f>'Data Vlaue (Cr)'!C120</f>
        <v>KFINTECH</v>
      </c>
      <c r="B129" s="75">
        <f>VLOOKUP($A129,'Data Vlaue (Cr)'!$C:$FB,2)</f>
        <v>450</v>
      </c>
      <c r="C129" s="75">
        <f>VLOOKUP($A129,'Data Vlaue (Cr)'!$C:$FB,8)</f>
        <v>1115.8</v>
      </c>
      <c r="D129" s="75">
        <f>VLOOKUP($A129,'Data Vlaue (Cr)'!$C:$FB,4)</f>
        <v>1112.4000000000001</v>
      </c>
      <c r="E129" s="75">
        <f>VLOOKUP($A129,'Data Vlaue (Cr)'!$C:$FB,5)</f>
        <v>1122.5999999999999</v>
      </c>
      <c r="F129" s="75">
        <f t="shared" si="6"/>
        <v>-3.3999999999998636</v>
      </c>
      <c r="G129" s="75">
        <f t="shared" si="7"/>
        <v>-0.91693635382954131</v>
      </c>
      <c r="H129" s="75">
        <f>VLOOKUP($A129,'Data Vlaue (Cr)'!$C:$FB,99)</f>
        <v>414</v>
      </c>
      <c r="I129" s="75">
        <f>VLOOKUP($A129,'Data Vlaue (Cr)'!$C:$FB,100)</f>
        <v>393</v>
      </c>
      <c r="J129" s="75">
        <f t="shared" si="8"/>
        <v>21</v>
      </c>
      <c r="K129" s="75">
        <f t="shared" si="9"/>
        <v>5.0724637681159424</v>
      </c>
      <c r="L129" s="75">
        <f>VLOOKUP($A129,'Data Vlaue (Cr)'!$C:$FB,67)</f>
        <v>225</v>
      </c>
      <c r="M129" s="75">
        <f>VLOOKUP($A129,'Data Vlaue (Cr)'!$C:$FB,68)</f>
        <v>277</v>
      </c>
      <c r="N129" s="75">
        <f t="shared" si="10"/>
        <v>-52</v>
      </c>
      <c r="O129" s="75">
        <f t="shared" si="11"/>
        <v>-23.111111111111111</v>
      </c>
      <c r="P129" s="75">
        <f>VLOOKUP($A129,'Data Vlaue (Cr)'!$C:$FB,119)</f>
        <v>0.47</v>
      </c>
      <c r="Q129" s="75">
        <f>VLOOKUP($A129,'Data Vlaue (Cr)'!$C:$FB,122)*100</f>
        <v>-16.07</v>
      </c>
      <c r="R129" s="75">
        <f>VLOOKUP($A129,'Data Vlaue (Cr)'!$C:$FB,125)</f>
        <v>0.35</v>
      </c>
      <c r="S129" s="75">
        <f>VLOOKUP($A129,'Data Vlaue (Cr)'!$C:$FB,128)*100</f>
        <v>6.0600000000000005</v>
      </c>
    </row>
    <row r="130" spans="1:19" x14ac:dyDescent="0.25">
      <c r="A130" s="96" t="str">
        <f>'Data Vlaue (Cr)'!C121</f>
        <v>KOTAKBANK</v>
      </c>
      <c r="B130" s="75">
        <f>VLOOKUP($A130,'Data Vlaue (Cr)'!$C:$FB,2)</f>
        <v>400</v>
      </c>
      <c r="C130" s="75">
        <f>VLOOKUP($A130,'Data Vlaue (Cr)'!$C:$FB,8)</f>
        <v>2017.5</v>
      </c>
      <c r="D130" s="75">
        <f>VLOOKUP($A130,'Data Vlaue (Cr)'!$C:$FB,4)</f>
        <v>2019.2</v>
      </c>
      <c r="E130" s="75">
        <f>VLOOKUP($A130,'Data Vlaue (Cr)'!$C:$FB,5)</f>
        <v>2031.2</v>
      </c>
      <c r="F130" s="75">
        <f t="shared" si="6"/>
        <v>1.7000000000000455</v>
      </c>
      <c r="G130" s="75">
        <f t="shared" si="7"/>
        <v>-0.59429477020602217</v>
      </c>
      <c r="H130" s="75">
        <f>VLOOKUP($A130,'Data Vlaue (Cr)'!$C:$FB,99)</f>
        <v>9517</v>
      </c>
      <c r="I130" s="75">
        <f>VLOOKUP($A130,'Data Vlaue (Cr)'!$C:$FB,100)</f>
        <v>9528</v>
      </c>
      <c r="J130" s="75">
        <f t="shared" si="8"/>
        <v>-11</v>
      </c>
      <c r="K130" s="75">
        <f t="shared" si="9"/>
        <v>-0.11558264158873595</v>
      </c>
      <c r="L130" s="75">
        <f>VLOOKUP($A130,'Data Vlaue (Cr)'!$C:$FB,67)</f>
        <v>2714</v>
      </c>
      <c r="M130" s="75">
        <f>VLOOKUP($A130,'Data Vlaue (Cr)'!$C:$FB,68)</f>
        <v>4543</v>
      </c>
      <c r="N130" s="75">
        <f t="shared" si="10"/>
        <v>-1829</v>
      </c>
      <c r="O130" s="75">
        <f t="shared" si="11"/>
        <v>-67.391304347826093</v>
      </c>
      <c r="P130" s="75">
        <f>VLOOKUP($A130,'Data Vlaue (Cr)'!$C:$FB,119)</f>
        <v>0.72</v>
      </c>
      <c r="Q130" s="75">
        <f>VLOOKUP($A130,'Data Vlaue (Cr)'!$C:$FB,122)*100</f>
        <v>-2.7</v>
      </c>
      <c r="R130" s="75">
        <f>VLOOKUP($A130,'Data Vlaue (Cr)'!$C:$FB,125)</f>
        <v>0.64</v>
      </c>
      <c r="S130" s="75">
        <f>VLOOKUP($A130,'Data Vlaue (Cr)'!$C:$FB,128)*100</f>
        <v>10.34</v>
      </c>
    </row>
    <row r="131" spans="1:19" x14ac:dyDescent="0.25">
      <c r="A131" s="96" t="str">
        <f>'Data Vlaue (Cr)'!C122</f>
        <v>KPITTECH</v>
      </c>
      <c r="B131" s="75">
        <f>VLOOKUP($A131,'Data Vlaue (Cr)'!$C:$FB,2)</f>
        <v>400</v>
      </c>
      <c r="C131" s="75">
        <f>VLOOKUP($A131,'Data Vlaue (Cr)'!$C:$FB,8)</f>
        <v>1214.5999999999999</v>
      </c>
      <c r="D131" s="75">
        <f>VLOOKUP($A131,'Data Vlaue (Cr)'!$C:$FB,4)</f>
        <v>1217.5999999999999</v>
      </c>
      <c r="E131" s="75">
        <f>VLOOKUP($A131,'Data Vlaue (Cr)'!$C:$FB,5)</f>
        <v>1203</v>
      </c>
      <c r="F131" s="75">
        <f t="shared" si="6"/>
        <v>3</v>
      </c>
      <c r="G131" s="75">
        <f t="shared" si="7"/>
        <v>1.1990801576872463</v>
      </c>
      <c r="H131" s="75">
        <f>VLOOKUP($A131,'Data Vlaue (Cr)'!$C:$FB,99)</f>
        <v>1182</v>
      </c>
      <c r="I131" s="75">
        <f>VLOOKUP($A131,'Data Vlaue (Cr)'!$C:$FB,100)</f>
        <v>1172</v>
      </c>
      <c r="J131" s="75">
        <f t="shared" si="8"/>
        <v>10</v>
      </c>
      <c r="K131" s="75">
        <f t="shared" si="9"/>
        <v>0.84602368866328259</v>
      </c>
      <c r="L131" s="75">
        <f>VLOOKUP($A131,'Data Vlaue (Cr)'!$C:$FB,67)</f>
        <v>729</v>
      </c>
      <c r="M131" s="75">
        <f>VLOOKUP($A131,'Data Vlaue (Cr)'!$C:$FB,68)</f>
        <v>631</v>
      </c>
      <c r="N131" s="75">
        <f t="shared" si="10"/>
        <v>98</v>
      </c>
      <c r="O131" s="75">
        <f t="shared" si="11"/>
        <v>13.443072702331962</v>
      </c>
      <c r="P131" s="75">
        <f>VLOOKUP($A131,'Data Vlaue (Cr)'!$C:$FB,119)</f>
        <v>0.86</v>
      </c>
      <c r="Q131" s="75">
        <f>VLOOKUP($A131,'Data Vlaue (Cr)'!$C:$FB,122)*100</f>
        <v>2.3800000000000003</v>
      </c>
      <c r="R131" s="75">
        <f>VLOOKUP($A131,'Data Vlaue (Cr)'!$C:$FB,125)</f>
        <v>0.28999999999999998</v>
      </c>
      <c r="S131" s="75">
        <f>VLOOKUP($A131,'Data Vlaue (Cr)'!$C:$FB,128)*100</f>
        <v>-48.209999999999994</v>
      </c>
    </row>
    <row r="132" spans="1:19" x14ac:dyDescent="0.25">
      <c r="A132" s="96" t="str">
        <f>'Data Vlaue (Cr)'!C123</f>
        <v>LAURUSLABS</v>
      </c>
      <c r="B132" s="75">
        <f>VLOOKUP($A132,'Data Vlaue (Cr)'!$C:$FB,2)</f>
        <v>1700</v>
      </c>
      <c r="C132" s="75">
        <f>VLOOKUP($A132,'Data Vlaue (Cr)'!$C:$FB,8)</f>
        <v>876.05</v>
      </c>
      <c r="D132" s="75">
        <f>VLOOKUP($A132,'Data Vlaue (Cr)'!$C:$FB,4)</f>
        <v>876.65</v>
      </c>
      <c r="E132" s="75">
        <f>VLOOKUP($A132,'Data Vlaue (Cr)'!$C:$FB,5)</f>
        <v>885.65</v>
      </c>
      <c r="F132" s="75">
        <f t="shared" si="6"/>
        <v>0.60000000000002274</v>
      </c>
      <c r="G132" s="75">
        <f t="shared" si="7"/>
        <v>-1.0266354873666801</v>
      </c>
      <c r="H132" s="75">
        <f>VLOOKUP($A132,'Data Vlaue (Cr)'!$C:$FB,99)</f>
        <v>3491</v>
      </c>
      <c r="I132" s="75">
        <f>VLOOKUP($A132,'Data Vlaue (Cr)'!$C:$FB,100)</f>
        <v>3421</v>
      </c>
      <c r="J132" s="75">
        <f t="shared" si="8"/>
        <v>70</v>
      </c>
      <c r="K132" s="75">
        <f t="shared" si="9"/>
        <v>2.005156115726153</v>
      </c>
      <c r="L132" s="75">
        <f>VLOOKUP($A132,'Data Vlaue (Cr)'!$C:$FB,67)</f>
        <v>2255</v>
      </c>
      <c r="M132" s="75">
        <f>VLOOKUP($A132,'Data Vlaue (Cr)'!$C:$FB,68)</f>
        <v>2947</v>
      </c>
      <c r="N132" s="75">
        <f t="shared" si="10"/>
        <v>-692</v>
      </c>
      <c r="O132" s="75">
        <f t="shared" si="11"/>
        <v>-30.687361419068736</v>
      </c>
      <c r="P132" s="75">
        <f>VLOOKUP($A132,'Data Vlaue (Cr)'!$C:$FB,119)</f>
        <v>0.63</v>
      </c>
      <c r="Q132" s="75">
        <f>VLOOKUP($A132,'Data Vlaue (Cr)'!$C:$FB,122)*100</f>
        <v>-5.9700000000000006</v>
      </c>
      <c r="R132" s="75">
        <f>VLOOKUP($A132,'Data Vlaue (Cr)'!$C:$FB,125)</f>
        <v>0.5</v>
      </c>
      <c r="S132" s="75">
        <f>VLOOKUP($A132,'Data Vlaue (Cr)'!$C:$FB,128)*100</f>
        <v>16.28</v>
      </c>
    </row>
    <row r="133" spans="1:19" x14ac:dyDescent="0.25">
      <c r="A133" s="96" t="str">
        <f>'Data Vlaue (Cr)'!C124</f>
        <v>LICHSGFIN</v>
      </c>
      <c r="B133" s="75">
        <f>VLOOKUP($A133,'Data Vlaue (Cr)'!$C:$FB,2)</f>
        <v>1000</v>
      </c>
      <c r="C133" s="75">
        <f>VLOOKUP($A133,'Data Vlaue (Cr)'!$C:$FB,8)</f>
        <v>580.1</v>
      </c>
      <c r="D133" s="75">
        <f>VLOOKUP($A133,'Data Vlaue (Cr)'!$C:$FB,4)</f>
        <v>572.15</v>
      </c>
      <c r="E133" s="75">
        <f>VLOOKUP($A133,'Data Vlaue (Cr)'!$C:$FB,5)</f>
        <v>571.9</v>
      </c>
      <c r="F133" s="75">
        <f t="shared" si="6"/>
        <v>-7.9500000000000455</v>
      </c>
      <c r="G133" s="75">
        <f t="shared" si="7"/>
        <v>4.3694835270471029E-2</v>
      </c>
      <c r="H133" s="75">
        <f>VLOOKUP($A133,'Data Vlaue (Cr)'!$C:$FB,99)</f>
        <v>2970</v>
      </c>
      <c r="I133" s="75">
        <f>VLOOKUP($A133,'Data Vlaue (Cr)'!$C:$FB,100)</f>
        <v>3062</v>
      </c>
      <c r="J133" s="75">
        <f t="shared" si="8"/>
        <v>-92</v>
      </c>
      <c r="K133" s="75">
        <f t="shared" si="9"/>
        <v>-3.0976430976430978</v>
      </c>
      <c r="L133" s="75">
        <f>VLOOKUP($A133,'Data Vlaue (Cr)'!$C:$FB,67)</f>
        <v>981</v>
      </c>
      <c r="M133" s="75">
        <f>VLOOKUP($A133,'Data Vlaue (Cr)'!$C:$FB,68)</f>
        <v>1672</v>
      </c>
      <c r="N133" s="75">
        <f t="shared" si="10"/>
        <v>-691</v>
      </c>
      <c r="O133" s="75">
        <f t="shared" si="11"/>
        <v>-70.438328236493376</v>
      </c>
      <c r="P133" s="75">
        <f>VLOOKUP($A133,'Data Vlaue (Cr)'!$C:$FB,119)</f>
        <v>0.65</v>
      </c>
      <c r="Q133" s="75">
        <f>VLOOKUP($A133,'Data Vlaue (Cr)'!$C:$FB,122)*100</f>
        <v>-1.52</v>
      </c>
      <c r="R133" s="75">
        <f>VLOOKUP($A133,'Data Vlaue (Cr)'!$C:$FB,125)</f>
        <v>0.39</v>
      </c>
      <c r="S133" s="75">
        <f>VLOOKUP($A133,'Data Vlaue (Cr)'!$C:$FB,128)*100</f>
        <v>14.71</v>
      </c>
    </row>
    <row r="134" spans="1:19" x14ac:dyDescent="0.25">
      <c r="A134" s="96" t="str">
        <f>'Data Vlaue (Cr)'!C125</f>
        <v>LICI</v>
      </c>
      <c r="B134" s="75">
        <f>VLOOKUP($A134,'Data Vlaue (Cr)'!$C:$FB,2)</f>
        <v>700</v>
      </c>
      <c r="C134" s="75">
        <f>VLOOKUP($A134,'Data Vlaue (Cr)'!$C:$FB,8)</f>
        <v>899.35</v>
      </c>
      <c r="D134" s="75">
        <f>VLOOKUP($A134,'Data Vlaue (Cr)'!$C:$FB,4)</f>
        <v>901.5</v>
      </c>
      <c r="E134" s="75">
        <f>VLOOKUP($A134,'Data Vlaue (Cr)'!$C:$FB,5)</f>
        <v>897.7</v>
      </c>
      <c r="F134" s="75">
        <f t="shared" si="6"/>
        <v>2.1499999999999773</v>
      </c>
      <c r="G134" s="75">
        <f t="shared" si="7"/>
        <v>0.42151968940653967</v>
      </c>
      <c r="H134" s="75">
        <f>VLOOKUP($A134,'Data Vlaue (Cr)'!$C:$FB,99)</f>
        <v>1461</v>
      </c>
      <c r="I134" s="75">
        <f>VLOOKUP($A134,'Data Vlaue (Cr)'!$C:$FB,100)</f>
        <v>1448</v>
      </c>
      <c r="J134" s="75">
        <f t="shared" si="8"/>
        <v>13</v>
      </c>
      <c r="K134" s="75">
        <f t="shared" si="9"/>
        <v>0.88980150581793294</v>
      </c>
      <c r="L134" s="75">
        <f>VLOOKUP($A134,'Data Vlaue (Cr)'!$C:$FB,67)</f>
        <v>665</v>
      </c>
      <c r="M134" s="75">
        <f>VLOOKUP($A134,'Data Vlaue (Cr)'!$C:$FB,68)</f>
        <v>1107</v>
      </c>
      <c r="N134" s="75">
        <f t="shared" si="10"/>
        <v>-442</v>
      </c>
      <c r="O134" s="75">
        <f t="shared" si="11"/>
        <v>-66.466165413533844</v>
      </c>
      <c r="P134" s="75">
        <f>VLOOKUP($A134,'Data Vlaue (Cr)'!$C:$FB,119)</f>
        <v>0.56999999999999995</v>
      </c>
      <c r="Q134" s="75">
        <f>VLOOKUP($A134,'Data Vlaue (Cr)'!$C:$FB,122)*100</f>
        <v>3.64</v>
      </c>
      <c r="R134" s="75">
        <f>VLOOKUP($A134,'Data Vlaue (Cr)'!$C:$FB,125)</f>
        <v>0.45</v>
      </c>
      <c r="S134" s="75">
        <f>VLOOKUP($A134,'Data Vlaue (Cr)'!$C:$FB,128)*100</f>
        <v>18.420000000000002</v>
      </c>
    </row>
    <row r="135" spans="1:19" x14ac:dyDescent="0.25">
      <c r="A135" s="96" t="str">
        <f>'Data Vlaue (Cr)'!C126</f>
        <v>LODHA</v>
      </c>
      <c r="B135" s="75">
        <f>VLOOKUP($A135,'Data Vlaue (Cr)'!$C:$FB,2)</f>
        <v>450</v>
      </c>
      <c r="C135" s="75">
        <f>VLOOKUP($A135,'Data Vlaue (Cr)'!$C:$FB,8)</f>
        <v>1300</v>
      </c>
      <c r="D135" s="75">
        <f>VLOOKUP($A135,'Data Vlaue (Cr)'!$C:$FB,4)</f>
        <v>1295.7</v>
      </c>
      <c r="E135" s="75">
        <f>VLOOKUP($A135,'Data Vlaue (Cr)'!$C:$FB,5)</f>
        <v>1254.5999999999999</v>
      </c>
      <c r="F135" s="75">
        <f t="shared" si="6"/>
        <v>-4.2999999999999545</v>
      </c>
      <c r="G135" s="75">
        <f t="shared" si="7"/>
        <v>3.1720305626302485</v>
      </c>
      <c r="H135" s="75">
        <f>VLOOKUP($A135,'Data Vlaue (Cr)'!$C:$FB,99)</f>
        <v>1584</v>
      </c>
      <c r="I135" s="75">
        <f>VLOOKUP($A135,'Data Vlaue (Cr)'!$C:$FB,100)</f>
        <v>1580</v>
      </c>
      <c r="J135" s="75">
        <f t="shared" si="8"/>
        <v>4</v>
      </c>
      <c r="K135" s="75">
        <f t="shared" si="9"/>
        <v>0.25252525252525254</v>
      </c>
      <c r="L135" s="75">
        <f>VLOOKUP($A135,'Data Vlaue (Cr)'!$C:$FB,67)</f>
        <v>2220</v>
      </c>
      <c r="M135" s="75">
        <f>VLOOKUP($A135,'Data Vlaue (Cr)'!$C:$FB,68)</f>
        <v>594</v>
      </c>
      <c r="N135" s="75">
        <f t="shared" si="10"/>
        <v>1626</v>
      </c>
      <c r="O135" s="75">
        <f t="shared" si="11"/>
        <v>73.243243243243242</v>
      </c>
      <c r="P135" s="75">
        <f>VLOOKUP($A135,'Data Vlaue (Cr)'!$C:$FB,119)</f>
        <v>0.64</v>
      </c>
      <c r="Q135" s="75">
        <f>VLOOKUP($A135,'Data Vlaue (Cr)'!$C:$FB,122)*100</f>
        <v>20.75</v>
      </c>
      <c r="R135" s="75">
        <f>VLOOKUP($A135,'Data Vlaue (Cr)'!$C:$FB,125)</f>
        <v>0.2</v>
      </c>
      <c r="S135" s="75">
        <f>VLOOKUP($A135,'Data Vlaue (Cr)'!$C:$FB,128)*100</f>
        <v>-67.210000000000008</v>
      </c>
    </row>
    <row r="136" spans="1:19" x14ac:dyDescent="0.25">
      <c r="A136" s="96" t="str">
        <f>'Data Vlaue (Cr)'!C127</f>
        <v>LT</v>
      </c>
      <c r="B136" s="75">
        <f>VLOOKUP($A136,'Data Vlaue (Cr)'!$C:$FB,2)</f>
        <v>175</v>
      </c>
      <c r="C136" s="75">
        <f>VLOOKUP($A136,'Data Vlaue (Cr)'!$C:$FB,8)</f>
        <v>3592.3</v>
      </c>
      <c r="D136" s="75">
        <f>VLOOKUP($A136,'Data Vlaue (Cr)'!$C:$FB,4)</f>
        <v>3595.4</v>
      </c>
      <c r="E136" s="75">
        <f>VLOOKUP($A136,'Data Vlaue (Cr)'!$C:$FB,5)</f>
        <v>3623.3</v>
      </c>
      <c r="F136" s="75">
        <f t="shared" si="6"/>
        <v>3.0999999999999091</v>
      </c>
      <c r="G136" s="75">
        <f t="shared" si="7"/>
        <v>-0.77599154475162957</v>
      </c>
      <c r="H136" s="75">
        <f>VLOOKUP($A136,'Data Vlaue (Cr)'!$C:$FB,99)</f>
        <v>8848</v>
      </c>
      <c r="I136" s="75">
        <f>VLOOKUP($A136,'Data Vlaue (Cr)'!$C:$FB,100)</f>
        <v>8430</v>
      </c>
      <c r="J136" s="75">
        <f t="shared" si="8"/>
        <v>418</v>
      </c>
      <c r="K136" s="75">
        <f t="shared" si="9"/>
        <v>4.7242314647377937</v>
      </c>
      <c r="L136" s="75">
        <f>VLOOKUP($A136,'Data Vlaue (Cr)'!$C:$FB,67)</f>
        <v>5454</v>
      </c>
      <c r="M136" s="75">
        <f>VLOOKUP($A136,'Data Vlaue (Cr)'!$C:$FB,68)</f>
        <v>3266</v>
      </c>
      <c r="N136" s="75">
        <f t="shared" si="10"/>
        <v>2188</v>
      </c>
      <c r="O136" s="75">
        <f t="shared" si="11"/>
        <v>40.117345067840112</v>
      </c>
      <c r="P136" s="75">
        <f>VLOOKUP($A136,'Data Vlaue (Cr)'!$C:$FB,119)</f>
        <v>0.48</v>
      </c>
      <c r="Q136" s="75">
        <f>VLOOKUP($A136,'Data Vlaue (Cr)'!$C:$FB,122)*100</f>
        <v>-9.43</v>
      </c>
      <c r="R136" s="75">
        <f>VLOOKUP($A136,'Data Vlaue (Cr)'!$C:$FB,125)</f>
        <v>0.44</v>
      </c>
      <c r="S136" s="75">
        <f>VLOOKUP($A136,'Data Vlaue (Cr)'!$C:$FB,128)*100</f>
        <v>15.790000000000001</v>
      </c>
    </row>
    <row r="137" spans="1:19" x14ac:dyDescent="0.25">
      <c r="A137" s="96" t="str">
        <f>'Data Vlaue (Cr)'!C128</f>
        <v>LTF</v>
      </c>
      <c r="B137" s="75">
        <f>VLOOKUP($A137,'Data Vlaue (Cr)'!$C:$FB,2)</f>
        <v>4462</v>
      </c>
      <c r="C137" s="75">
        <f>VLOOKUP($A137,'Data Vlaue (Cr)'!$C:$FB,8)</f>
        <v>216.53</v>
      </c>
      <c r="D137" s="75">
        <f>VLOOKUP($A137,'Data Vlaue (Cr)'!$C:$FB,4)</f>
        <v>216.44</v>
      </c>
      <c r="E137" s="75">
        <f>VLOOKUP($A137,'Data Vlaue (Cr)'!$C:$FB,5)</f>
        <v>217.14</v>
      </c>
      <c r="F137" s="75">
        <f t="shared" si="6"/>
        <v>-9.0000000000003411E-2</v>
      </c>
      <c r="G137" s="75">
        <f t="shared" si="7"/>
        <v>-0.32341526520051223</v>
      </c>
      <c r="H137" s="75">
        <f>VLOOKUP($A137,'Data Vlaue (Cr)'!$C:$FB,99)</f>
        <v>2278</v>
      </c>
      <c r="I137" s="75">
        <f>VLOOKUP($A137,'Data Vlaue (Cr)'!$C:$FB,100)</f>
        <v>2298</v>
      </c>
      <c r="J137" s="75">
        <f t="shared" si="8"/>
        <v>-20</v>
      </c>
      <c r="K137" s="75">
        <f t="shared" si="9"/>
        <v>-0.87796312554872702</v>
      </c>
      <c r="L137" s="75">
        <f>VLOOKUP($A137,'Data Vlaue (Cr)'!$C:$FB,67)</f>
        <v>981</v>
      </c>
      <c r="M137" s="75">
        <f>VLOOKUP($A137,'Data Vlaue (Cr)'!$C:$FB,68)</f>
        <v>2982</v>
      </c>
      <c r="N137" s="75">
        <f t="shared" si="10"/>
        <v>-2001</v>
      </c>
      <c r="O137" s="75">
        <f t="shared" si="11"/>
        <v>-203.97553516819573</v>
      </c>
      <c r="P137" s="75">
        <f>VLOOKUP($A137,'Data Vlaue (Cr)'!$C:$FB,119)</f>
        <v>0.97</v>
      </c>
      <c r="Q137" s="75">
        <f>VLOOKUP($A137,'Data Vlaue (Cr)'!$C:$FB,122)*100</f>
        <v>-1.02</v>
      </c>
      <c r="R137" s="75">
        <f>VLOOKUP($A137,'Data Vlaue (Cr)'!$C:$FB,125)</f>
        <v>0.46</v>
      </c>
      <c r="S137" s="75">
        <f>VLOOKUP($A137,'Data Vlaue (Cr)'!$C:$FB,128)*100</f>
        <v>-14.81</v>
      </c>
    </row>
    <row r="138" spans="1:19" x14ac:dyDescent="0.25">
      <c r="A138" s="96" t="str">
        <f>'Data Vlaue (Cr)'!C129</f>
        <v>LTIM</v>
      </c>
      <c r="B138" s="75">
        <f>VLOOKUP($A138,'Data Vlaue (Cr)'!$C:$FB,2)</f>
        <v>150</v>
      </c>
      <c r="C138" s="75">
        <f>VLOOKUP($A138,'Data Vlaue (Cr)'!$C:$FB,8)</f>
        <v>5180.5</v>
      </c>
      <c r="D138" s="75">
        <f>VLOOKUP($A138,'Data Vlaue (Cr)'!$C:$FB,4)</f>
        <v>5193</v>
      </c>
      <c r="E138" s="75">
        <f>VLOOKUP($A138,'Data Vlaue (Cr)'!$C:$FB,5)</f>
        <v>5116.5</v>
      </c>
      <c r="F138" s="75">
        <f t="shared" si="6"/>
        <v>12.5</v>
      </c>
      <c r="G138" s="75">
        <f t="shared" si="7"/>
        <v>1.4731369150779896</v>
      </c>
      <c r="H138" s="75">
        <f>VLOOKUP($A138,'Data Vlaue (Cr)'!$C:$FB,99)</f>
        <v>2196</v>
      </c>
      <c r="I138" s="75">
        <f>VLOOKUP($A138,'Data Vlaue (Cr)'!$C:$FB,100)</f>
        <v>2234</v>
      </c>
      <c r="J138" s="75">
        <f t="shared" si="8"/>
        <v>-38</v>
      </c>
      <c r="K138" s="75">
        <f t="shared" si="9"/>
        <v>-1.7304189435336976</v>
      </c>
      <c r="L138" s="75">
        <f>VLOOKUP($A138,'Data Vlaue (Cr)'!$C:$FB,67)</f>
        <v>2338</v>
      </c>
      <c r="M138" s="75">
        <f>VLOOKUP($A138,'Data Vlaue (Cr)'!$C:$FB,68)</f>
        <v>1131</v>
      </c>
      <c r="N138" s="75">
        <f t="shared" si="10"/>
        <v>1207</v>
      </c>
      <c r="O138" s="75">
        <f t="shared" si="11"/>
        <v>51.625320786997428</v>
      </c>
      <c r="P138" s="75">
        <f>VLOOKUP($A138,'Data Vlaue (Cr)'!$C:$FB,119)</f>
        <v>0.66</v>
      </c>
      <c r="Q138" s="75">
        <f>VLOOKUP($A138,'Data Vlaue (Cr)'!$C:$FB,122)*100</f>
        <v>15.790000000000001</v>
      </c>
      <c r="R138" s="75">
        <f>VLOOKUP($A138,'Data Vlaue (Cr)'!$C:$FB,125)</f>
        <v>0.34</v>
      </c>
      <c r="S138" s="75">
        <f>VLOOKUP($A138,'Data Vlaue (Cr)'!$C:$FB,128)*100</f>
        <v>-20.93</v>
      </c>
    </row>
    <row r="139" spans="1:19" x14ac:dyDescent="0.25">
      <c r="A139" s="96" t="str">
        <f>'Data Vlaue (Cr)'!C130</f>
        <v>LUPIN</v>
      </c>
      <c r="B139" s="75">
        <f>VLOOKUP($A139,'Data Vlaue (Cr)'!$C:$FB,2)</f>
        <v>425</v>
      </c>
      <c r="C139" s="75">
        <f>VLOOKUP($A139,'Data Vlaue (Cr)'!$C:$FB,8)</f>
        <v>1940.3</v>
      </c>
      <c r="D139" s="75">
        <f>VLOOKUP($A139,'Data Vlaue (Cr)'!$C:$FB,4)</f>
        <v>1944.6</v>
      </c>
      <c r="E139" s="75">
        <f>VLOOKUP($A139,'Data Vlaue (Cr)'!$C:$FB,5)</f>
        <v>1975.1</v>
      </c>
      <c r="F139" s="75">
        <f t="shared" si="6"/>
        <v>4.2999999999999545</v>
      </c>
      <c r="G139" s="75">
        <f t="shared" si="7"/>
        <v>-1.5684459528951971</v>
      </c>
      <c r="H139" s="75">
        <f>VLOOKUP($A139,'Data Vlaue (Cr)'!$C:$FB,99)</f>
        <v>3428</v>
      </c>
      <c r="I139" s="75">
        <f>VLOOKUP($A139,'Data Vlaue (Cr)'!$C:$FB,100)</f>
        <v>3369</v>
      </c>
      <c r="J139" s="75">
        <f t="shared" si="8"/>
        <v>59</v>
      </c>
      <c r="K139" s="75">
        <f t="shared" si="9"/>
        <v>1.7211201866977828</v>
      </c>
      <c r="L139" s="75">
        <f>VLOOKUP($A139,'Data Vlaue (Cr)'!$C:$FB,67)</f>
        <v>1241</v>
      </c>
      <c r="M139" s="75">
        <f>VLOOKUP($A139,'Data Vlaue (Cr)'!$C:$FB,68)</f>
        <v>912</v>
      </c>
      <c r="N139" s="75">
        <f t="shared" si="10"/>
        <v>329</v>
      </c>
      <c r="O139" s="75">
        <f t="shared" si="11"/>
        <v>26.510878323932314</v>
      </c>
      <c r="P139" s="75">
        <f>VLOOKUP($A139,'Data Vlaue (Cr)'!$C:$FB,119)</f>
        <v>0.69</v>
      </c>
      <c r="Q139" s="75">
        <f>VLOOKUP($A139,'Data Vlaue (Cr)'!$C:$FB,122)*100</f>
        <v>-5.48</v>
      </c>
      <c r="R139" s="75">
        <f>VLOOKUP($A139,'Data Vlaue (Cr)'!$C:$FB,125)</f>
        <v>0.64</v>
      </c>
      <c r="S139" s="75">
        <f>VLOOKUP($A139,'Data Vlaue (Cr)'!$C:$FB,128)*100</f>
        <v>64.099999999999994</v>
      </c>
    </row>
    <row r="140" spans="1:19" x14ac:dyDescent="0.25">
      <c r="A140" s="96" t="str">
        <f>'Data Vlaue (Cr)'!C131</f>
        <v>M&amp;M</v>
      </c>
      <c r="B140" s="75">
        <f>VLOOKUP($A140,'Data Vlaue (Cr)'!$C:$FB,2)</f>
        <v>200</v>
      </c>
      <c r="C140" s="75">
        <f>VLOOKUP($A140,'Data Vlaue (Cr)'!$C:$FB,8)</f>
        <v>3395.6</v>
      </c>
      <c r="D140" s="75">
        <f>VLOOKUP($A140,'Data Vlaue (Cr)'!$C:$FB,4)</f>
        <v>3396.3</v>
      </c>
      <c r="E140" s="75">
        <f>VLOOKUP($A140,'Data Vlaue (Cr)'!$C:$FB,5)</f>
        <v>3356.4</v>
      </c>
      <c r="F140" s="75">
        <f t="shared" ref="F140:F176" si="12">D140-C140</f>
        <v>0.70000000000027285</v>
      </c>
      <c r="G140" s="75">
        <f t="shared" ref="G140:G176" si="13">(D140-E140)/D140*100</f>
        <v>1.1748078791626209</v>
      </c>
      <c r="H140" s="75">
        <f>VLOOKUP($A140,'Data Vlaue (Cr)'!$C:$FB,99)</f>
        <v>11057</v>
      </c>
      <c r="I140" s="75">
        <f>VLOOKUP($A140,'Data Vlaue (Cr)'!$C:$FB,100)</f>
        <v>10943</v>
      </c>
      <c r="J140" s="75">
        <f t="shared" ref="J140:J176" si="14">H140-I140</f>
        <v>114</v>
      </c>
      <c r="K140" s="75">
        <f t="shared" ref="K140:K176" si="15">J140/H140*100</f>
        <v>1.0310210726236773</v>
      </c>
      <c r="L140" s="75">
        <f>VLOOKUP($A140,'Data Vlaue (Cr)'!$C:$FB,67)</f>
        <v>6264</v>
      </c>
      <c r="M140" s="75">
        <f>VLOOKUP($A140,'Data Vlaue (Cr)'!$C:$FB,68)</f>
        <v>9063</v>
      </c>
      <c r="N140" s="75">
        <f t="shared" ref="N140:N176" si="16">L140-M140</f>
        <v>-2799</v>
      </c>
      <c r="O140" s="75">
        <f t="shared" ref="O140:O176" si="17">N140/L140*100</f>
        <v>-44.683908045977013</v>
      </c>
      <c r="P140" s="75">
        <f>VLOOKUP($A140,'Data Vlaue (Cr)'!$C:$FB,119)</f>
        <v>0.85</v>
      </c>
      <c r="Q140" s="75">
        <f>VLOOKUP($A140,'Data Vlaue (Cr)'!$C:$FB,122)*100</f>
        <v>6.25</v>
      </c>
      <c r="R140" s="75">
        <f>VLOOKUP($A140,'Data Vlaue (Cr)'!$C:$FB,125)</f>
        <v>0.54</v>
      </c>
      <c r="S140" s="75">
        <f>VLOOKUP($A140,'Data Vlaue (Cr)'!$C:$FB,128)*100</f>
        <v>-11.48</v>
      </c>
    </row>
    <row r="141" spans="1:19" x14ac:dyDescent="0.25">
      <c r="A141" s="96" t="str">
        <f>'Data Vlaue (Cr)'!C132</f>
        <v>MANAPPURAM</v>
      </c>
      <c r="B141" s="75">
        <f>VLOOKUP($A141,'Data Vlaue (Cr)'!$C:$FB,2)</f>
        <v>3000</v>
      </c>
      <c r="C141" s="75">
        <f>VLOOKUP($A141,'Data Vlaue (Cr)'!$C:$FB,8)</f>
        <v>266.10000000000002</v>
      </c>
      <c r="D141" s="75">
        <f>VLOOKUP($A141,'Data Vlaue (Cr)'!$C:$FB,4)</f>
        <v>266.64999999999998</v>
      </c>
      <c r="E141" s="75">
        <f>VLOOKUP($A141,'Data Vlaue (Cr)'!$C:$FB,5)</f>
        <v>270.25</v>
      </c>
      <c r="F141" s="75">
        <f t="shared" si="12"/>
        <v>0.54999999999995453</v>
      </c>
      <c r="G141" s="75">
        <f t="shared" si="13"/>
        <v>-1.3500843802737756</v>
      </c>
      <c r="H141" s="75">
        <f>VLOOKUP($A141,'Data Vlaue (Cr)'!$C:$FB,99)</f>
        <v>1639</v>
      </c>
      <c r="I141" s="75">
        <f>VLOOKUP($A141,'Data Vlaue (Cr)'!$C:$FB,100)</f>
        <v>1589</v>
      </c>
      <c r="J141" s="75">
        <f t="shared" si="14"/>
        <v>50</v>
      </c>
      <c r="K141" s="75">
        <f t="shared" si="15"/>
        <v>3.0506406345332517</v>
      </c>
      <c r="L141" s="75">
        <f>VLOOKUP($A141,'Data Vlaue (Cr)'!$C:$FB,67)</f>
        <v>880</v>
      </c>
      <c r="M141" s="75">
        <f>VLOOKUP($A141,'Data Vlaue (Cr)'!$C:$FB,68)</f>
        <v>1071</v>
      </c>
      <c r="N141" s="75">
        <f t="shared" si="16"/>
        <v>-191</v>
      </c>
      <c r="O141" s="75">
        <f t="shared" si="17"/>
        <v>-21.704545454545453</v>
      </c>
      <c r="P141" s="75">
        <f>VLOOKUP($A141,'Data Vlaue (Cr)'!$C:$FB,119)</f>
        <v>0.82</v>
      </c>
      <c r="Q141" s="75">
        <f>VLOOKUP($A141,'Data Vlaue (Cr)'!$C:$FB,122)*100</f>
        <v>-4.6500000000000004</v>
      </c>
      <c r="R141" s="75">
        <f>VLOOKUP($A141,'Data Vlaue (Cr)'!$C:$FB,125)</f>
        <v>0.79</v>
      </c>
      <c r="S141" s="75">
        <f>VLOOKUP($A141,'Data Vlaue (Cr)'!$C:$FB,128)*100</f>
        <v>12.86</v>
      </c>
    </row>
    <row r="142" spans="1:19" x14ac:dyDescent="0.25">
      <c r="A142" s="96" t="str">
        <f>'Data Vlaue (Cr)'!C133</f>
        <v>MANKIND</v>
      </c>
      <c r="B142" s="75">
        <f>VLOOKUP($A142,'Data Vlaue (Cr)'!$C:$FB,2)</f>
        <v>225</v>
      </c>
      <c r="C142" s="75">
        <f>VLOOKUP($A142,'Data Vlaue (Cr)'!$C:$FB,8)</f>
        <v>2506.6</v>
      </c>
      <c r="D142" s="75">
        <f>VLOOKUP($A142,'Data Vlaue (Cr)'!$C:$FB,4)</f>
        <v>2512.9</v>
      </c>
      <c r="E142" s="75">
        <f>VLOOKUP($A142,'Data Vlaue (Cr)'!$C:$FB,5)</f>
        <v>2499.4</v>
      </c>
      <c r="F142" s="75">
        <f t="shared" si="12"/>
        <v>6.3000000000001819</v>
      </c>
      <c r="G142" s="75">
        <f t="shared" si="13"/>
        <v>0.53722790401528109</v>
      </c>
      <c r="H142" s="75">
        <f>VLOOKUP($A142,'Data Vlaue (Cr)'!$C:$FB,99)</f>
        <v>762</v>
      </c>
      <c r="I142" s="75">
        <f>VLOOKUP($A142,'Data Vlaue (Cr)'!$C:$FB,100)</f>
        <v>757</v>
      </c>
      <c r="J142" s="75">
        <f t="shared" si="14"/>
        <v>5</v>
      </c>
      <c r="K142" s="75">
        <f t="shared" si="15"/>
        <v>0.65616797900262469</v>
      </c>
      <c r="L142" s="75">
        <f>VLOOKUP($A142,'Data Vlaue (Cr)'!$C:$FB,67)</f>
        <v>270</v>
      </c>
      <c r="M142" s="75">
        <f>VLOOKUP($A142,'Data Vlaue (Cr)'!$C:$FB,68)</f>
        <v>524</v>
      </c>
      <c r="N142" s="75">
        <f t="shared" si="16"/>
        <v>-254</v>
      </c>
      <c r="O142" s="75">
        <f t="shared" si="17"/>
        <v>-94.074074074074076</v>
      </c>
      <c r="P142" s="75">
        <f>VLOOKUP($A142,'Data Vlaue (Cr)'!$C:$FB,119)</f>
        <v>0.48</v>
      </c>
      <c r="Q142" s="75">
        <f>VLOOKUP($A142,'Data Vlaue (Cr)'!$C:$FB,122)*100</f>
        <v>2.13</v>
      </c>
      <c r="R142" s="75">
        <f>VLOOKUP($A142,'Data Vlaue (Cr)'!$C:$FB,125)</f>
        <v>0.19</v>
      </c>
      <c r="S142" s="75">
        <f>VLOOKUP($A142,'Data Vlaue (Cr)'!$C:$FB,128)*100</f>
        <v>5.56</v>
      </c>
    </row>
    <row r="143" spans="1:19" x14ac:dyDescent="0.25">
      <c r="A143" s="96" t="str">
        <f>'Data Vlaue (Cr)'!C134</f>
        <v>MARICO</v>
      </c>
      <c r="B143" s="75">
        <f>VLOOKUP($A143,'Data Vlaue (Cr)'!$C:$FB,2)</f>
        <v>1200</v>
      </c>
      <c r="C143" s="75">
        <f>VLOOKUP($A143,'Data Vlaue (Cr)'!$C:$FB,8)</f>
        <v>751.85</v>
      </c>
      <c r="D143" s="75">
        <f>VLOOKUP($A143,'Data Vlaue (Cr)'!$C:$FB,4)</f>
        <v>752.4</v>
      </c>
      <c r="E143" s="75">
        <f>VLOOKUP($A143,'Data Vlaue (Cr)'!$C:$FB,5)</f>
        <v>727.25</v>
      </c>
      <c r="F143" s="75">
        <f t="shared" si="12"/>
        <v>0.54999999999995453</v>
      </c>
      <c r="G143" s="75">
        <f t="shared" si="13"/>
        <v>3.3426368952684715</v>
      </c>
      <c r="H143" s="75">
        <f>VLOOKUP($A143,'Data Vlaue (Cr)'!$C:$FB,99)</f>
        <v>2730</v>
      </c>
      <c r="I143" s="75">
        <f>VLOOKUP($A143,'Data Vlaue (Cr)'!$C:$FB,100)</f>
        <v>2594</v>
      </c>
      <c r="J143" s="75">
        <f t="shared" si="14"/>
        <v>136</v>
      </c>
      <c r="K143" s="75"/>
      <c r="L143" s="75">
        <f>VLOOKUP($A143,'Data Vlaue (Cr)'!$C:$FB,67)</f>
        <v>4968</v>
      </c>
      <c r="M143" s="75">
        <f>VLOOKUP($A143,'Data Vlaue (Cr)'!$C:$FB,68)</f>
        <v>1090</v>
      </c>
      <c r="N143" s="75">
        <f t="shared" si="16"/>
        <v>3878</v>
      </c>
      <c r="O143" s="75">
        <f t="shared" si="17"/>
        <v>78.059581320450889</v>
      </c>
      <c r="P143" s="75">
        <f>VLOOKUP($A143,'Data Vlaue (Cr)'!$C:$FB,119)</f>
        <v>0.7</v>
      </c>
      <c r="Q143" s="75">
        <f>VLOOKUP($A143,'Data Vlaue (Cr)'!$C:$FB,122)*100</f>
        <v>70.73</v>
      </c>
      <c r="R143" s="75">
        <f>VLOOKUP($A143,'Data Vlaue (Cr)'!$C:$FB,125)</f>
        <v>0.26</v>
      </c>
      <c r="S143" s="75">
        <f>VLOOKUP($A143,'Data Vlaue (Cr)'!$C:$FB,128)*100</f>
        <v>-13.33</v>
      </c>
    </row>
    <row r="144" spans="1:19" x14ac:dyDescent="0.25">
      <c r="A144" s="96" t="str">
        <f>'Data Vlaue (Cr)'!C135</f>
        <v>MARUTI</v>
      </c>
      <c r="B144" s="75">
        <f>VLOOKUP($A144,'Data Vlaue (Cr)'!$C:$FB,2)</f>
        <v>50</v>
      </c>
      <c r="C144" s="75">
        <f>VLOOKUP($A144,'Data Vlaue (Cr)'!$C:$FB,8)</f>
        <v>14221</v>
      </c>
      <c r="D144" s="75">
        <f>VLOOKUP($A144,'Data Vlaue (Cr)'!$C:$FB,4)</f>
        <v>14221</v>
      </c>
      <c r="E144" s="75">
        <f>VLOOKUP($A144,'Data Vlaue (Cr)'!$C:$FB,5)</f>
        <v>14236</v>
      </c>
      <c r="F144" s="75">
        <f t="shared" si="12"/>
        <v>0</v>
      </c>
      <c r="G144" s="75">
        <f t="shared" si="13"/>
        <v>-0.10547781449968356</v>
      </c>
      <c r="H144" s="75">
        <f>VLOOKUP($A144,'Data Vlaue (Cr)'!$C:$FB,99)</f>
        <v>18649</v>
      </c>
      <c r="I144" s="75">
        <f>VLOOKUP($A144,'Data Vlaue (Cr)'!$C:$FB,100)</f>
        <v>18676</v>
      </c>
      <c r="J144" s="75">
        <f t="shared" si="14"/>
        <v>-27</v>
      </c>
      <c r="K144" s="75">
        <f t="shared" si="15"/>
        <v>-0.14477988095876457</v>
      </c>
      <c r="L144" s="75">
        <f>VLOOKUP($A144,'Data Vlaue (Cr)'!$C:$FB,67)</f>
        <v>18284</v>
      </c>
      <c r="M144" s="75">
        <f>VLOOKUP($A144,'Data Vlaue (Cr)'!$C:$FB,68)</f>
        <v>43425</v>
      </c>
      <c r="N144" s="75">
        <f t="shared" si="16"/>
        <v>-25141</v>
      </c>
      <c r="O144" s="75">
        <f t="shared" si="17"/>
        <v>-137.50273463137168</v>
      </c>
      <c r="P144" s="75">
        <f>VLOOKUP($A144,'Data Vlaue (Cr)'!$C:$FB,119)</f>
        <v>1.1100000000000001</v>
      </c>
      <c r="Q144" s="75">
        <f>VLOOKUP($A144,'Data Vlaue (Cr)'!$C:$FB,122)*100</f>
        <v>-2.63</v>
      </c>
      <c r="R144" s="75">
        <f>VLOOKUP($A144,'Data Vlaue (Cr)'!$C:$FB,125)</f>
        <v>0.94</v>
      </c>
      <c r="S144" s="75">
        <f>VLOOKUP($A144,'Data Vlaue (Cr)'!$C:$FB,128)*100</f>
        <v>23.68</v>
      </c>
    </row>
    <row r="145" spans="1:19" x14ac:dyDescent="0.25">
      <c r="A145" s="96" t="str">
        <f>'Data Vlaue (Cr)'!C136</f>
        <v>MAXHEALTH</v>
      </c>
      <c r="B145" s="75">
        <f>VLOOKUP($A145,'Data Vlaue (Cr)'!$C:$FB,2)</f>
        <v>525</v>
      </c>
      <c r="C145" s="75">
        <f>VLOOKUP($A145,'Data Vlaue (Cr)'!$C:$FB,8)</f>
        <v>1225.5999999999999</v>
      </c>
      <c r="D145" s="75">
        <f>VLOOKUP($A145,'Data Vlaue (Cr)'!$C:$FB,4)</f>
        <v>1229.7</v>
      </c>
      <c r="E145" s="75">
        <f>VLOOKUP($A145,'Data Vlaue (Cr)'!$C:$FB,5)</f>
        <v>1234.5999999999999</v>
      </c>
      <c r="F145" s="75">
        <f t="shared" si="12"/>
        <v>4.1000000000001364</v>
      </c>
      <c r="G145" s="75">
        <f t="shared" si="13"/>
        <v>-0.39847117183051661</v>
      </c>
      <c r="H145" s="75">
        <f>VLOOKUP($A145,'Data Vlaue (Cr)'!$C:$FB,99)</f>
        <v>2397</v>
      </c>
      <c r="I145" s="75">
        <f>VLOOKUP($A145,'Data Vlaue (Cr)'!$C:$FB,100)</f>
        <v>2337</v>
      </c>
      <c r="J145" s="75">
        <f t="shared" si="14"/>
        <v>60</v>
      </c>
      <c r="K145" s="75">
        <f t="shared" si="15"/>
        <v>2.5031289111389237</v>
      </c>
      <c r="L145" s="75">
        <f>VLOOKUP($A145,'Data Vlaue (Cr)'!$C:$FB,67)</f>
        <v>879</v>
      </c>
      <c r="M145" s="75">
        <f>VLOOKUP($A145,'Data Vlaue (Cr)'!$C:$FB,68)</f>
        <v>1013</v>
      </c>
      <c r="N145" s="75">
        <f t="shared" si="16"/>
        <v>-134</v>
      </c>
      <c r="O145" s="75">
        <f t="shared" si="17"/>
        <v>-15.244596131968146</v>
      </c>
      <c r="P145" s="75">
        <f>VLOOKUP($A145,'Data Vlaue (Cr)'!$C:$FB,119)</f>
        <v>0.36</v>
      </c>
      <c r="Q145" s="75">
        <f>VLOOKUP($A145,'Data Vlaue (Cr)'!$C:$FB,122)*100</f>
        <v>0</v>
      </c>
      <c r="R145" s="75">
        <f>VLOOKUP($A145,'Data Vlaue (Cr)'!$C:$FB,125)</f>
        <v>0.4</v>
      </c>
      <c r="S145" s="75">
        <f>VLOOKUP($A145,'Data Vlaue (Cr)'!$C:$FB,128)*100</f>
        <v>29.03</v>
      </c>
    </row>
    <row r="146" spans="1:19" x14ac:dyDescent="0.25">
      <c r="A146" s="96" t="str">
        <f>'Data Vlaue (Cr)'!C137</f>
        <v>MAZDOCK</v>
      </c>
      <c r="B146" s="75">
        <f>VLOOKUP($A146,'Data Vlaue (Cr)'!$C:$FB,2)</f>
        <v>175</v>
      </c>
      <c r="C146" s="75">
        <f>VLOOKUP($A146,'Data Vlaue (Cr)'!$C:$FB,8)</f>
        <v>2772.9</v>
      </c>
      <c r="D146" s="75">
        <f>VLOOKUP($A146,'Data Vlaue (Cr)'!$C:$FB,4)</f>
        <v>2782.8</v>
      </c>
      <c r="E146" s="75">
        <f>VLOOKUP($A146,'Data Vlaue (Cr)'!$C:$FB,5)</f>
        <v>2752.6</v>
      </c>
      <c r="F146" s="75">
        <f t="shared" si="12"/>
        <v>9.9000000000000909</v>
      </c>
      <c r="G146" s="75">
        <f t="shared" si="13"/>
        <v>1.0852378898950794</v>
      </c>
      <c r="H146" s="75">
        <f>VLOOKUP($A146,'Data Vlaue (Cr)'!$C:$FB,99)</f>
        <v>1802</v>
      </c>
      <c r="I146" s="75">
        <f>VLOOKUP($A146,'Data Vlaue (Cr)'!$C:$FB,100)</f>
        <v>1784</v>
      </c>
      <c r="J146" s="75">
        <f t="shared" si="14"/>
        <v>18</v>
      </c>
      <c r="K146" s="75">
        <f t="shared" si="15"/>
        <v>0.99889012208657058</v>
      </c>
      <c r="L146" s="75">
        <f>VLOOKUP($A146,'Data Vlaue (Cr)'!$C:$FB,67)</f>
        <v>1918</v>
      </c>
      <c r="M146" s="75">
        <f>VLOOKUP($A146,'Data Vlaue (Cr)'!$C:$FB,68)</f>
        <v>1046</v>
      </c>
      <c r="N146" s="75">
        <f t="shared" si="16"/>
        <v>872</v>
      </c>
      <c r="O146" s="75">
        <f t="shared" si="17"/>
        <v>45.464025026068825</v>
      </c>
      <c r="P146" s="75">
        <f>VLOOKUP($A146,'Data Vlaue (Cr)'!$C:$FB,119)</f>
        <v>0.46</v>
      </c>
      <c r="Q146" s="75">
        <f>VLOOKUP($A146,'Data Vlaue (Cr)'!$C:$FB,122)*100</f>
        <v>9.5200000000000014</v>
      </c>
      <c r="R146" s="75">
        <f>VLOOKUP($A146,'Data Vlaue (Cr)'!$C:$FB,125)</f>
        <v>0.31</v>
      </c>
      <c r="S146" s="75">
        <f>VLOOKUP($A146,'Data Vlaue (Cr)'!$C:$FB,128)*100</f>
        <v>72.22</v>
      </c>
    </row>
    <row r="147" spans="1:19" x14ac:dyDescent="0.25">
      <c r="A147" s="96" t="str">
        <f>'Data Vlaue (Cr)'!C138</f>
        <v>MCX</v>
      </c>
      <c r="B147" s="75">
        <f>VLOOKUP($A147,'Data Vlaue (Cr)'!$C:$FB,2)</f>
        <v>125</v>
      </c>
      <c r="C147" s="75">
        <f>VLOOKUP($A147,'Data Vlaue (Cr)'!$C:$FB,8)</f>
        <v>8224</v>
      </c>
      <c r="D147" s="75">
        <f>VLOOKUP($A147,'Data Vlaue (Cr)'!$C:$FB,4)</f>
        <v>8248</v>
      </c>
      <c r="E147" s="75">
        <f>VLOOKUP($A147,'Data Vlaue (Cr)'!$C:$FB,5)</f>
        <v>8325</v>
      </c>
      <c r="F147" s="75">
        <f t="shared" si="12"/>
        <v>24</v>
      </c>
      <c r="G147" s="75">
        <f t="shared" si="13"/>
        <v>-0.93355965082444226</v>
      </c>
      <c r="H147" s="75">
        <f>VLOOKUP($A147,'Data Vlaue (Cr)'!$C:$FB,99)</f>
        <v>4451</v>
      </c>
      <c r="I147" s="75">
        <f>VLOOKUP($A147,'Data Vlaue (Cr)'!$C:$FB,100)</f>
        <v>4487</v>
      </c>
      <c r="J147" s="75">
        <f t="shared" si="14"/>
        <v>-36</v>
      </c>
      <c r="K147" s="75">
        <f t="shared" si="15"/>
        <v>-0.80880700966075048</v>
      </c>
      <c r="L147" s="75">
        <f>VLOOKUP($A147,'Data Vlaue (Cr)'!$C:$FB,67)</f>
        <v>3433</v>
      </c>
      <c r="M147" s="75">
        <f>VLOOKUP($A147,'Data Vlaue (Cr)'!$C:$FB,68)</f>
        <v>6578</v>
      </c>
      <c r="N147" s="75">
        <f t="shared" si="16"/>
        <v>-3145</v>
      </c>
      <c r="O147" s="75">
        <f t="shared" si="17"/>
        <v>-91.610836003495493</v>
      </c>
      <c r="P147" s="75">
        <f>VLOOKUP($A147,'Data Vlaue (Cr)'!$C:$FB,119)</f>
        <v>0.66</v>
      </c>
      <c r="Q147" s="75">
        <f>VLOOKUP($A147,'Data Vlaue (Cr)'!$C:$FB,122)*100</f>
        <v>-7.04</v>
      </c>
      <c r="R147" s="75">
        <f>VLOOKUP($A147,'Data Vlaue (Cr)'!$C:$FB,125)</f>
        <v>0.77</v>
      </c>
      <c r="S147" s="75">
        <f>VLOOKUP($A147,'Data Vlaue (Cr)'!$C:$FB,128)*100</f>
        <v>-7.23</v>
      </c>
    </row>
    <row r="148" spans="1:19" x14ac:dyDescent="0.25">
      <c r="A148" s="96" t="str">
        <f>'Data Vlaue (Cr)'!C139</f>
        <v>MFSL</v>
      </c>
      <c r="B148" s="75">
        <f>VLOOKUP($A148,'Data Vlaue (Cr)'!$C:$FB,2)</f>
        <v>800</v>
      </c>
      <c r="C148" s="75">
        <f>VLOOKUP($A148,'Data Vlaue (Cr)'!$C:$FB,8)</f>
        <v>1643.6</v>
      </c>
      <c r="D148" s="75">
        <f>VLOOKUP($A148,'Data Vlaue (Cr)'!$C:$FB,4)</f>
        <v>1645.1</v>
      </c>
      <c r="E148" s="75">
        <f>VLOOKUP($A148,'Data Vlaue (Cr)'!$C:$FB,5)</f>
        <v>1639.4</v>
      </c>
      <c r="F148" s="75">
        <f t="shared" si="12"/>
        <v>1.5</v>
      </c>
      <c r="G148" s="75">
        <f t="shared" si="13"/>
        <v>0.34648349644397414</v>
      </c>
      <c r="H148" s="75">
        <f>VLOOKUP($A148,'Data Vlaue (Cr)'!$C:$FB,99)</f>
        <v>1333</v>
      </c>
      <c r="I148" s="75">
        <f>VLOOKUP($A148,'Data Vlaue (Cr)'!$C:$FB,100)</f>
        <v>1343</v>
      </c>
      <c r="J148" s="75">
        <f t="shared" si="14"/>
        <v>-10</v>
      </c>
      <c r="K148" s="75">
        <f t="shared" si="15"/>
        <v>-0.75018754688672162</v>
      </c>
      <c r="L148" s="75">
        <f>VLOOKUP($A148,'Data Vlaue (Cr)'!$C:$FB,67)</f>
        <v>350</v>
      </c>
      <c r="M148" s="75">
        <f>VLOOKUP($A148,'Data Vlaue (Cr)'!$C:$FB,68)</f>
        <v>1051</v>
      </c>
      <c r="N148" s="75">
        <f t="shared" si="16"/>
        <v>-701</v>
      </c>
      <c r="O148" s="75">
        <f t="shared" si="17"/>
        <v>-200.28571428571428</v>
      </c>
      <c r="P148" s="75">
        <f>VLOOKUP($A148,'Data Vlaue (Cr)'!$C:$FB,119)</f>
        <v>0.91</v>
      </c>
      <c r="Q148" s="75">
        <f>VLOOKUP($A148,'Data Vlaue (Cr)'!$C:$FB,122)*100</f>
        <v>3.4099999999999997</v>
      </c>
      <c r="R148" s="75">
        <f>VLOOKUP($A148,'Data Vlaue (Cr)'!$C:$FB,125)</f>
        <v>0.55000000000000004</v>
      </c>
      <c r="S148" s="75">
        <f>VLOOKUP($A148,'Data Vlaue (Cr)'!$C:$FB,128)*100</f>
        <v>-52.17</v>
      </c>
    </row>
    <row r="149" spans="1:19" x14ac:dyDescent="0.25">
      <c r="A149" s="96" t="str">
        <f>'Data Vlaue (Cr)'!C140</f>
        <v>MIDCPNIFTY</v>
      </c>
      <c r="B149" s="75">
        <f>VLOOKUP($A149,'Data Vlaue (Cr)'!$C:$FB,2)</f>
        <v>140</v>
      </c>
      <c r="C149" s="75">
        <f>VLOOKUP($A149,'Data Vlaue (Cr)'!$C:$FB,8)</f>
        <v>12999.8</v>
      </c>
      <c r="D149" s="75">
        <f>VLOOKUP($A149,'Data Vlaue (Cr)'!$C:$FB,4)</f>
        <v>13023.85</v>
      </c>
      <c r="E149" s="75">
        <f>VLOOKUP($A149,'Data Vlaue (Cr)'!$C:$FB,5)</f>
        <v>12958.3</v>
      </c>
      <c r="F149" s="75">
        <f t="shared" si="12"/>
        <v>24.050000000001091</v>
      </c>
      <c r="G149" s="75">
        <f t="shared" si="13"/>
        <v>0.50330739374302602</v>
      </c>
      <c r="H149" s="75">
        <f>VLOOKUP($A149,'Data Vlaue (Cr)'!$C:$FB,99)</f>
        <v>27571</v>
      </c>
      <c r="I149" s="75">
        <f>VLOOKUP($A149,'Data Vlaue (Cr)'!$C:$FB,100)</f>
        <v>23986</v>
      </c>
      <c r="J149" s="75">
        <f t="shared" si="14"/>
        <v>3585</v>
      </c>
      <c r="K149" s="75">
        <f t="shared" si="15"/>
        <v>13.002792789525225</v>
      </c>
      <c r="L149" s="75">
        <f>VLOOKUP($A149,'Data Vlaue (Cr)'!$C:$FB,67)</f>
        <v>91768</v>
      </c>
      <c r="M149" s="75">
        <f>VLOOKUP($A149,'Data Vlaue (Cr)'!$C:$FB,68)</f>
        <v>83016</v>
      </c>
      <c r="N149" s="75">
        <f t="shared" si="16"/>
        <v>8752</v>
      </c>
      <c r="O149" s="75">
        <f t="shared" si="17"/>
        <v>9.5370935402318899</v>
      </c>
      <c r="P149" s="75">
        <f>VLOOKUP($A149,'Data Vlaue (Cr)'!$C:$FB,119)</f>
        <v>1.33</v>
      </c>
      <c r="Q149" s="75">
        <f>VLOOKUP($A149,'Data Vlaue (Cr)'!$C:$FB,122)*100</f>
        <v>18.75</v>
      </c>
      <c r="R149" s="75">
        <f>VLOOKUP($A149,'Data Vlaue (Cr)'!$C:$FB,125)</f>
        <v>1.1299999999999999</v>
      </c>
      <c r="S149" s="75">
        <f>VLOOKUP($A149,'Data Vlaue (Cr)'!$C:$FB,128)*100</f>
        <v>22.830000000000002</v>
      </c>
    </row>
    <row r="150" spans="1:19" x14ac:dyDescent="0.25">
      <c r="A150" s="96" t="str">
        <f>'Data Vlaue (Cr)'!C141</f>
        <v>MOTHERSON</v>
      </c>
      <c r="B150" s="75">
        <f>VLOOKUP($A150,'Data Vlaue (Cr)'!$C:$FB,2)</f>
        <v>6150</v>
      </c>
      <c r="C150" s="75">
        <f>VLOOKUP($A150,'Data Vlaue (Cr)'!$C:$FB,8)</f>
        <v>97.97</v>
      </c>
      <c r="D150" s="75">
        <f>VLOOKUP($A150,'Data Vlaue (Cr)'!$C:$FB,4)</f>
        <v>97.99</v>
      </c>
      <c r="E150" s="75">
        <f>VLOOKUP($A150,'Data Vlaue (Cr)'!$C:$FB,5)</f>
        <v>99.62</v>
      </c>
      <c r="F150" s="75">
        <f t="shared" si="12"/>
        <v>1.9999999999996021E-2</v>
      </c>
      <c r="G150" s="75">
        <f t="shared" si="13"/>
        <v>-1.6634350443922949</v>
      </c>
      <c r="H150" s="75">
        <f>VLOOKUP($A150,'Data Vlaue (Cr)'!$C:$FB,99)</f>
        <v>2408</v>
      </c>
      <c r="I150" s="75">
        <f>VLOOKUP($A150,'Data Vlaue (Cr)'!$C:$FB,100)</f>
        <v>2410</v>
      </c>
      <c r="J150" s="75">
        <f t="shared" si="14"/>
        <v>-2</v>
      </c>
      <c r="K150" s="75">
        <f t="shared" si="15"/>
        <v>-8.3056478405315617E-2</v>
      </c>
      <c r="L150" s="75">
        <f>VLOOKUP($A150,'Data Vlaue (Cr)'!$C:$FB,67)</f>
        <v>1139</v>
      </c>
      <c r="M150" s="75">
        <f>VLOOKUP($A150,'Data Vlaue (Cr)'!$C:$FB,68)</f>
        <v>2572</v>
      </c>
      <c r="N150" s="75">
        <f t="shared" si="16"/>
        <v>-1433</v>
      </c>
      <c r="O150" s="75">
        <f t="shared" si="17"/>
        <v>-125.81211589113256</v>
      </c>
      <c r="P150" s="75">
        <f>VLOOKUP($A150,'Data Vlaue (Cr)'!$C:$FB,119)</f>
        <v>0.73</v>
      </c>
      <c r="Q150" s="75">
        <f>VLOOKUP($A150,'Data Vlaue (Cr)'!$C:$FB,122)*100</f>
        <v>-16.09</v>
      </c>
      <c r="R150" s="75">
        <f>VLOOKUP($A150,'Data Vlaue (Cr)'!$C:$FB,125)</f>
        <v>0.53</v>
      </c>
      <c r="S150" s="75">
        <f>VLOOKUP($A150,'Data Vlaue (Cr)'!$C:$FB,128)*100</f>
        <v>60.61</v>
      </c>
    </row>
    <row r="151" spans="1:19" x14ac:dyDescent="0.25">
      <c r="A151" s="96" t="str">
        <f>'Data Vlaue (Cr)'!C142</f>
        <v>MPHASIS</v>
      </c>
      <c r="B151" s="75">
        <f>VLOOKUP($A151,'Data Vlaue (Cr)'!$C:$FB,2)</f>
        <v>275</v>
      </c>
      <c r="C151" s="75">
        <f>VLOOKUP($A151,'Data Vlaue (Cr)'!$C:$FB,8)</f>
        <v>2835.5</v>
      </c>
      <c r="D151" s="75">
        <f>VLOOKUP($A151,'Data Vlaue (Cr)'!$C:$FB,4)</f>
        <v>2838.9</v>
      </c>
      <c r="E151" s="75">
        <f>VLOOKUP($A151,'Data Vlaue (Cr)'!$C:$FB,5)</f>
        <v>2745.7</v>
      </c>
      <c r="F151" s="75">
        <f t="shared" si="12"/>
        <v>3.4000000000000909</v>
      </c>
      <c r="G151" s="75">
        <f t="shared" si="13"/>
        <v>3.2829617105216902</v>
      </c>
      <c r="H151" s="75">
        <f>VLOOKUP($A151,'Data Vlaue (Cr)'!$C:$FB,99)</f>
        <v>1595</v>
      </c>
      <c r="I151" s="75">
        <f>VLOOKUP($A151,'Data Vlaue (Cr)'!$C:$FB,100)</f>
        <v>1519</v>
      </c>
      <c r="J151" s="75">
        <f t="shared" si="14"/>
        <v>76</v>
      </c>
      <c r="K151" s="75">
        <f t="shared" si="15"/>
        <v>4.7648902821316614</v>
      </c>
      <c r="L151" s="75">
        <f>VLOOKUP($A151,'Data Vlaue (Cr)'!$C:$FB,67)</f>
        <v>2714</v>
      </c>
      <c r="M151" s="75">
        <f>VLOOKUP($A151,'Data Vlaue (Cr)'!$C:$FB,68)</f>
        <v>472</v>
      </c>
      <c r="N151" s="75">
        <f t="shared" si="16"/>
        <v>2242</v>
      </c>
      <c r="O151" s="75">
        <f t="shared" si="17"/>
        <v>82.608695652173907</v>
      </c>
      <c r="P151" s="75">
        <f>VLOOKUP($A151,'Data Vlaue (Cr)'!$C:$FB,119)</f>
        <v>0.74</v>
      </c>
      <c r="Q151" s="75">
        <f>VLOOKUP($A151,'Data Vlaue (Cr)'!$C:$FB,122)*100</f>
        <v>37.04</v>
      </c>
      <c r="R151" s="75">
        <f>VLOOKUP($A151,'Data Vlaue (Cr)'!$C:$FB,125)</f>
        <v>0.35</v>
      </c>
      <c r="S151" s="75">
        <f>VLOOKUP($A151,'Data Vlaue (Cr)'!$C:$FB,128)*100</f>
        <v>29.630000000000003</v>
      </c>
    </row>
    <row r="152" spans="1:19" x14ac:dyDescent="0.25">
      <c r="A152" s="96" t="str">
        <f>'Data Vlaue (Cr)'!C143</f>
        <v>MUTHOOTFIN</v>
      </c>
      <c r="B152" s="75">
        <f>VLOOKUP($A152,'Data Vlaue (Cr)'!$C:$FB,2)</f>
        <v>275</v>
      </c>
      <c r="C152" s="75">
        <f>VLOOKUP($A152,'Data Vlaue (Cr)'!$C:$FB,8)</f>
        <v>2683.9</v>
      </c>
      <c r="D152" s="75">
        <f>VLOOKUP($A152,'Data Vlaue (Cr)'!$C:$FB,4)</f>
        <v>2687.5</v>
      </c>
      <c r="E152" s="75">
        <f>VLOOKUP($A152,'Data Vlaue (Cr)'!$C:$FB,5)</f>
        <v>2750</v>
      </c>
      <c r="F152" s="75">
        <f t="shared" si="12"/>
        <v>3.5999999999999091</v>
      </c>
      <c r="G152" s="75">
        <f t="shared" si="13"/>
        <v>-2.3255813953488373</v>
      </c>
      <c r="H152" s="75">
        <f>VLOOKUP($A152,'Data Vlaue (Cr)'!$C:$FB,99)</f>
        <v>3520</v>
      </c>
      <c r="I152" s="75">
        <f>VLOOKUP($A152,'Data Vlaue (Cr)'!$C:$FB,100)</f>
        <v>3333</v>
      </c>
      <c r="J152" s="75">
        <f t="shared" si="14"/>
        <v>187</v>
      </c>
      <c r="K152" s="75">
        <f t="shared" si="15"/>
        <v>5.3125</v>
      </c>
      <c r="L152" s="75">
        <f>VLOOKUP($A152,'Data Vlaue (Cr)'!$C:$FB,67)</f>
        <v>5893</v>
      </c>
      <c r="M152" s="75">
        <f>VLOOKUP($A152,'Data Vlaue (Cr)'!$C:$FB,68)</f>
        <v>3477</v>
      </c>
      <c r="N152" s="75">
        <f t="shared" si="16"/>
        <v>2416</v>
      </c>
      <c r="O152" s="75">
        <f t="shared" si="17"/>
        <v>40.9977939928729</v>
      </c>
      <c r="P152" s="75">
        <f>VLOOKUP($A152,'Data Vlaue (Cr)'!$C:$FB,119)</f>
        <v>0.57999999999999996</v>
      </c>
      <c r="Q152" s="75">
        <f>VLOOKUP($A152,'Data Vlaue (Cr)'!$C:$FB,122)*100</f>
        <v>-10.77</v>
      </c>
      <c r="R152" s="75">
        <f>VLOOKUP($A152,'Data Vlaue (Cr)'!$C:$FB,125)</f>
        <v>1</v>
      </c>
      <c r="S152" s="75">
        <f>VLOOKUP($A152,'Data Vlaue (Cr)'!$C:$FB,128)*100</f>
        <v>44.93</v>
      </c>
    </row>
    <row r="153" spans="1:19" x14ac:dyDescent="0.25">
      <c r="A153" s="96" t="str">
        <f>'Data Vlaue (Cr)'!C144</f>
        <v>NATIONALUM</v>
      </c>
      <c r="B153" s="75">
        <f>VLOOKUP($A153,'Data Vlaue (Cr)'!$C:$FB,2)</f>
        <v>3750</v>
      </c>
      <c r="C153" s="75">
        <f>VLOOKUP($A153,'Data Vlaue (Cr)'!$C:$FB,8)</f>
        <v>192.22</v>
      </c>
      <c r="D153" s="75">
        <f>VLOOKUP($A153,'Data Vlaue (Cr)'!$C:$FB,4)</f>
        <v>192.3</v>
      </c>
      <c r="E153" s="75">
        <f>VLOOKUP($A153,'Data Vlaue (Cr)'!$C:$FB,5)</f>
        <v>191.89</v>
      </c>
      <c r="F153" s="75">
        <f t="shared" si="12"/>
        <v>8.0000000000012506E-2</v>
      </c>
      <c r="G153" s="75">
        <f t="shared" si="13"/>
        <v>0.21320852834114662</v>
      </c>
      <c r="H153" s="75">
        <f>VLOOKUP($A153,'Data Vlaue (Cr)'!$C:$FB,99)</f>
        <v>2171</v>
      </c>
      <c r="I153" s="75">
        <f>VLOOKUP($A153,'Data Vlaue (Cr)'!$C:$FB,100)</f>
        <v>2118</v>
      </c>
      <c r="J153" s="75">
        <f t="shared" si="14"/>
        <v>53</v>
      </c>
      <c r="K153" s="75">
        <f t="shared" si="15"/>
        <v>2.4412713035467526</v>
      </c>
      <c r="L153" s="75">
        <f>VLOOKUP($A153,'Data Vlaue (Cr)'!$C:$FB,67)</f>
        <v>1038</v>
      </c>
      <c r="M153" s="75">
        <f>VLOOKUP($A153,'Data Vlaue (Cr)'!$C:$FB,68)</f>
        <v>993</v>
      </c>
      <c r="N153" s="75">
        <f t="shared" si="16"/>
        <v>45</v>
      </c>
      <c r="O153" s="75">
        <f t="shared" si="17"/>
        <v>4.3352601156069364</v>
      </c>
      <c r="P153" s="75">
        <f>VLOOKUP($A153,'Data Vlaue (Cr)'!$C:$FB,119)</f>
        <v>0.77</v>
      </c>
      <c r="Q153" s="75">
        <f>VLOOKUP($A153,'Data Vlaue (Cr)'!$C:$FB,122)*100</f>
        <v>0</v>
      </c>
      <c r="R153" s="75">
        <f>VLOOKUP($A153,'Data Vlaue (Cr)'!$C:$FB,125)</f>
        <v>0.52</v>
      </c>
      <c r="S153" s="75">
        <f>VLOOKUP($A153,'Data Vlaue (Cr)'!$C:$FB,128)*100</f>
        <v>-28.77</v>
      </c>
    </row>
    <row r="154" spans="1:19" x14ac:dyDescent="0.25">
      <c r="A154" s="96" t="str">
        <f>'Data Vlaue (Cr)'!C145</f>
        <v>NAUKRI</v>
      </c>
      <c r="B154" s="75">
        <f>VLOOKUP($A154,'Data Vlaue (Cr)'!$C:$FB,2)</f>
        <v>375</v>
      </c>
      <c r="C154" s="75">
        <f>VLOOKUP($A154,'Data Vlaue (Cr)'!$C:$FB,8)</f>
        <v>1395.5</v>
      </c>
      <c r="D154" s="75">
        <f>VLOOKUP($A154,'Data Vlaue (Cr)'!$C:$FB,4)</f>
        <v>1400.1</v>
      </c>
      <c r="E154" s="75">
        <f>VLOOKUP($A154,'Data Vlaue (Cr)'!$C:$FB,5)</f>
        <v>1383.8</v>
      </c>
      <c r="F154" s="75">
        <f t="shared" si="12"/>
        <v>4.5999999999999091</v>
      </c>
      <c r="G154" s="75">
        <f t="shared" si="13"/>
        <v>1.1642025569602139</v>
      </c>
      <c r="H154" s="75">
        <f>VLOOKUP($A154,'Data Vlaue (Cr)'!$C:$FB,99)</f>
        <v>2167</v>
      </c>
      <c r="I154" s="75">
        <f>VLOOKUP($A154,'Data Vlaue (Cr)'!$C:$FB,100)</f>
        <v>2181</v>
      </c>
      <c r="J154" s="75">
        <f t="shared" si="14"/>
        <v>-14</v>
      </c>
      <c r="K154" s="75">
        <f t="shared" si="15"/>
        <v>-0.64605445316105214</v>
      </c>
      <c r="L154" s="75">
        <f>VLOOKUP($A154,'Data Vlaue (Cr)'!$C:$FB,67)</f>
        <v>937</v>
      </c>
      <c r="M154" s="75">
        <f>VLOOKUP($A154,'Data Vlaue (Cr)'!$C:$FB,68)</f>
        <v>619</v>
      </c>
      <c r="N154" s="75">
        <f t="shared" si="16"/>
        <v>318</v>
      </c>
      <c r="O154" s="75">
        <f t="shared" si="17"/>
        <v>33.938100320170754</v>
      </c>
      <c r="P154" s="75">
        <f>VLOOKUP($A154,'Data Vlaue (Cr)'!$C:$FB,119)</f>
        <v>0.77</v>
      </c>
      <c r="Q154" s="75">
        <f>VLOOKUP($A154,'Data Vlaue (Cr)'!$C:$FB,122)*100</f>
        <v>2.67</v>
      </c>
      <c r="R154" s="75">
        <f>VLOOKUP($A154,'Data Vlaue (Cr)'!$C:$FB,125)</f>
        <v>0.75</v>
      </c>
      <c r="S154" s="75">
        <f>VLOOKUP($A154,'Data Vlaue (Cr)'!$C:$FB,128)*100</f>
        <v>27.12</v>
      </c>
    </row>
    <row r="155" spans="1:19" x14ac:dyDescent="0.25">
      <c r="A155" s="96" t="str">
        <f>'Data Vlaue (Cr)'!C146</f>
        <v>NBCC</v>
      </c>
      <c r="B155" s="75">
        <f>VLOOKUP($A155,'Data Vlaue (Cr)'!$C:$FB,2)</f>
        <v>6500</v>
      </c>
      <c r="C155" s="75">
        <f>VLOOKUP($A155,'Data Vlaue (Cr)'!$C:$FB,8)</f>
        <v>105.39</v>
      </c>
      <c r="D155" s="75">
        <f>VLOOKUP($A155,'Data Vlaue (Cr)'!$C:$FB,4)</f>
        <v>105.58</v>
      </c>
      <c r="E155" s="75">
        <f>VLOOKUP($A155,'Data Vlaue (Cr)'!$C:$FB,5)</f>
        <v>106.87</v>
      </c>
      <c r="F155" s="75">
        <f t="shared" si="12"/>
        <v>0.18999999999999773</v>
      </c>
      <c r="G155" s="75">
        <f t="shared" si="13"/>
        <v>-1.2218223148323606</v>
      </c>
      <c r="H155" s="75">
        <f>VLOOKUP($A155,'Data Vlaue (Cr)'!$C:$FB,99)</f>
        <v>820</v>
      </c>
      <c r="I155" s="75">
        <f>VLOOKUP($A155,'Data Vlaue (Cr)'!$C:$FB,100)</f>
        <v>795</v>
      </c>
      <c r="J155" s="75">
        <f t="shared" si="14"/>
        <v>25</v>
      </c>
      <c r="K155" s="75">
        <f t="shared" si="15"/>
        <v>3.0487804878048781</v>
      </c>
      <c r="L155" s="75">
        <f>VLOOKUP($A155,'Data Vlaue (Cr)'!$C:$FB,67)</f>
        <v>242</v>
      </c>
      <c r="M155" s="75">
        <f>VLOOKUP($A155,'Data Vlaue (Cr)'!$C:$FB,68)</f>
        <v>142</v>
      </c>
      <c r="N155" s="75">
        <f t="shared" si="16"/>
        <v>100</v>
      </c>
      <c r="O155" s="75">
        <f t="shared" si="17"/>
        <v>41.32231404958678</v>
      </c>
      <c r="P155" s="75">
        <f>VLOOKUP($A155,'Data Vlaue (Cr)'!$C:$FB,119)</f>
        <v>0.48</v>
      </c>
      <c r="Q155" s="75">
        <f>VLOOKUP($A155,'Data Vlaue (Cr)'!$C:$FB,122)*100</f>
        <v>-4</v>
      </c>
      <c r="R155" s="75">
        <f>VLOOKUP($A155,'Data Vlaue (Cr)'!$C:$FB,125)</f>
        <v>0.41</v>
      </c>
      <c r="S155" s="75">
        <f>VLOOKUP($A155,'Data Vlaue (Cr)'!$C:$FB,128)*100</f>
        <v>0</v>
      </c>
    </row>
    <row r="156" spans="1:19" x14ac:dyDescent="0.25">
      <c r="A156" s="96" t="str">
        <f>'Data Vlaue (Cr)'!C147</f>
        <v>NCC</v>
      </c>
      <c r="B156" s="75">
        <f>VLOOKUP($A156,'Data Vlaue (Cr)'!$C:$FB,2)</f>
        <v>2700</v>
      </c>
      <c r="C156" s="75">
        <f>VLOOKUP($A156,'Data Vlaue (Cr)'!$C:$FB,8)</f>
        <v>220.84</v>
      </c>
      <c r="D156" s="75">
        <f>VLOOKUP($A156,'Data Vlaue (Cr)'!$C:$FB,4)</f>
        <v>221.33</v>
      </c>
      <c r="E156" s="75">
        <f>VLOOKUP($A156,'Data Vlaue (Cr)'!$C:$FB,5)</f>
        <v>223.01</v>
      </c>
      <c r="F156" s="75">
        <f t="shared" si="12"/>
        <v>0.49000000000000909</v>
      </c>
      <c r="G156" s="75">
        <f t="shared" si="13"/>
        <v>-0.75904757601770123</v>
      </c>
      <c r="H156" s="75">
        <f>VLOOKUP($A156,'Data Vlaue (Cr)'!$C:$FB,99)</f>
        <v>623</v>
      </c>
      <c r="I156" s="75">
        <f>VLOOKUP($A156,'Data Vlaue (Cr)'!$C:$FB,100)</f>
        <v>605</v>
      </c>
      <c r="J156" s="75">
        <f t="shared" si="14"/>
        <v>18</v>
      </c>
      <c r="K156" s="75">
        <f t="shared" si="15"/>
        <v>2.8892455858747992</v>
      </c>
      <c r="L156" s="75">
        <f>VLOOKUP($A156,'Data Vlaue (Cr)'!$C:$FB,67)</f>
        <v>185</v>
      </c>
      <c r="M156" s="75">
        <f>VLOOKUP($A156,'Data Vlaue (Cr)'!$C:$FB,68)</f>
        <v>252</v>
      </c>
      <c r="N156" s="75">
        <f t="shared" si="16"/>
        <v>-67</v>
      </c>
      <c r="O156" s="75">
        <f t="shared" si="17"/>
        <v>-36.216216216216218</v>
      </c>
      <c r="P156" s="75">
        <f>VLOOKUP($A156,'Data Vlaue (Cr)'!$C:$FB,119)</f>
        <v>0.73</v>
      </c>
      <c r="Q156" s="75">
        <f>VLOOKUP($A156,'Data Vlaue (Cr)'!$C:$FB,122)*100</f>
        <v>-6.41</v>
      </c>
      <c r="R156" s="75">
        <f>VLOOKUP($A156,'Data Vlaue (Cr)'!$C:$FB,125)</f>
        <v>0.4</v>
      </c>
      <c r="S156" s="75">
        <f>VLOOKUP($A156,'Data Vlaue (Cr)'!$C:$FB,128)*100</f>
        <v>-32.200000000000003</v>
      </c>
    </row>
    <row r="157" spans="1:19" x14ac:dyDescent="0.25">
      <c r="A157" s="96" t="str">
        <f>'Data Vlaue (Cr)'!C148</f>
        <v>NESTLEIND</v>
      </c>
      <c r="B157" s="75">
        <f>VLOOKUP($A157,'Data Vlaue (Cr)'!$C:$FB,2)</f>
        <v>500</v>
      </c>
      <c r="C157" s="75">
        <f>VLOOKUP($A157,'Data Vlaue (Cr)'!$C:$FB,8)</f>
        <v>1190.3</v>
      </c>
      <c r="D157" s="75">
        <f>VLOOKUP($A157,'Data Vlaue (Cr)'!$C:$FB,4)</f>
        <v>1191.3</v>
      </c>
      <c r="E157" s="75">
        <f>VLOOKUP($A157,'Data Vlaue (Cr)'!$C:$FB,5)</f>
        <v>1163.5</v>
      </c>
      <c r="F157" s="75">
        <f t="shared" si="12"/>
        <v>1</v>
      </c>
      <c r="G157" s="75">
        <f t="shared" si="13"/>
        <v>2.3335851590699197</v>
      </c>
      <c r="H157" s="75">
        <f>VLOOKUP($A157,'Data Vlaue (Cr)'!$C:$FB,99)</f>
        <v>3527</v>
      </c>
      <c r="I157" s="75">
        <f>VLOOKUP($A157,'Data Vlaue (Cr)'!$C:$FB,100)</f>
        <v>3393</v>
      </c>
      <c r="J157" s="75">
        <f t="shared" si="14"/>
        <v>134</v>
      </c>
      <c r="K157" s="75">
        <f t="shared" si="15"/>
        <v>3.7992628296002264</v>
      </c>
      <c r="L157" s="75">
        <f>VLOOKUP($A157,'Data Vlaue (Cr)'!$C:$FB,67)</f>
        <v>2712</v>
      </c>
      <c r="M157" s="75">
        <f>VLOOKUP($A157,'Data Vlaue (Cr)'!$C:$FB,68)</f>
        <v>1833</v>
      </c>
      <c r="N157" s="75">
        <f t="shared" si="16"/>
        <v>879</v>
      </c>
      <c r="O157" s="75">
        <f t="shared" si="17"/>
        <v>32.411504424778755</v>
      </c>
      <c r="P157" s="75">
        <f>VLOOKUP($A157,'Data Vlaue (Cr)'!$C:$FB,119)</f>
        <v>0.86</v>
      </c>
      <c r="Q157" s="75">
        <f>VLOOKUP($A157,'Data Vlaue (Cr)'!$C:$FB,122)*100</f>
        <v>11.690000000000001</v>
      </c>
      <c r="R157" s="75">
        <f>VLOOKUP($A157,'Data Vlaue (Cr)'!$C:$FB,125)</f>
        <v>0.34</v>
      </c>
      <c r="S157" s="75">
        <f>VLOOKUP($A157,'Data Vlaue (Cr)'!$C:$FB,128)*100</f>
        <v>-42.370000000000005</v>
      </c>
    </row>
    <row r="158" spans="1:19" x14ac:dyDescent="0.25">
      <c r="A158" s="96" t="str">
        <f>'Data Vlaue (Cr)'!C149</f>
        <v>NHPC</v>
      </c>
      <c r="B158" s="75">
        <f>VLOOKUP($A158,'Data Vlaue (Cr)'!$C:$FB,2)</f>
        <v>6400</v>
      </c>
      <c r="C158" s="75">
        <f>VLOOKUP($A158,'Data Vlaue (Cr)'!$C:$FB,8)</f>
        <v>82.76</v>
      </c>
      <c r="D158" s="75">
        <f>VLOOKUP($A158,'Data Vlaue (Cr)'!$C:$FB,4)</f>
        <v>83.09</v>
      </c>
      <c r="E158" s="75">
        <f>VLOOKUP($A158,'Data Vlaue (Cr)'!$C:$FB,5)</f>
        <v>82.31</v>
      </c>
      <c r="F158" s="75">
        <f t="shared" si="12"/>
        <v>0.32999999999999829</v>
      </c>
      <c r="G158" s="75">
        <f t="shared" si="13"/>
        <v>0.93874112408232169</v>
      </c>
      <c r="H158" s="75">
        <f>VLOOKUP($A158,'Data Vlaue (Cr)'!$C:$FB,99)</f>
        <v>726</v>
      </c>
      <c r="I158" s="75">
        <f>VLOOKUP($A158,'Data Vlaue (Cr)'!$C:$FB,100)</f>
        <v>727</v>
      </c>
      <c r="J158" s="75">
        <f t="shared" si="14"/>
        <v>-1</v>
      </c>
      <c r="K158" s="75">
        <f t="shared" si="15"/>
        <v>-0.13774104683195593</v>
      </c>
      <c r="L158" s="75">
        <f>VLOOKUP($A158,'Data Vlaue (Cr)'!$C:$FB,67)</f>
        <v>261</v>
      </c>
      <c r="M158" s="75">
        <f>VLOOKUP($A158,'Data Vlaue (Cr)'!$C:$FB,68)</f>
        <v>202</v>
      </c>
      <c r="N158" s="75">
        <f t="shared" si="16"/>
        <v>59</v>
      </c>
      <c r="O158" s="75">
        <f t="shared" si="17"/>
        <v>22.60536398467433</v>
      </c>
      <c r="P158" s="75">
        <f>VLOOKUP($A158,'Data Vlaue (Cr)'!$C:$FB,119)</f>
        <v>0.62</v>
      </c>
      <c r="Q158" s="75">
        <f>VLOOKUP($A158,'Data Vlaue (Cr)'!$C:$FB,122)*100</f>
        <v>8.77</v>
      </c>
      <c r="R158" s="75">
        <f>VLOOKUP($A158,'Data Vlaue (Cr)'!$C:$FB,125)</f>
        <v>0.52</v>
      </c>
      <c r="S158" s="75">
        <f>VLOOKUP($A158,'Data Vlaue (Cr)'!$C:$FB,128)*100</f>
        <v>4</v>
      </c>
    </row>
    <row r="159" spans="1:19" x14ac:dyDescent="0.25">
      <c r="A159" s="96" t="str">
        <f>'Data Vlaue (Cr)'!C150</f>
        <v>NIFTY</v>
      </c>
      <c r="B159" s="75">
        <f>VLOOKUP($A159,'Data Vlaue (Cr)'!$C:$FB,2)</f>
        <v>75</v>
      </c>
      <c r="C159" s="75">
        <f>VLOOKUP($A159,'Data Vlaue (Cr)'!$C:$FB,8)</f>
        <v>25050.55</v>
      </c>
      <c r="D159" s="75">
        <f>VLOOKUP($A159,'Data Vlaue (Cr)'!$C:$FB,4)</f>
        <v>25083.3</v>
      </c>
      <c r="E159" s="75">
        <f>VLOOKUP($A159,'Data Vlaue (Cr)'!$C:$FB,5)</f>
        <v>25033.5</v>
      </c>
      <c r="F159" s="75">
        <f t="shared" si="12"/>
        <v>32.75</v>
      </c>
      <c r="G159" s="75">
        <f t="shared" si="13"/>
        <v>0.19853846981856163</v>
      </c>
      <c r="H159" s="75">
        <f>VLOOKUP($A159,'Data Vlaue (Cr)'!$C:$FB,99)</f>
        <v>1403827</v>
      </c>
      <c r="I159" s="75">
        <f>VLOOKUP($A159,'Data Vlaue (Cr)'!$C:$FB,100)</f>
        <v>1212662</v>
      </c>
      <c r="J159" s="75">
        <f t="shared" si="14"/>
        <v>191165</v>
      </c>
      <c r="K159" s="75">
        <f t="shared" si="15"/>
        <v>13.617418670534191</v>
      </c>
      <c r="L159" s="75">
        <f>VLOOKUP($A159,'Data Vlaue (Cr)'!$C:$FB,67)</f>
        <v>18013256</v>
      </c>
      <c r="M159" s="75">
        <f>VLOOKUP($A159,'Data Vlaue (Cr)'!$C:$FB,68)</f>
        <v>10804957</v>
      </c>
      <c r="N159" s="75">
        <f t="shared" si="16"/>
        <v>7208299</v>
      </c>
      <c r="O159" s="75">
        <f t="shared" si="17"/>
        <v>40.016635526636605</v>
      </c>
      <c r="P159" s="75">
        <f>VLOOKUP($A159,'Data Vlaue (Cr)'!$C:$FB,119)</f>
        <v>1.28</v>
      </c>
      <c r="Q159" s="75">
        <f>VLOOKUP($A159,'Data Vlaue (Cr)'!$C:$FB,122)*100</f>
        <v>12.280000000000001</v>
      </c>
      <c r="R159" s="75">
        <f>VLOOKUP($A159,'Data Vlaue (Cr)'!$C:$FB,125)</f>
        <v>0.82</v>
      </c>
      <c r="S159" s="75">
        <f>VLOOKUP($A159,'Data Vlaue (Cr)'!$C:$FB,128)*100</f>
        <v>0</v>
      </c>
    </row>
    <row r="160" spans="1:19" x14ac:dyDescent="0.25">
      <c r="A160" s="96" t="str">
        <f>'Data Vlaue (Cr)'!C151</f>
        <v>NIFTYNXT50</v>
      </c>
      <c r="B160" s="75">
        <f>VLOOKUP($A160,'Data Vlaue (Cr)'!$C:$FB,2)</f>
        <v>25</v>
      </c>
      <c r="C160" s="75">
        <f>VLOOKUP($A160,'Data Vlaue (Cr)'!$C:$FB,8)</f>
        <v>68164.3</v>
      </c>
      <c r="D160" s="75">
        <f>VLOOKUP($A160,'Data Vlaue (Cr)'!$C:$FB,4)</f>
        <v>68205</v>
      </c>
      <c r="E160" s="75">
        <f>VLOOKUP($A160,'Data Vlaue (Cr)'!$C:$FB,5)</f>
        <v>67971.600000000006</v>
      </c>
      <c r="F160" s="75">
        <f t="shared" si="12"/>
        <v>40.69999999999709</v>
      </c>
      <c r="G160" s="75">
        <f t="shared" si="13"/>
        <v>0.34220365075873349</v>
      </c>
      <c r="H160" s="75">
        <f>VLOOKUP($A160,'Data Vlaue (Cr)'!$C:$FB,99)</f>
        <v>259</v>
      </c>
      <c r="I160" s="75">
        <f>VLOOKUP($A160,'Data Vlaue (Cr)'!$C:$FB,100)</f>
        <v>246</v>
      </c>
      <c r="J160" s="75">
        <f t="shared" si="14"/>
        <v>13</v>
      </c>
      <c r="K160" s="75">
        <f t="shared" si="15"/>
        <v>5.019305019305019</v>
      </c>
      <c r="L160" s="75">
        <f>VLOOKUP($A160,'Data Vlaue (Cr)'!$C:$FB,67)</f>
        <v>158</v>
      </c>
      <c r="M160" s="75">
        <f>VLOOKUP($A160,'Data Vlaue (Cr)'!$C:$FB,68)</f>
        <v>100</v>
      </c>
      <c r="N160" s="75">
        <f t="shared" si="16"/>
        <v>58</v>
      </c>
      <c r="O160" s="75">
        <f t="shared" si="17"/>
        <v>36.708860759493675</v>
      </c>
      <c r="P160" s="75">
        <f>VLOOKUP($A160,'Data Vlaue (Cr)'!$C:$FB,119)</f>
        <v>0.54</v>
      </c>
      <c r="Q160" s="75">
        <f>VLOOKUP($A160,'Data Vlaue (Cr)'!$C:$FB,122)*100</f>
        <v>-10</v>
      </c>
      <c r="R160" s="75">
        <f>VLOOKUP($A160,'Data Vlaue (Cr)'!$C:$FB,125)</f>
        <v>0.43</v>
      </c>
      <c r="S160" s="75">
        <f>VLOOKUP($A160,'Data Vlaue (Cr)'!$C:$FB,128)*100</f>
        <v>-59.430000000000007</v>
      </c>
    </row>
    <row r="161" spans="1:19" x14ac:dyDescent="0.25">
      <c r="A161" s="96" t="str">
        <f>'Data Vlaue (Cr)'!C152</f>
        <v>NMDC</v>
      </c>
      <c r="B161" s="75">
        <f>VLOOKUP($A161,'Data Vlaue (Cr)'!$C:$FB,2)</f>
        <v>13500</v>
      </c>
      <c r="C161" s="75">
        <f>VLOOKUP($A161,'Data Vlaue (Cr)'!$C:$FB,8)</f>
        <v>71.819999999999993</v>
      </c>
      <c r="D161" s="75">
        <f>VLOOKUP($A161,'Data Vlaue (Cr)'!$C:$FB,4)</f>
        <v>72.12</v>
      </c>
      <c r="E161" s="75">
        <f>VLOOKUP($A161,'Data Vlaue (Cr)'!$C:$FB,5)</f>
        <v>70.92</v>
      </c>
      <c r="F161" s="75">
        <f t="shared" si="12"/>
        <v>0.30000000000001137</v>
      </c>
      <c r="G161" s="75">
        <f t="shared" si="13"/>
        <v>1.6638935108153114</v>
      </c>
      <c r="H161" s="75">
        <f>VLOOKUP($A161,'Data Vlaue (Cr)'!$C:$FB,99)</f>
        <v>3530</v>
      </c>
      <c r="I161" s="75">
        <f>VLOOKUP($A161,'Data Vlaue (Cr)'!$C:$FB,100)</f>
        <v>3537</v>
      </c>
      <c r="J161" s="75">
        <f t="shared" si="14"/>
        <v>-7</v>
      </c>
      <c r="K161" s="75">
        <f t="shared" si="15"/>
        <v>-0.19830028328611898</v>
      </c>
      <c r="L161" s="75">
        <f>VLOOKUP($A161,'Data Vlaue (Cr)'!$C:$FB,67)</f>
        <v>2911</v>
      </c>
      <c r="M161" s="75">
        <f>VLOOKUP($A161,'Data Vlaue (Cr)'!$C:$FB,68)</f>
        <v>1347</v>
      </c>
      <c r="N161" s="75">
        <f t="shared" si="16"/>
        <v>1564</v>
      </c>
      <c r="O161" s="75">
        <f t="shared" si="17"/>
        <v>53.727241497767089</v>
      </c>
      <c r="P161" s="75">
        <f>VLOOKUP($A161,'Data Vlaue (Cr)'!$C:$FB,119)</f>
        <v>0.77</v>
      </c>
      <c r="Q161" s="75">
        <f>VLOOKUP($A161,'Data Vlaue (Cr)'!$C:$FB,122)*100</f>
        <v>5.48</v>
      </c>
      <c r="R161" s="75">
        <f>VLOOKUP($A161,'Data Vlaue (Cr)'!$C:$FB,125)</f>
        <v>0.39</v>
      </c>
      <c r="S161" s="75">
        <f>VLOOKUP($A161,'Data Vlaue (Cr)'!$C:$FB,128)*100</f>
        <v>-36.07</v>
      </c>
    </row>
    <row r="162" spans="1:19" x14ac:dyDescent="0.25">
      <c r="A162" s="96" t="str">
        <f>'Data Vlaue (Cr)'!C153</f>
        <v>NTPC</v>
      </c>
      <c r="B162" s="75">
        <f>VLOOKUP($A162,'Data Vlaue (Cr)'!$C:$FB,2)</f>
        <v>1500</v>
      </c>
      <c r="C162" s="75">
        <f>VLOOKUP($A162,'Data Vlaue (Cr)'!$C:$FB,8)</f>
        <v>342</v>
      </c>
      <c r="D162" s="75">
        <f>VLOOKUP($A162,'Data Vlaue (Cr)'!$C:$FB,4)</f>
        <v>342.15</v>
      </c>
      <c r="E162" s="75">
        <f>VLOOKUP($A162,'Data Vlaue (Cr)'!$C:$FB,5)</f>
        <v>335.95</v>
      </c>
      <c r="F162" s="75">
        <f t="shared" si="12"/>
        <v>0.14999999999997726</v>
      </c>
      <c r="G162" s="75">
        <f t="shared" si="13"/>
        <v>1.8120707292123304</v>
      </c>
      <c r="H162" s="75">
        <f>VLOOKUP($A162,'Data Vlaue (Cr)'!$C:$FB,99)</f>
        <v>5924</v>
      </c>
      <c r="I162" s="75">
        <f>VLOOKUP($A162,'Data Vlaue (Cr)'!$C:$FB,100)</f>
        <v>5575</v>
      </c>
      <c r="J162" s="75">
        <f t="shared" si="14"/>
        <v>349</v>
      </c>
      <c r="K162" s="75">
        <f t="shared" si="15"/>
        <v>5.8912896691424717</v>
      </c>
      <c r="L162" s="75">
        <f>VLOOKUP($A162,'Data Vlaue (Cr)'!$C:$FB,67)</f>
        <v>5407</v>
      </c>
      <c r="M162" s="75">
        <f>VLOOKUP($A162,'Data Vlaue (Cr)'!$C:$FB,68)</f>
        <v>2740</v>
      </c>
      <c r="N162" s="75">
        <f t="shared" si="16"/>
        <v>2667</v>
      </c>
      <c r="O162" s="75">
        <f t="shared" si="17"/>
        <v>49.324949140003696</v>
      </c>
      <c r="P162" s="75">
        <f>VLOOKUP($A162,'Data Vlaue (Cr)'!$C:$FB,119)</f>
        <v>0.51</v>
      </c>
      <c r="Q162" s="75">
        <f>VLOOKUP($A162,'Data Vlaue (Cr)'!$C:$FB,122)*100</f>
        <v>18.600000000000001</v>
      </c>
      <c r="R162" s="75">
        <f>VLOOKUP($A162,'Data Vlaue (Cr)'!$C:$FB,125)</f>
        <v>0.31</v>
      </c>
      <c r="S162" s="75">
        <f>VLOOKUP($A162,'Data Vlaue (Cr)'!$C:$FB,128)*100</f>
        <v>-38</v>
      </c>
    </row>
    <row r="163" spans="1:19" x14ac:dyDescent="0.25">
      <c r="A163" s="96" t="str">
        <f>'Data Vlaue (Cr)'!C154</f>
        <v>NUVAMA</v>
      </c>
      <c r="B163" s="75">
        <f>VLOOKUP($A163,'Data Vlaue (Cr)'!$C:$FB,2)</f>
        <v>75</v>
      </c>
      <c r="C163" s="75">
        <f>VLOOKUP($A163,'Data Vlaue (Cr)'!$C:$FB,8)</f>
        <v>6854.5</v>
      </c>
      <c r="D163" s="75">
        <f>VLOOKUP($A163,'Data Vlaue (Cr)'!$C:$FB,4)</f>
        <v>6857</v>
      </c>
      <c r="E163" s="75">
        <f>VLOOKUP($A163,'Data Vlaue (Cr)'!$C:$FB,5)</f>
        <v>6796</v>
      </c>
      <c r="F163" s="75">
        <f t="shared" si="12"/>
        <v>2.5</v>
      </c>
      <c r="G163" s="75">
        <f t="shared" si="13"/>
        <v>0.88960186670555641</v>
      </c>
      <c r="H163" s="75">
        <f>VLOOKUP($A163,'Data Vlaue (Cr)'!$C:$FB,99)</f>
        <v>487</v>
      </c>
      <c r="I163" s="75">
        <f>VLOOKUP($A163,'Data Vlaue (Cr)'!$C:$FB,100)</f>
        <v>577</v>
      </c>
      <c r="J163" s="75">
        <f t="shared" si="14"/>
        <v>-90</v>
      </c>
      <c r="K163" s="75">
        <f t="shared" si="15"/>
        <v>-18.480492813141684</v>
      </c>
      <c r="L163" s="75">
        <f>VLOOKUP($A163,'Data Vlaue (Cr)'!$C:$FB,67)</f>
        <v>1142</v>
      </c>
      <c r="M163" s="75">
        <f>VLOOKUP($A163,'Data Vlaue (Cr)'!$C:$FB,68)</f>
        <v>923</v>
      </c>
      <c r="N163" s="75">
        <f t="shared" si="16"/>
        <v>219</v>
      </c>
      <c r="O163" s="75">
        <f t="shared" si="17"/>
        <v>19.176882661996498</v>
      </c>
      <c r="P163" s="75">
        <f>VLOOKUP($A163,'Data Vlaue (Cr)'!$C:$FB,119)</f>
        <v>0.62</v>
      </c>
      <c r="Q163" s="75">
        <f>VLOOKUP($A163,'Data Vlaue (Cr)'!$C:$FB,122)*100</f>
        <v>29.17</v>
      </c>
      <c r="R163" s="75">
        <f>VLOOKUP($A163,'Data Vlaue (Cr)'!$C:$FB,125)</f>
        <v>0.5</v>
      </c>
      <c r="S163" s="75">
        <f>VLOOKUP($A163,'Data Vlaue (Cr)'!$C:$FB,128)*100</f>
        <v>-45.65</v>
      </c>
    </row>
    <row r="164" spans="1:19" x14ac:dyDescent="0.25">
      <c r="A164" s="96" t="str">
        <f>'Data Vlaue (Cr)'!C155</f>
        <v>NYKAA</v>
      </c>
      <c r="B164" s="75">
        <f>VLOOKUP($A164,'Data Vlaue (Cr)'!$C:$FB,2)</f>
        <v>3125</v>
      </c>
      <c r="C164" s="75">
        <f>VLOOKUP($A164,'Data Vlaue (Cr)'!$C:$FB,8)</f>
        <v>225.18</v>
      </c>
      <c r="D164" s="75">
        <f>VLOOKUP($A164,'Data Vlaue (Cr)'!$C:$FB,4)</f>
        <v>224.49</v>
      </c>
      <c r="E164" s="75">
        <f>VLOOKUP($A164,'Data Vlaue (Cr)'!$C:$FB,5)</f>
        <v>225.82</v>
      </c>
      <c r="F164" s="75">
        <f t="shared" si="12"/>
        <v>-0.68999999999999773</v>
      </c>
      <c r="G164" s="75">
        <f t="shared" si="13"/>
        <v>-0.59245400685998661</v>
      </c>
      <c r="H164" s="75">
        <f>VLOOKUP($A164,'Data Vlaue (Cr)'!$C:$FB,99)</f>
        <v>1826</v>
      </c>
      <c r="I164" s="75">
        <f>VLOOKUP($A164,'Data Vlaue (Cr)'!$C:$FB,100)</f>
        <v>1816</v>
      </c>
      <c r="J164" s="75">
        <f t="shared" si="14"/>
        <v>10</v>
      </c>
      <c r="K164" s="75">
        <f t="shared" si="15"/>
        <v>0.547645125958379</v>
      </c>
      <c r="L164" s="75">
        <f>VLOOKUP($A164,'Data Vlaue (Cr)'!$C:$FB,67)</f>
        <v>1214</v>
      </c>
      <c r="M164" s="75">
        <f>VLOOKUP($A164,'Data Vlaue (Cr)'!$C:$FB,68)</f>
        <v>2125</v>
      </c>
      <c r="N164" s="75">
        <f t="shared" si="16"/>
        <v>-911</v>
      </c>
      <c r="O164" s="75">
        <f t="shared" si="17"/>
        <v>-75.041186161449758</v>
      </c>
      <c r="P164" s="75">
        <f>VLOOKUP($A164,'Data Vlaue (Cr)'!$C:$FB,119)</f>
        <v>0.8</v>
      </c>
      <c r="Q164" s="75">
        <f>VLOOKUP($A164,'Data Vlaue (Cr)'!$C:$FB,122)*100</f>
        <v>6.67</v>
      </c>
      <c r="R164" s="75">
        <f>VLOOKUP($A164,'Data Vlaue (Cr)'!$C:$FB,125)</f>
        <v>0.39</v>
      </c>
      <c r="S164" s="75">
        <f>VLOOKUP($A164,'Data Vlaue (Cr)'!$C:$FB,128)*100</f>
        <v>25.81</v>
      </c>
    </row>
    <row r="165" spans="1:19" x14ac:dyDescent="0.25">
      <c r="A165" s="96" t="str">
        <f>'Data Vlaue (Cr)'!C156</f>
        <v>OBEROIRLTY</v>
      </c>
      <c r="B165" s="75">
        <f>VLOOKUP($A165,'Data Vlaue (Cr)'!$C:$FB,2)</f>
        <v>350</v>
      </c>
      <c r="C165" s="75">
        <f>VLOOKUP($A165,'Data Vlaue (Cr)'!$C:$FB,8)</f>
        <v>1656.9</v>
      </c>
      <c r="D165" s="75">
        <f>VLOOKUP($A165,'Data Vlaue (Cr)'!$C:$FB,4)</f>
        <v>1660.9</v>
      </c>
      <c r="E165" s="75">
        <f>VLOOKUP($A165,'Data Vlaue (Cr)'!$C:$FB,5)</f>
        <v>1652.1</v>
      </c>
      <c r="F165" s="75">
        <f t="shared" si="12"/>
        <v>4</v>
      </c>
      <c r="G165" s="75">
        <f t="shared" si="13"/>
        <v>0.52983322295142277</v>
      </c>
      <c r="H165" s="75">
        <f>VLOOKUP($A165,'Data Vlaue (Cr)'!$C:$FB,99)</f>
        <v>1298</v>
      </c>
      <c r="I165" s="75">
        <f>VLOOKUP($A165,'Data Vlaue (Cr)'!$C:$FB,100)</f>
        <v>1274</v>
      </c>
      <c r="J165" s="75">
        <f t="shared" si="14"/>
        <v>24</v>
      </c>
      <c r="K165" s="75">
        <f t="shared" si="15"/>
        <v>1.8489984591679509</v>
      </c>
      <c r="L165" s="75">
        <f>VLOOKUP($A165,'Data Vlaue (Cr)'!$C:$FB,67)</f>
        <v>498</v>
      </c>
      <c r="M165" s="75">
        <f>VLOOKUP($A165,'Data Vlaue (Cr)'!$C:$FB,68)</f>
        <v>381</v>
      </c>
      <c r="N165" s="75">
        <f t="shared" si="16"/>
        <v>117</v>
      </c>
      <c r="O165" s="75">
        <f t="shared" si="17"/>
        <v>23.493975903614459</v>
      </c>
      <c r="P165" s="75">
        <f>VLOOKUP($A165,'Data Vlaue (Cr)'!$C:$FB,119)</f>
        <v>0.56000000000000005</v>
      </c>
      <c r="Q165" s="75">
        <f>VLOOKUP($A165,'Data Vlaue (Cr)'!$C:$FB,122)*100</f>
        <v>-11.110000000000001</v>
      </c>
      <c r="R165" s="75">
        <f>VLOOKUP($A165,'Data Vlaue (Cr)'!$C:$FB,125)</f>
        <v>0.25</v>
      </c>
      <c r="S165" s="75">
        <f>VLOOKUP($A165,'Data Vlaue (Cr)'!$C:$FB,128)*100</f>
        <v>-60.319999999999993</v>
      </c>
    </row>
    <row r="166" spans="1:19" x14ac:dyDescent="0.25">
      <c r="A166" s="96" t="str">
        <f>'Data Vlaue (Cr)'!C157</f>
        <v>OFSS</v>
      </c>
      <c r="B166" s="75">
        <f>VLOOKUP($A166,'Data Vlaue (Cr)'!$C:$FB,2)</f>
        <v>75</v>
      </c>
      <c r="C166" s="75">
        <f>VLOOKUP($A166,'Data Vlaue (Cr)'!$C:$FB,8)</f>
        <v>8763</v>
      </c>
      <c r="D166" s="75">
        <f>VLOOKUP($A166,'Data Vlaue (Cr)'!$C:$FB,4)</f>
        <v>8791</v>
      </c>
      <c r="E166" s="75">
        <f>VLOOKUP($A166,'Data Vlaue (Cr)'!$C:$FB,5)</f>
        <v>8632.5</v>
      </c>
      <c r="F166" s="75">
        <f t="shared" si="12"/>
        <v>28</v>
      </c>
      <c r="G166" s="75">
        <f t="shared" si="13"/>
        <v>1.8029803207826187</v>
      </c>
      <c r="H166" s="75">
        <f>VLOOKUP($A166,'Data Vlaue (Cr)'!$C:$FB,99)</f>
        <v>1364</v>
      </c>
      <c r="I166" s="75">
        <f>VLOOKUP($A166,'Data Vlaue (Cr)'!$C:$FB,100)</f>
        <v>1290</v>
      </c>
      <c r="J166" s="75">
        <f t="shared" si="14"/>
        <v>74</v>
      </c>
      <c r="K166" s="75">
        <f t="shared" si="15"/>
        <v>5.4252199413489732</v>
      </c>
      <c r="L166" s="75">
        <f>VLOOKUP($A166,'Data Vlaue (Cr)'!$C:$FB,67)</f>
        <v>2243</v>
      </c>
      <c r="M166" s="75">
        <f>VLOOKUP($A166,'Data Vlaue (Cr)'!$C:$FB,68)</f>
        <v>688</v>
      </c>
      <c r="N166" s="75">
        <f t="shared" si="16"/>
        <v>1555</v>
      </c>
      <c r="O166" s="75">
        <f t="shared" si="17"/>
        <v>69.326794471689695</v>
      </c>
      <c r="P166" s="75">
        <f>VLOOKUP($A166,'Data Vlaue (Cr)'!$C:$FB,119)</f>
        <v>0.57999999999999996</v>
      </c>
      <c r="Q166" s="75">
        <f>VLOOKUP($A166,'Data Vlaue (Cr)'!$C:$FB,122)*100</f>
        <v>18.37</v>
      </c>
      <c r="R166" s="75">
        <f>VLOOKUP($A166,'Data Vlaue (Cr)'!$C:$FB,125)</f>
        <v>0.34</v>
      </c>
      <c r="S166" s="75">
        <f>VLOOKUP($A166,'Data Vlaue (Cr)'!$C:$FB,128)*100</f>
        <v>47.83</v>
      </c>
    </row>
    <row r="167" spans="1:19" x14ac:dyDescent="0.25">
      <c r="A167" s="96" t="str">
        <f>'Data Vlaue (Cr)'!C158</f>
        <v>OIL</v>
      </c>
      <c r="B167" s="75">
        <f>VLOOKUP($A167,'Data Vlaue (Cr)'!$C:$FB,2)</f>
        <v>1400</v>
      </c>
      <c r="C167" s="75">
        <f>VLOOKUP($A167,'Data Vlaue (Cr)'!$C:$FB,8)</f>
        <v>408</v>
      </c>
      <c r="D167" s="75">
        <f>VLOOKUP($A167,'Data Vlaue (Cr)'!$C:$FB,4)</f>
        <v>407.65</v>
      </c>
      <c r="E167" s="75">
        <f>VLOOKUP($A167,'Data Vlaue (Cr)'!$C:$FB,5)</f>
        <v>408.4</v>
      </c>
      <c r="F167" s="75">
        <f t="shared" si="12"/>
        <v>-0.35000000000002274</v>
      </c>
      <c r="G167" s="75">
        <f t="shared" si="13"/>
        <v>-0.18398135655586903</v>
      </c>
      <c r="H167" s="75">
        <f>VLOOKUP($A167,'Data Vlaue (Cr)'!$C:$FB,99)</f>
        <v>879</v>
      </c>
      <c r="I167" s="75">
        <f>VLOOKUP($A167,'Data Vlaue (Cr)'!$C:$FB,100)</f>
        <v>849</v>
      </c>
      <c r="J167" s="75">
        <f t="shared" si="14"/>
        <v>30</v>
      </c>
      <c r="K167" s="75">
        <f t="shared" si="15"/>
        <v>3.4129692832764507</v>
      </c>
      <c r="L167" s="75">
        <f>VLOOKUP($A167,'Data Vlaue (Cr)'!$C:$FB,67)</f>
        <v>344</v>
      </c>
      <c r="M167" s="75">
        <f>VLOOKUP($A167,'Data Vlaue (Cr)'!$C:$FB,68)</f>
        <v>320</v>
      </c>
      <c r="N167" s="75">
        <f t="shared" si="16"/>
        <v>24</v>
      </c>
      <c r="O167" s="75">
        <f t="shared" si="17"/>
        <v>6.9767441860465116</v>
      </c>
      <c r="P167" s="75">
        <f>VLOOKUP($A167,'Data Vlaue (Cr)'!$C:$FB,119)</f>
        <v>0.54</v>
      </c>
      <c r="Q167" s="75">
        <f>VLOOKUP($A167,'Data Vlaue (Cr)'!$C:$FB,122)*100</f>
        <v>3.85</v>
      </c>
      <c r="R167" s="75">
        <f>VLOOKUP($A167,'Data Vlaue (Cr)'!$C:$FB,125)</f>
        <v>0.43</v>
      </c>
      <c r="S167" s="75">
        <f>VLOOKUP($A167,'Data Vlaue (Cr)'!$C:$FB,128)*100</f>
        <v>13.16</v>
      </c>
    </row>
    <row r="168" spans="1:19" x14ac:dyDescent="0.25">
      <c r="A168" s="96" t="str">
        <f>'Data Vlaue (Cr)'!C159</f>
        <v>ONGC</v>
      </c>
      <c r="B168" s="75">
        <f>VLOOKUP($A168,'Data Vlaue (Cr)'!$C:$FB,2)</f>
        <v>2250</v>
      </c>
      <c r="C168" s="75">
        <f>VLOOKUP($A168,'Data Vlaue (Cr)'!$C:$FB,8)</f>
        <v>237.93</v>
      </c>
      <c r="D168" s="75">
        <f>VLOOKUP($A168,'Data Vlaue (Cr)'!$C:$FB,4)</f>
        <v>238.57</v>
      </c>
      <c r="E168" s="75">
        <f>VLOOKUP($A168,'Data Vlaue (Cr)'!$C:$FB,5)</f>
        <v>238.67</v>
      </c>
      <c r="F168" s="75">
        <f t="shared" si="12"/>
        <v>0.63999999999998636</v>
      </c>
      <c r="G168" s="75">
        <f t="shared" si="13"/>
        <v>-4.1916418661187206E-2</v>
      </c>
      <c r="H168" s="75">
        <f>VLOOKUP($A168,'Data Vlaue (Cr)'!$C:$FB,99)</f>
        <v>3789</v>
      </c>
      <c r="I168" s="75">
        <f>VLOOKUP($A168,'Data Vlaue (Cr)'!$C:$FB,100)</f>
        <v>3710</v>
      </c>
      <c r="J168" s="75">
        <f t="shared" si="14"/>
        <v>79</v>
      </c>
      <c r="K168" s="75">
        <f t="shared" si="15"/>
        <v>2.0849828450778567</v>
      </c>
      <c r="L168" s="75">
        <f>VLOOKUP($A168,'Data Vlaue (Cr)'!$C:$FB,67)</f>
        <v>1524</v>
      </c>
      <c r="M168" s="75">
        <f>VLOOKUP($A168,'Data Vlaue (Cr)'!$C:$FB,68)</f>
        <v>1074</v>
      </c>
      <c r="N168" s="75">
        <f t="shared" si="16"/>
        <v>450</v>
      </c>
      <c r="O168" s="75">
        <f t="shared" si="17"/>
        <v>29.527559055118108</v>
      </c>
      <c r="P168" s="75">
        <f>VLOOKUP($A168,'Data Vlaue (Cr)'!$C:$FB,119)</f>
        <v>0.41</v>
      </c>
      <c r="Q168" s="75">
        <f>VLOOKUP($A168,'Data Vlaue (Cr)'!$C:$FB,122)*100</f>
        <v>-4.6500000000000004</v>
      </c>
      <c r="R168" s="75">
        <f>VLOOKUP($A168,'Data Vlaue (Cr)'!$C:$FB,125)</f>
        <v>0.37</v>
      </c>
      <c r="S168" s="75">
        <f>VLOOKUP($A168,'Data Vlaue (Cr)'!$C:$FB,128)*100</f>
        <v>-30.19</v>
      </c>
    </row>
    <row r="169" spans="1:19" x14ac:dyDescent="0.25">
      <c r="A169" s="96" t="str">
        <f>'Data Vlaue (Cr)'!C160</f>
        <v>PAGEIND</v>
      </c>
      <c r="B169" s="75">
        <f>VLOOKUP($A169,'Data Vlaue (Cr)'!$C:$FB,2)</f>
        <v>15</v>
      </c>
      <c r="C169" s="75">
        <f>VLOOKUP($A169,'Data Vlaue (Cr)'!$C:$FB,8)</f>
        <v>45385</v>
      </c>
      <c r="D169" s="75">
        <f>VLOOKUP($A169,'Data Vlaue (Cr)'!$C:$FB,4)</f>
        <v>45485</v>
      </c>
      <c r="E169" s="75">
        <f>VLOOKUP($A169,'Data Vlaue (Cr)'!$C:$FB,5)</f>
        <v>45720</v>
      </c>
      <c r="F169" s="75">
        <f t="shared" si="12"/>
        <v>100</v>
      </c>
      <c r="G169" s="75">
        <f t="shared" si="13"/>
        <v>-0.51665384192590957</v>
      </c>
      <c r="H169" s="75">
        <f>VLOOKUP($A169,'Data Vlaue (Cr)'!$C:$FB,99)</f>
        <v>2039</v>
      </c>
      <c r="I169" s="75">
        <f>VLOOKUP($A169,'Data Vlaue (Cr)'!$C:$FB,100)</f>
        <v>1988</v>
      </c>
      <c r="J169" s="75">
        <f t="shared" si="14"/>
        <v>51</v>
      </c>
      <c r="K169" s="75">
        <f t="shared" si="15"/>
        <v>2.501226091221187</v>
      </c>
      <c r="L169" s="75">
        <f>VLOOKUP($A169,'Data Vlaue (Cr)'!$C:$FB,67)</f>
        <v>1114</v>
      </c>
      <c r="M169" s="75">
        <f>VLOOKUP($A169,'Data Vlaue (Cr)'!$C:$FB,68)</f>
        <v>1577</v>
      </c>
      <c r="N169" s="75">
        <f t="shared" si="16"/>
        <v>-463</v>
      </c>
      <c r="O169" s="75">
        <f t="shared" si="17"/>
        <v>-41.561938958707358</v>
      </c>
      <c r="P169" s="75">
        <f>VLOOKUP($A169,'Data Vlaue (Cr)'!$C:$FB,119)</f>
        <v>0.34</v>
      </c>
      <c r="Q169" s="75">
        <f>VLOOKUP($A169,'Data Vlaue (Cr)'!$C:$FB,122)*100</f>
        <v>-2.86</v>
      </c>
      <c r="R169" s="75">
        <f>VLOOKUP($A169,'Data Vlaue (Cr)'!$C:$FB,125)</f>
        <v>0.51</v>
      </c>
      <c r="S169" s="75">
        <f>VLOOKUP($A169,'Data Vlaue (Cr)'!$C:$FB,128)*100</f>
        <v>13.33</v>
      </c>
    </row>
    <row r="170" spans="1:19" x14ac:dyDescent="0.25">
      <c r="A170" s="96" t="str">
        <f>'Data Vlaue (Cr)'!C161</f>
        <v>PATANJALI</v>
      </c>
      <c r="B170" s="75">
        <f>VLOOKUP($A170,'Data Vlaue (Cr)'!$C:$FB,2)</f>
        <v>300</v>
      </c>
      <c r="C170" s="75">
        <f>VLOOKUP($A170,'Data Vlaue (Cr)'!$C:$FB,8)</f>
        <v>1813.8</v>
      </c>
      <c r="D170" s="75">
        <f>VLOOKUP($A170,'Data Vlaue (Cr)'!$C:$FB,4)</f>
        <v>1818.1</v>
      </c>
      <c r="E170" s="75">
        <f>VLOOKUP($A170,'Data Vlaue (Cr)'!$C:$FB,5)</f>
        <v>1796.4</v>
      </c>
      <c r="F170" s="75">
        <f t="shared" si="12"/>
        <v>4.2999999999999545</v>
      </c>
      <c r="G170" s="75">
        <f t="shared" si="13"/>
        <v>1.1935537099169364</v>
      </c>
      <c r="H170" s="75">
        <f>VLOOKUP($A170,'Data Vlaue (Cr)'!$C:$FB,99)</f>
        <v>2743</v>
      </c>
      <c r="I170" s="75">
        <f>VLOOKUP($A170,'Data Vlaue (Cr)'!$C:$FB,100)</f>
        <v>2720</v>
      </c>
      <c r="J170" s="75">
        <f t="shared" si="14"/>
        <v>23</v>
      </c>
      <c r="K170" s="75">
        <f t="shared" si="15"/>
        <v>0.83849799489609922</v>
      </c>
      <c r="L170" s="75">
        <f>VLOOKUP($A170,'Data Vlaue (Cr)'!$C:$FB,67)</f>
        <v>1115</v>
      </c>
      <c r="M170" s="75">
        <f>VLOOKUP($A170,'Data Vlaue (Cr)'!$C:$FB,68)</f>
        <v>1148</v>
      </c>
      <c r="N170" s="75">
        <f t="shared" si="16"/>
        <v>-33</v>
      </c>
      <c r="O170" s="75">
        <f t="shared" si="17"/>
        <v>-2.9596412556053813</v>
      </c>
      <c r="P170" s="75">
        <f>VLOOKUP($A170,'Data Vlaue (Cr)'!$C:$FB,119)</f>
        <v>0.44</v>
      </c>
      <c r="Q170" s="75">
        <f>VLOOKUP($A170,'Data Vlaue (Cr)'!$C:$FB,122)*100</f>
        <v>-2.2200000000000002</v>
      </c>
      <c r="R170" s="75">
        <f>VLOOKUP($A170,'Data Vlaue (Cr)'!$C:$FB,125)</f>
        <v>0.28000000000000003</v>
      </c>
      <c r="S170" s="75">
        <f>VLOOKUP($A170,'Data Vlaue (Cr)'!$C:$FB,128)*100</f>
        <v>-41.67</v>
      </c>
    </row>
    <row r="171" spans="1:19" x14ac:dyDescent="0.25">
      <c r="A171" s="96" t="str">
        <f>'Data Vlaue (Cr)'!C162</f>
        <v>PAYTM</v>
      </c>
      <c r="B171" s="75">
        <f>VLOOKUP($A171,'Data Vlaue (Cr)'!$C:$FB,2)</f>
        <v>725</v>
      </c>
      <c r="C171" s="75">
        <f>VLOOKUP($A171,'Data Vlaue (Cr)'!$C:$FB,8)</f>
        <v>1248</v>
      </c>
      <c r="D171" s="75">
        <f>VLOOKUP($A171,'Data Vlaue (Cr)'!$C:$FB,4)</f>
        <v>1248.0999999999999</v>
      </c>
      <c r="E171" s="75">
        <f>VLOOKUP($A171,'Data Vlaue (Cr)'!$C:$FB,5)</f>
        <v>1230</v>
      </c>
      <c r="F171" s="75">
        <f t="shared" si="12"/>
        <v>9.9999999999909051E-2</v>
      </c>
      <c r="G171" s="75">
        <f t="shared" si="13"/>
        <v>1.4502043105520319</v>
      </c>
      <c r="H171" s="75">
        <f>VLOOKUP($A171,'Data Vlaue (Cr)'!$C:$FB,99)</f>
        <v>6651</v>
      </c>
      <c r="I171" s="75">
        <f>VLOOKUP($A171,'Data Vlaue (Cr)'!$C:$FB,100)</f>
        <v>6352</v>
      </c>
      <c r="J171" s="75">
        <f t="shared" si="14"/>
        <v>299</v>
      </c>
      <c r="K171" s="75">
        <f t="shared" si="15"/>
        <v>4.4955645767553749</v>
      </c>
      <c r="L171" s="75">
        <f>VLOOKUP($A171,'Data Vlaue (Cr)'!$C:$FB,67)</f>
        <v>10867</v>
      </c>
      <c r="M171" s="75">
        <f>VLOOKUP($A171,'Data Vlaue (Cr)'!$C:$FB,68)</f>
        <v>15077</v>
      </c>
      <c r="N171" s="75">
        <f t="shared" si="16"/>
        <v>-4210</v>
      </c>
      <c r="O171" s="75">
        <f t="shared" si="17"/>
        <v>-38.741142909726697</v>
      </c>
      <c r="P171" s="75">
        <f>VLOOKUP($A171,'Data Vlaue (Cr)'!$C:$FB,119)</f>
        <v>0.91</v>
      </c>
      <c r="Q171" s="75">
        <f>VLOOKUP($A171,'Data Vlaue (Cr)'!$C:$FB,122)*100</f>
        <v>-5.21</v>
      </c>
      <c r="R171" s="75">
        <f>VLOOKUP($A171,'Data Vlaue (Cr)'!$C:$FB,125)</f>
        <v>0.46</v>
      </c>
      <c r="S171" s="75">
        <f>VLOOKUP($A171,'Data Vlaue (Cr)'!$C:$FB,128)*100</f>
        <v>2.2200000000000002</v>
      </c>
    </row>
    <row r="172" spans="1:19" x14ac:dyDescent="0.25">
      <c r="A172" s="96" t="str">
        <f>'Data Vlaue (Cr)'!C163</f>
        <v>PERSISTENT</v>
      </c>
      <c r="B172" s="75">
        <f>VLOOKUP($A172,'Data Vlaue (Cr)'!$C:$FB,2)</f>
        <v>100</v>
      </c>
      <c r="C172" s="75">
        <f>VLOOKUP($A172,'Data Vlaue (Cr)'!$C:$FB,8)</f>
        <v>5345</v>
      </c>
      <c r="D172" s="75">
        <f>VLOOKUP($A172,'Data Vlaue (Cr)'!$C:$FB,4)</f>
        <v>5357.5</v>
      </c>
      <c r="E172" s="75">
        <f>VLOOKUP($A172,'Data Vlaue (Cr)'!$C:$FB,5)</f>
        <v>5257</v>
      </c>
      <c r="F172" s="75">
        <f t="shared" si="12"/>
        <v>12.5</v>
      </c>
      <c r="G172" s="75">
        <f t="shared" si="13"/>
        <v>1.8758749416705554</v>
      </c>
      <c r="H172" s="75">
        <f>VLOOKUP($A172,'Data Vlaue (Cr)'!$C:$FB,99)</f>
        <v>2691</v>
      </c>
      <c r="I172" s="75">
        <f>VLOOKUP($A172,'Data Vlaue (Cr)'!$C:$FB,100)</f>
        <v>2757</v>
      </c>
      <c r="J172" s="75">
        <f t="shared" si="14"/>
        <v>-66</v>
      </c>
      <c r="K172" s="75">
        <f t="shared" si="15"/>
        <v>-2.4526198439241917</v>
      </c>
      <c r="L172" s="75">
        <f>VLOOKUP($A172,'Data Vlaue (Cr)'!$C:$FB,67)</f>
        <v>3920</v>
      </c>
      <c r="M172" s="75">
        <f>VLOOKUP($A172,'Data Vlaue (Cr)'!$C:$FB,68)</f>
        <v>1623</v>
      </c>
      <c r="N172" s="75">
        <f t="shared" si="16"/>
        <v>2297</v>
      </c>
      <c r="O172" s="75">
        <f t="shared" si="17"/>
        <v>58.596938775510196</v>
      </c>
      <c r="P172" s="75">
        <f>VLOOKUP($A172,'Data Vlaue (Cr)'!$C:$FB,119)</f>
        <v>0.62</v>
      </c>
      <c r="Q172" s="75">
        <f>VLOOKUP($A172,'Data Vlaue (Cr)'!$C:$FB,122)*100</f>
        <v>8.77</v>
      </c>
      <c r="R172" s="75">
        <f>VLOOKUP($A172,'Data Vlaue (Cr)'!$C:$FB,125)</f>
        <v>0.37</v>
      </c>
      <c r="S172" s="75">
        <f>VLOOKUP($A172,'Data Vlaue (Cr)'!$C:$FB,128)*100</f>
        <v>12.120000000000001</v>
      </c>
    </row>
    <row r="173" spans="1:19" x14ac:dyDescent="0.25">
      <c r="A173" s="96" t="str">
        <f>'Data Vlaue (Cr)'!C164</f>
        <v>PETRONET</v>
      </c>
      <c r="B173" s="75">
        <f>VLOOKUP($A173,'Data Vlaue (Cr)'!$C:$FB,2)</f>
        <v>1800</v>
      </c>
      <c r="C173" s="75">
        <f>VLOOKUP($A173,'Data Vlaue (Cr)'!$C:$FB,8)</f>
        <v>280.14999999999998</v>
      </c>
      <c r="D173" s="75">
        <f>VLOOKUP($A173,'Data Vlaue (Cr)'!$C:$FB,4)</f>
        <v>280.55</v>
      </c>
      <c r="E173" s="75">
        <f>VLOOKUP($A173,'Data Vlaue (Cr)'!$C:$FB,5)</f>
        <v>283.39999999999998</v>
      </c>
      <c r="F173" s="75">
        <f t="shared" si="12"/>
        <v>0.40000000000003411</v>
      </c>
      <c r="G173" s="75">
        <f t="shared" si="13"/>
        <v>-1.0158617002316757</v>
      </c>
      <c r="H173" s="75">
        <f>VLOOKUP($A173,'Data Vlaue (Cr)'!$C:$FB,99)</f>
        <v>1989</v>
      </c>
      <c r="I173" s="75">
        <f>VLOOKUP($A173,'Data Vlaue (Cr)'!$C:$FB,100)</f>
        <v>1979</v>
      </c>
      <c r="J173" s="75">
        <f t="shared" si="14"/>
        <v>10</v>
      </c>
      <c r="K173" s="75">
        <f t="shared" si="15"/>
        <v>0.50276520864756158</v>
      </c>
      <c r="L173" s="75">
        <f>VLOOKUP($A173,'Data Vlaue (Cr)'!$C:$FB,67)</f>
        <v>415</v>
      </c>
      <c r="M173" s="75">
        <f>VLOOKUP($A173,'Data Vlaue (Cr)'!$C:$FB,68)</f>
        <v>1033</v>
      </c>
      <c r="N173" s="75">
        <f t="shared" si="16"/>
        <v>-618</v>
      </c>
      <c r="O173" s="75">
        <f t="shared" si="17"/>
        <v>-148.9156626506024</v>
      </c>
      <c r="P173" s="75">
        <f>VLOOKUP($A173,'Data Vlaue (Cr)'!$C:$FB,119)</f>
        <v>1.1200000000000001</v>
      </c>
      <c r="Q173" s="75">
        <f>VLOOKUP($A173,'Data Vlaue (Cr)'!$C:$FB,122)*100</f>
        <v>4.67</v>
      </c>
      <c r="R173" s="75">
        <f>VLOOKUP($A173,'Data Vlaue (Cr)'!$C:$FB,125)</f>
        <v>1.28</v>
      </c>
      <c r="S173" s="75">
        <f>VLOOKUP($A173,'Data Vlaue (Cr)'!$C:$FB,128)*100</f>
        <v>109.84</v>
      </c>
    </row>
    <row r="174" spans="1:19" x14ac:dyDescent="0.25">
      <c r="A174" s="96" t="str">
        <f>'Data Vlaue (Cr)'!C165</f>
        <v>PFC</v>
      </c>
      <c r="B174" s="75">
        <f>VLOOKUP($A174,'Data Vlaue (Cr)'!$C:$FB,2)</f>
        <v>1300</v>
      </c>
      <c r="C174" s="75">
        <f>VLOOKUP($A174,'Data Vlaue (Cr)'!$C:$FB,8)</f>
        <v>403.4</v>
      </c>
      <c r="D174" s="75">
        <f>VLOOKUP($A174,'Data Vlaue (Cr)'!$C:$FB,4)</f>
        <v>404.2</v>
      </c>
      <c r="E174" s="75">
        <f>VLOOKUP($A174,'Data Vlaue (Cr)'!$C:$FB,5)</f>
        <v>411.4</v>
      </c>
      <c r="F174" s="75">
        <f t="shared" si="12"/>
        <v>0.80000000000001137</v>
      </c>
      <c r="G174" s="75">
        <f t="shared" si="13"/>
        <v>-1.7812963879267663</v>
      </c>
      <c r="H174" s="75">
        <f>VLOOKUP($A174,'Data Vlaue (Cr)'!$C:$FB,99)</f>
        <v>4137</v>
      </c>
      <c r="I174" s="75">
        <f>VLOOKUP($A174,'Data Vlaue (Cr)'!$C:$FB,100)</f>
        <v>3872</v>
      </c>
      <c r="J174" s="75">
        <f t="shared" si="14"/>
        <v>265</v>
      </c>
      <c r="K174" s="75">
        <f t="shared" si="15"/>
        <v>6.4056079284505687</v>
      </c>
      <c r="L174" s="75">
        <f>VLOOKUP($A174,'Data Vlaue (Cr)'!$C:$FB,67)</f>
        <v>2613</v>
      </c>
      <c r="M174" s="75">
        <f>VLOOKUP($A174,'Data Vlaue (Cr)'!$C:$FB,68)</f>
        <v>1765</v>
      </c>
      <c r="N174" s="75">
        <f t="shared" si="16"/>
        <v>848</v>
      </c>
      <c r="O174" s="75">
        <f t="shared" si="17"/>
        <v>32.453119020283197</v>
      </c>
      <c r="P174" s="75">
        <f>VLOOKUP($A174,'Data Vlaue (Cr)'!$C:$FB,119)</f>
        <v>0.79</v>
      </c>
      <c r="Q174" s="75">
        <f>VLOOKUP($A174,'Data Vlaue (Cr)'!$C:$FB,122)*100</f>
        <v>-10.23</v>
      </c>
      <c r="R174" s="75">
        <f>VLOOKUP($A174,'Data Vlaue (Cr)'!$C:$FB,125)</f>
        <v>0.55000000000000004</v>
      </c>
      <c r="S174" s="75">
        <f>VLOOKUP($A174,'Data Vlaue (Cr)'!$C:$FB,128)*100</f>
        <v>10</v>
      </c>
    </row>
    <row r="175" spans="1:19" x14ac:dyDescent="0.25">
      <c r="A175" s="96" t="str">
        <f>'Data Vlaue (Cr)'!C166</f>
        <v>PGEL</v>
      </c>
      <c r="B175" s="75">
        <f>VLOOKUP($A175,'Data Vlaue (Cr)'!$C:$FB,2)</f>
        <v>700</v>
      </c>
      <c r="C175" s="75">
        <f>VLOOKUP($A175,'Data Vlaue (Cr)'!$C:$FB,8)</f>
        <v>536.6</v>
      </c>
      <c r="D175" s="75">
        <f>VLOOKUP($A175,'Data Vlaue (Cr)'!$C:$FB,4)</f>
        <v>536.70000000000005</v>
      </c>
      <c r="E175" s="75">
        <f>VLOOKUP($A175,'Data Vlaue (Cr)'!$C:$FB,5)</f>
        <v>542.04999999999995</v>
      </c>
      <c r="F175" s="75">
        <f t="shared" si="12"/>
        <v>0.10000000000002274</v>
      </c>
      <c r="G175" s="75">
        <f t="shared" si="13"/>
        <v>-0.9968324948760775</v>
      </c>
      <c r="H175" s="75">
        <f>VLOOKUP($A175,'Data Vlaue (Cr)'!$C:$FB,99)</f>
        <v>1881</v>
      </c>
      <c r="I175" s="75">
        <f>VLOOKUP($A175,'Data Vlaue (Cr)'!$C:$FB,100)</f>
        <v>1339</v>
      </c>
      <c r="J175" s="75">
        <f t="shared" si="14"/>
        <v>542</v>
      </c>
      <c r="K175" s="75">
        <f t="shared" si="15"/>
        <v>28.81446039340776</v>
      </c>
      <c r="L175" s="75">
        <f>VLOOKUP($A175,'Data Vlaue (Cr)'!$C:$FB,67)</f>
        <v>7196</v>
      </c>
      <c r="M175" s="75">
        <f>VLOOKUP($A175,'Data Vlaue (Cr)'!$C:$FB,68)</f>
        <v>126</v>
      </c>
      <c r="N175" s="75">
        <f t="shared" si="16"/>
        <v>7070</v>
      </c>
      <c r="O175" s="75">
        <f t="shared" si="17"/>
        <v>98.249027237354085</v>
      </c>
      <c r="P175" s="75">
        <f>VLOOKUP($A175,'Data Vlaue (Cr)'!$C:$FB,119)</f>
        <v>0.46</v>
      </c>
      <c r="Q175" s="75">
        <f>VLOOKUP($A175,'Data Vlaue (Cr)'!$C:$FB,122)*100</f>
        <v>0</v>
      </c>
      <c r="R175" s="75">
        <f>VLOOKUP($A175,'Data Vlaue (Cr)'!$C:$FB,125)</f>
        <v>0.41</v>
      </c>
      <c r="S175" s="75">
        <f>VLOOKUP($A175,'Data Vlaue (Cr)'!$C:$FB,128)*100</f>
        <v>0</v>
      </c>
    </row>
    <row r="176" spans="1:19" x14ac:dyDescent="0.25">
      <c r="A176" s="96" t="str">
        <f>'Data Vlaue (Cr)'!C167</f>
        <v>PHOENIXLTD</v>
      </c>
      <c r="B176" s="75">
        <f>VLOOKUP($A176,'Data Vlaue (Cr)'!$C:$FB,2)</f>
        <v>350</v>
      </c>
      <c r="C176" s="75">
        <f>VLOOKUP($A176,'Data Vlaue (Cr)'!$C:$FB,8)</f>
        <v>1563.5</v>
      </c>
      <c r="D176" s="75">
        <f>VLOOKUP($A176,'Data Vlaue (Cr)'!$C:$FB,4)</f>
        <v>1563.5</v>
      </c>
      <c r="E176" s="75">
        <f>VLOOKUP($A176,'Data Vlaue (Cr)'!$C:$FB,5)</f>
        <v>1505.2</v>
      </c>
      <c r="F176" s="75">
        <f t="shared" si="12"/>
        <v>0</v>
      </c>
      <c r="G176" s="75">
        <f t="shared" si="13"/>
        <v>3.7288135593220315</v>
      </c>
      <c r="H176" s="75">
        <f>VLOOKUP($A176,'Data Vlaue (Cr)'!$C:$FB,99)</f>
        <v>916</v>
      </c>
      <c r="I176" s="75">
        <f>VLOOKUP($A176,'Data Vlaue (Cr)'!$C:$FB,100)</f>
        <v>893</v>
      </c>
      <c r="J176" s="75">
        <f t="shared" si="14"/>
        <v>23</v>
      </c>
      <c r="K176" s="75">
        <f t="shared" si="15"/>
        <v>2.5109170305676853</v>
      </c>
      <c r="L176" s="75">
        <f>VLOOKUP($A176,'Data Vlaue (Cr)'!$C:$FB,67)</f>
        <v>1239</v>
      </c>
      <c r="M176" s="75">
        <f>VLOOKUP($A176,'Data Vlaue (Cr)'!$C:$FB,68)</f>
        <v>333</v>
      </c>
      <c r="N176" s="75">
        <f t="shared" si="16"/>
        <v>906</v>
      </c>
      <c r="O176" s="75">
        <f t="shared" si="17"/>
        <v>73.123486682808718</v>
      </c>
      <c r="P176" s="75">
        <f>VLOOKUP($A176,'Data Vlaue (Cr)'!$C:$FB,119)</f>
        <v>0.65</v>
      </c>
      <c r="Q176" s="75">
        <f>VLOOKUP($A176,'Data Vlaue (Cr)'!$C:$FB,122)*100</f>
        <v>14.04</v>
      </c>
      <c r="R176" s="75">
        <f>VLOOKUP($A176,'Data Vlaue (Cr)'!$C:$FB,125)</f>
        <v>0.31</v>
      </c>
      <c r="S176" s="75">
        <f>VLOOKUP($A176,'Data Vlaue (Cr)'!$C:$FB,128)*100</f>
        <v>-26.19</v>
      </c>
    </row>
    <row r="177" spans="1:19" x14ac:dyDescent="0.25">
      <c r="A177" s="96" t="str">
        <f>'Data Vlaue (Cr)'!C168</f>
        <v>PIDILITIND</v>
      </c>
      <c r="B177" s="75">
        <f>VLOOKUP($A177,'Data Vlaue (Cr)'!$C:$FB,2)</f>
        <v>250</v>
      </c>
      <c r="C177" s="75">
        <f>VLOOKUP($A177,'Data Vlaue (Cr)'!$C:$FB,8)</f>
        <v>3084.6</v>
      </c>
      <c r="D177" s="75">
        <f>VLOOKUP($A177,'Data Vlaue (Cr)'!$C:$FB,4)</f>
        <v>3090.4</v>
      </c>
      <c r="E177" s="75">
        <f>VLOOKUP($A177,'Data Vlaue (Cr)'!$C:$FB,5)</f>
        <v>3101.7</v>
      </c>
      <c r="F177" s="75">
        <f t="shared" ref="F177:F185" si="18">D177-C177</f>
        <v>5.8000000000001819</v>
      </c>
      <c r="G177" s="75">
        <f t="shared" ref="G177:G185" si="19">(D177-E177)/D177*100</f>
        <v>-0.36564845974630233</v>
      </c>
      <c r="H177" s="75">
        <f>VLOOKUP($A177,'Data Vlaue (Cr)'!$C:$FB,99)</f>
        <v>1762</v>
      </c>
      <c r="I177" s="75">
        <f>VLOOKUP($A177,'Data Vlaue (Cr)'!$C:$FB,100)</f>
        <v>1770</v>
      </c>
      <c r="J177" s="75">
        <f t="shared" ref="J177:J185" si="20">H177-I177</f>
        <v>-8</v>
      </c>
      <c r="K177" s="75">
        <f t="shared" ref="K177:K185" si="21">J177/H177*100</f>
        <v>-0.45402951191827468</v>
      </c>
      <c r="L177" s="75">
        <f>VLOOKUP($A177,'Data Vlaue (Cr)'!$C:$FB,67)</f>
        <v>330</v>
      </c>
      <c r="M177" s="75">
        <f>VLOOKUP($A177,'Data Vlaue (Cr)'!$C:$FB,68)</f>
        <v>669</v>
      </c>
      <c r="N177" s="75">
        <f t="shared" ref="N177:N185" si="22">L177-M177</f>
        <v>-339</v>
      </c>
      <c r="O177" s="75">
        <f t="shared" ref="O177:O185" si="23">N177/L177*100</f>
        <v>-102.72727272727273</v>
      </c>
      <c r="P177" s="75">
        <f>VLOOKUP($A177,'Data Vlaue (Cr)'!$C:$FB,119)</f>
        <v>0.77</v>
      </c>
      <c r="Q177" s="75">
        <f>VLOOKUP($A177,'Data Vlaue (Cr)'!$C:$FB,122)*100</f>
        <v>0</v>
      </c>
      <c r="R177" s="75">
        <f>VLOOKUP($A177,'Data Vlaue (Cr)'!$C:$FB,125)</f>
        <v>0.28999999999999998</v>
      </c>
      <c r="S177" s="75">
        <f>VLOOKUP($A177,'Data Vlaue (Cr)'!$C:$FB,128)*100</f>
        <v>-19.439999999999998</v>
      </c>
    </row>
    <row r="178" spans="1:19" x14ac:dyDescent="0.25">
      <c r="A178" s="96" t="str">
        <f>'Data Vlaue (Cr)'!C169</f>
        <v>PIIND</v>
      </c>
      <c r="B178" s="75">
        <f>VLOOKUP($A178,'Data Vlaue (Cr)'!$C:$FB,2)</f>
        <v>175</v>
      </c>
      <c r="C178" s="75">
        <f>VLOOKUP($A178,'Data Vlaue (Cr)'!$C:$FB,8)</f>
        <v>3796.8</v>
      </c>
      <c r="D178" s="75">
        <f>VLOOKUP($A178,'Data Vlaue (Cr)'!$C:$FB,4)</f>
        <v>3808.8</v>
      </c>
      <c r="E178" s="75">
        <f>VLOOKUP($A178,'Data Vlaue (Cr)'!$C:$FB,5)</f>
        <v>3781.5</v>
      </c>
      <c r="F178" s="75">
        <f t="shared" si="18"/>
        <v>12</v>
      </c>
      <c r="G178" s="75">
        <f t="shared" si="19"/>
        <v>0.71676118462508354</v>
      </c>
      <c r="H178" s="75">
        <f>VLOOKUP($A178,'Data Vlaue (Cr)'!$C:$FB,99)</f>
        <v>1379</v>
      </c>
      <c r="I178" s="75">
        <f>VLOOKUP($A178,'Data Vlaue (Cr)'!$C:$FB,100)</f>
        <v>1438</v>
      </c>
      <c r="J178" s="75">
        <f t="shared" si="20"/>
        <v>-59</v>
      </c>
      <c r="K178" s="75">
        <f t="shared" si="21"/>
        <v>-4.2784626540971722</v>
      </c>
      <c r="L178" s="75">
        <f>VLOOKUP($A178,'Data Vlaue (Cr)'!$C:$FB,67)</f>
        <v>674</v>
      </c>
      <c r="M178" s="75">
        <f>VLOOKUP($A178,'Data Vlaue (Cr)'!$C:$FB,68)</f>
        <v>521</v>
      </c>
      <c r="N178" s="75">
        <f t="shared" si="22"/>
        <v>153</v>
      </c>
      <c r="O178" s="75">
        <f t="shared" si="23"/>
        <v>22.700296735905045</v>
      </c>
      <c r="P178" s="75">
        <f>VLOOKUP($A178,'Data Vlaue (Cr)'!$C:$FB,119)</f>
        <v>0.66</v>
      </c>
      <c r="Q178" s="75">
        <f>VLOOKUP($A178,'Data Vlaue (Cr)'!$C:$FB,122)*100</f>
        <v>4.7600000000000007</v>
      </c>
      <c r="R178" s="75">
        <f>VLOOKUP($A178,'Data Vlaue (Cr)'!$C:$FB,125)</f>
        <v>0.28000000000000003</v>
      </c>
      <c r="S178" s="75">
        <f>VLOOKUP($A178,'Data Vlaue (Cr)'!$C:$FB,128)*100</f>
        <v>-39.129999999999995</v>
      </c>
    </row>
    <row r="179" spans="1:19" x14ac:dyDescent="0.25">
      <c r="A179" s="96" t="str">
        <f>'Data Vlaue (Cr)'!C170</f>
        <v>PNB</v>
      </c>
      <c r="B179" s="75">
        <f>VLOOKUP($A179,'Data Vlaue (Cr)'!$C:$FB,2)</f>
        <v>8000</v>
      </c>
      <c r="C179" s="75">
        <f>VLOOKUP($A179,'Data Vlaue (Cr)'!$C:$FB,8)</f>
        <v>107.11</v>
      </c>
      <c r="D179" s="75">
        <f>VLOOKUP($A179,'Data Vlaue (Cr)'!$C:$FB,4)</f>
        <v>107.25</v>
      </c>
      <c r="E179" s="75">
        <f>VLOOKUP($A179,'Data Vlaue (Cr)'!$C:$FB,5)</f>
        <v>108.14</v>
      </c>
      <c r="F179" s="75">
        <f t="shared" si="18"/>
        <v>0.14000000000000057</v>
      </c>
      <c r="G179" s="75">
        <f t="shared" si="19"/>
        <v>-0.82983682983683049</v>
      </c>
      <c r="H179" s="75">
        <f>VLOOKUP($A179,'Data Vlaue (Cr)'!$C:$FB,99)</f>
        <v>5053</v>
      </c>
      <c r="I179" s="75">
        <f>VLOOKUP($A179,'Data Vlaue (Cr)'!$C:$FB,100)</f>
        <v>4918</v>
      </c>
      <c r="J179" s="75">
        <f t="shared" si="20"/>
        <v>135</v>
      </c>
      <c r="K179" s="75">
        <f t="shared" si="21"/>
        <v>2.6716801899861466</v>
      </c>
      <c r="L179" s="75">
        <f>VLOOKUP($A179,'Data Vlaue (Cr)'!$C:$FB,67)</f>
        <v>1894</v>
      </c>
      <c r="M179" s="75">
        <f>VLOOKUP($A179,'Data Vlaue (Cr)'!$C:$FB,68)</f>
        <v>2116</v>
      </c>
      <c r="N179" s="75">
        <f t="shared" si="22"/>
        <v>-222</v>
      </c>
      <c r="O179" s="75">
        <f t="shared" si="23"/>
        <v>-11.721224920802534</v>
      </c>
      <c r="P179" s="75">
        <f>VLOOKUP($A179,'Data Vlaue (Cr)'!$C:$FB,119)</f>
        <v>0.6</v>
      </c>
      <c r="Q179" s="75">
        <f>VLOOKUP($A179,'Data Vlaue (Cr)'!$C:$FB,122)*100</f>
        <v>-4.7600000000000007</v>
      </c>
      <c r="R179" s="75">
        <f>VLOOKUP($A179,'Data Vlaue (Cr)'!$C:$FB,125)</f>
        <v>0.57999999999999996</v>
      </c>
      <c r="S179" s="75">
        <f>VLOOKUP($A179,'Data Vlaue (Cr)'!$C:$FB,128)*100</f>
        <v>0</v>
      </c>
    </row>
    <row r="180" spans="1:19" x14ac:dyDescent="0.25">
      <c r="A180" s="96" t="str">
        <f>'Data Vlaue (Cr)'!C171</f>
        <v>PNBHOUSING</v>
      </c>
      <c r="B180" s="75">
        <f>VLOOKUP($A180,'Data Vlaue (Cr)'!$C:$FB,2)</f>
        <v>650</v>
      </c>
      <c r="C180" s="75">
        <f>VLOOKUP($A180,'Data Vlaue (Cr)'!$C:$FB,8)</f>
        <v>808.45</v>
      </c>
      <c r="D180" s="75">
        <f>VLOOKUP($A180,'Data Vlaue (Cr)'!$C:$FB,4)</f>
        <v>811.85</v>
      </c>
      <c r="E180" s="75">
        <f>VLOOKUP($A180,'Data Vlaue (Cr)'!$C:$FB,5)</f>
        <v>820.85</v>
      </c>
      <c r="F180" s="75">
        <f t="shared" si="18"/>
        <v>3.3999999999999773</v>
      </c>
      <c r="G180" s="75">
        <f t="shared" si="19"/>
        <v>-1.1085791710291311</v>
      </c>
      <c r="H180" s="75">
        <f>VLOOKUP($A180,'Data Vlaue (Cr)'!$C:$FB,99)</f>
        <v>2696</v>
      </c>
      <c r="I180" s="75">
        <f>VLOOKUP($A180,'Data Vlaue (Cr)'!$C:$FB,100)</f>
        <v>2547</v>
      </c>
      <c r="J180" s="75">
        <f t="shared" si="20"/>
        <v>149</v>
      </c>
      <c r="K180" s="75">
        <f t="shared" si="21"/>
        <v>5.5267062314540061</v>
      </c>
      <c r="L180" s="75">
        <f>VLOOKUP($A180,'Data Vlaue (Cr)'!$C:$FB,67)</f>
        <v>1506</v>
      </c>
      <c r="M180" s="75">
        <f>VLOOKUP($A180,'Data Vlaue (Cr)'!$C:$FB,68)</f>
        <v>5346</v>
      </c>
      <c r="N180" s="75">
        <f t="shared" si="22"/>
        <v>-3840</v>
      </c>
      <c r="O180" s="75">
        <f t="shared" si="23"/>
        <v>-254.9800796812749</v>
      </c>
      <c r="P180" s="75">
        <f>VLOOKUP($A180,'Data Vlaue (Cr)'!$C:$FB,119)</f>
        <v>0.41</v>
      </c>
      <c r="Q180" s="75">
        <f>VLOOKUP($A180,'Data Vlaue (Cr)'!$C:$FB,122)*100</f>
        <v>0</v>
      </c>
      <c r="R180" s="75">
        <f>VLOOKUP($A180,'Data Vlaue (Cr)'!$C:$FB,125)</f>
        <v>0.38</v>
      </c>
      <c r="S180" s="75">
        <f>VLOOKUP($A180,'Data Vlaue (Cr)'!$C:$FB,128)*100</f>
        <v>8.57</v>
      </c>
    </row>
    <row r="181" spans="1:19" x14ac:dyDescent="0.25">
      <c r="A181" s="96" t="str">
        <f>'Data Vlaue (Cr)'!C172</f>
        <v>POLICYBZR</v>
      </c>
      <c r="B181" s="75">
        <f>VLOOKUP($A181,'Data Vlaue (Cr)'!$C:$FB,2)</f>
        <v>350</v>
      </c>
      <c r="C181" s="75">
        <f>VLOOKUP($A181,'Data Vlaue (Cr)'!$C:$FB,8)</f>
        <v>1921.8</v>
      </c>
      <c r="D181" s="75">
        <f>VLOOKUP($A181,'Data Vlaue (Cr)'!$C:$FB,4)</f>
        <v>1921.4</v>
      </c>
      <c r="E181" s="75">
        <f>VLOOKUP($A181,'Data Vlaue (Cr)'!$C:$FB,5)</f>
        <v>1914.6</v>
      </c>
      <c r="F181" s="75">
        <f t="shared" si="18"/>
        <v>-0.39999999999986358</v>
      </c>
      <c r="G181" s="75">
        <f t="shared" si="19"/>
        <v>0.35390860830645265</v>
      </c>
      <c r="H181" s="75">
        <f>VLOOKUP($A181,'Data Vlaue (Cr)'!$C:$FB,99)</f>
        <v>1795</v>
      </c>
      <c r="I181" s="75">
        <f>VLOOKUP($A181,'Data Vlaue (Cr)'!$C:$FB,100)</f>
        <v>1811</v>
      </c>
      <c r="J181" s="75">
        <f t="shared" si="20"/>
        <v>-16</v>
      </c>
      <c r="K181" s="75">
        <f t="shared" si="21"/>
        <v>-0.89136490250696387</v>
      </c>
      <c r="L181" s="75">
        <f>VLOOKUP($A181,'Data Vlaue (Cr)'!$C:$FB,67)</f>
        <v>790</v>
      </c>
      <c r="M181" s="75">
        <f>VLOOKUP($A181,'Data Vlaue (Cr)'!$C:$FB,68)</f>
        <v>883</v>
      </c>
      <c r="N181" s="75">
        <f t="shared" si="22"/>
        <v>-93</v>
      </c>
      <c r="O181" s="75">
        <f t="shared" si="23"/>
        <v>-11.772151898734178</v>
      </c>
      <c r="P181" s="75">
        <f>VLOOKUP($A181,'Data Vlaue (Cr)'!$C:$FB,119)</f>
        <v>0.88</v>
      </c>
      <c r="Q181" s="75">
        <f>VLOOKUP($A181,'Data Vlaue (Cr)'!$C:$FB,122)*100</f>
        <v>0</v>
      </c>
      <c r="R181" s="75">
        <f>VLOOKUP($A181,'Data Vlaue (Cr)'!$C:$FB,125)</f>
        <v>0.34</v>
      </c>
      <c r="S181" s="75">
        <f>VLOOKUP($A181,'Data Vlaue (Cr)'!$C:$FB,128)*100</f>
        <v>0</v>
      </c>
    </row>
    <row r="182" spans="1:19" x14ac:dyDescent="0.25">
      <c r="A182" s="96" t="str">
        <f>'Data Vlaue (Cr)'!C173</f>
        <v>POLYCAB</v>
      </c>
      <c r="B182" s="75">
        <f>VLOOKUP($A182,'Data Vlaue (Cr)'!$C:$FB,2)</f>
        <v>125</v>
      </c>
      <c r="C182" s="75">
        <f>VLOOKUP($A182,'Data Vlaue (Cr)'!$C:$FB,8)</f>
        <v>7158</v>
      </c>
      <c r="D182" s="75">
        <f>VLOOKUP($A182,'Data Vlaue (Cr)'!$C:$FB,4)</f>
        <v>7166.5</v>
      </c>
      <c r="E182" s="75">
        <f>VLOOKUP($A182,'Data Vlaue (Cr)'!$C:$FB,5)</f>
        <v>7132</v>
      </c>
      <c r="F182" s="75">
        <f t="shared" si="18"/>
        <v>8.5</v>
      </c>
      <c r="G182" s="75">
        <f t="shared" si="19"/>
        <v>0.48140654433824037</v>
      </c>
      <c r="H182" s="75">
        <f>VLOOKUP($A182,'Data Vlaue (Cr)'!$C:$FB,99)</f>
        <v>2297</v>
      </c>
      <c r="I182" s="75">
        <f>VLOOKUP($A182,'Data Vlaue (Cr)'!$C:$FB,100)</f>
        <v>2291</v>
      </c>
      <c r="J182" s="75">
        <f t="shared" si="20"/>
        <v>6</v>
      </c>
      <c r="K182" s="75">
        <f t="shared" si="21"/>
        <v>0.26121027427078797</v>
      </c>
      <c r="L182" s="75">
        <f>VLOOKUP($A182,'Data Vlaue (Cr)'!$C:$FB,67)</f>
        <v>2459</v>
      </c>
      <c r="M182" s="75">
        <f>VLOOKUP($A182,'Data Vlaue (Cr)'!$C:$FB,68)</f>
        <v>1433</v>
      </c>
      <c r="N182" s="75">
        <f t="shared" si="22"/>
        <v>1026</v>
      </c>
      <c r="O182" s="75">
        <f t="shared" si="23"/>
        <v>41.724278161854414</v>
      </c>
      <c r="P182" s="75">
        <f>VLOOKUP($A182,'Data Vlaue (Cr)'!$C:$FB,119)</f>
        <v>0.79</v>
      </c>
      <c r="Q182" s="75">
        <f>VLOOKUP($A182,'Data Vlaue (Cr)'!$C:$FB,122)*100</f>
        <v>5.33</v>
      </c>
      <c r="R182" s="75">
        <f>VLOOKUP($A182,'Data Vlaue (Cr)'!$C:$FB,125)</f>
        <v>0.38</v>
      </c>
      <c r="S182" s="75">
        <f>VLOOKUP($A182,'Data Vlaue (Cr)'!$C:$FB,128)*100</f>
        <v>-26.919999999999998</v>
      </c>
    </row>
    <row r="183" spans="1:19" x14ac:dyDescent="0.25">
      <c r="A183" s="96" t="str">
        <f>'Data Vlaue (Cr)'!C174</f>
        <v>POONAWALLA</v>
      </c>
      <c r="B183" s="75">
        <f>VLOOKUP($A183,'Data Vlaue (Cr)'!$C:$FB,2)</f>
        <v>1700</v>
      </c>
      <c r="C183" s="75">
        <f>VLOOKUP($A183,'Data Vlaue (Cr)'!$C:$FB,8)</f>
        <v>462.8</v>
      </c>
      <c r="D183" s="75">
        <f>VLOOKUP($A183,'Data Vlaue (Cr)'!$C:$FB,4)</f>
        <v>464.8</v>
      </c>
      <c r="E183" s="75">
        <f>VLOOKUP($A183,'Data Vlaue (Cr)'!$C:$FB,5)</f>
        <v>471.35</v>
      </c>
      <c r="F183" s="75">
        <f t="shared" si="18"/>
        <v>2</v>
      </c>
      <c r="G183" s="75">
        <f t="shared" si="19"/>
        <v>-1.4092082616179025</v>
      </c>
      <c r="H183" s="75">
        <f>VLOOKUP($A183,'Data Vlaue (Cr)'!$C:$FB,99)</f>
        <v>657</v>
      </c>
      <c r="I183" s="75">
        <f>VLOOKUP($A183,'Data Vlaue (Cr)'!$C:$FB,100)</f>
        <v>664</v>
      </c>
      <c r="J183" s="75">
        <f t="shared" si="20"/>
        <v>-7</v>
      </c>
      <c r="K183" s="75">
        <f t="shared" si="21"/>
        <v>-1.06544901065449</v>
      </c>
      <c r="L183" s="75">
        <f>VLOOKUP($A183,'Data Vlaue (Cr)'!$C:$FB,67)</f>
        <v>149</v>
      </c>
      <c r="M183" s="75">
        <f>VLOOKUP($A183,'Data Vlaue (Cr)'!$C:$FB,68)</f>
        <v>206</v>
      </c>
      <c r="N183" s="75">
        <f t="shared" si="22"/>
        <v>-57</v>
      </c>
      <c r="O183" s="75">
        <f t="shared" si="23"/>
        <v>-38.255033557046978</v>
      </c>
      <c r="P183" s="75">
        <f>VLOOKUP($A183,'Data Vlaue (Cr)'!$C:$FB,119)</f>
        <v>0.82</v>
      </c>
      <c r="Q183" s="75">
        <f>VLOOKUP($A183,'Data Vlaue (Cr)'!$C:$FB,122)*100</f>
        <v>-3.53</v>
      </c>
      <c r="R183" s="75">
        <f>VLOOKUP($A183,'Data Vlaue (Cr)'!$C:$FB,125)</f>
        <v>0.71</v>
      </c>
      <c r="S183" s="75">
        <f>VLOOKUP($A183,'Data Vlaue (Cr)'!$C:$FB,128)*100</f>
        <v>54.35</v>
      </c>
    </row>
    <row r="184" spans="1:19" x14ac:dyDescent="0.25">
      <c r="A184" s="96" t="str">
        <f>'Data Vlaue (Cr)'!C175</f>
        <v>POWERGRID</v>
      </c>
      <c r="B184" s="75">
        <f>VLOOKUP($A184,'Data Vlaue (Cr)'!$C:$FB,2)</f>
        <v>1900</v>
      </c>
      <c r="C184" s="75">
        <f>VLOOKUP($A184,'Data Vlaue (Cr)'!$C:$FB,8)</f>
        <v>288.39999999999998</v>
      </c>
      <c r="D184" s="75">
        <f>VLOOKUP($A184,'Data Vlaue (Cr)'!$C:$FB,4)</f>
        <v>288.60000000000002</v>
      </c>
      <c r="E184" s="75">
        <f>VLOOKUP($A184,'Data Vlaue (Cr)'!$C:$FB,5)</f>
        <v>288.45</v>
      </c>
      <c r="F184" s="75">
        <f t="shared" si="18"/>
        <v>0.20000000000004547</v>
      </c>
      <c r="G184" s="75">
        <f t="shared" si="19"/>
        <v>5.1975051975063788E-2</v>
      </c>
      <c r="H184" s="75">
        <f>VLOOKUP($A184,'Data Vlaue (Cr)'!$C:$FB,99)</f>
        <v>3102</v>
      </c>
      <c r="I184" s="75">
        <f>VLOOKUP($A184,'Data Vlaue (Cr)'!$C:$FB,100)</f>
        <v>3096</v>
      </c>
      <c r="J184" s="75">
        <f t="shared" si="20"/>
        <v>6</v>
      </c>
      <c r="K184" s="75">
        <f t="shared" si="21"/>
        <v>0.19342359767891684</v>
      </c>
      <c r="L184" s="75">
        <f>VLOOKUP($A184,'Data Vlaue (Cr)'!$C:$FB,67)</f>
        <v>591</v>
      </c>
      <c r="M184" s="75">
        <f>VLOOKUP($A184,'Data Vlaue (Cr)'!$C:$FB,68)</f>
        <v>725</v>
      </c>
      <c r="N184" s="75">
        <f t="shared" si="22"/>
        <v>-134</v>
      </c>
      <c r="O184" s="75">
        <f t="shared" si="23"/>
        <v>-22.673434856175973</v>
      </c>
      <c r="P184" s="75">
        <f>VLOOKUP($A184,'Data Vlaue (Cr)'!$C:$FB,119)</f>
        <v>0.52</v>
      </c>
      <c r="Q184" s="75">
        <f>VLOOKUP($A184,'Data Vlaue (Cr)'!$C:$FB,122)*100</f>
        <v>4</v>
      </c>
      <c r="R184" s="75">
        <f>VLOOKUP($A184,'Data Vlaue (Cr)'!$C:$FB,125)</f>
        <v>0.38</v>
      </c>
      <c r="S184" s="75">
        <f>VLOOKUP($A184,'Data Vlaue (Cr)'!$C:$FB,128)*100</f>
        <v>-15.559999999999999</v>
      </c>
    </row>
    <row r="185" spans="1:19" x14ac:dyDescent="0.25">
      <c r="A185" s="96" t="str">
        <f>'Data Vlaue (Cr)'!C176</f>
        <v>PPLPHARMA</v>
      </c>
      <c r="B185" s="75">
        <f>VLOOKUP($A185,'Data Vlaue (Cr)'!$C:$FB,2)</f>
        <v>2500</v>
      </c>
      <c r="C185" s="75">
        <f>VLOOKUP($A185,'Data Vlaue (Cr)'!$C:$FB,8)</f>
        <v>191.79</v>
      </c>
      <c r="D185" s="75">
        <f>VLOOKUP($A185,'Data Vlaue (Cr)'!$C:$FB,4)</f>
        <v>192.09</v>
      </c>
      <c r="E185" s="75">
        <f>VLOOKUP($A185,'Data Vlaue (Cr)'!$C:$FB,5)</f>
        <v>195.1</v>
      </c>
      <c r="F185" s="75">
        <f t="shared" si="18"/>
        <v>0.30000000000001137</v>
      </c>
      <c r="G185" s="75">
        <f t="shared" si="19"/>
        <v>-1.5669738143578484</v>
      </c>
      <c r="H185" s="75">
        <f>VLOOKUP($A185,'Data Vlaue (Cr)'!$C:$FB,99)</f>
        <v>481</v>
      </c>
      <c r="I185" s="75">
        <f>VLOOKUP($A185,'Data Vlaue (Cr)'!$C:$FB,100)</f>
        <v>478</v>
      </c>
      <c r="J185" s="75">
        <f t="shared" si="20"/>
        <v>3</v>
      </c>
      <c r="K185" s="75">
        <f t="shared" si="21"/>
        <v>0.62370062370062374</v>
      </c>
      <c r="L185" s="75">
        <f>VLOOKUP($A185,'Data Vlaue (Cr)'!$C:$FB,67)</f>
        <v>181</v>
      </c>
      <c r="M185" s="75">
        <f>VLOOKUP($A185,'Data Vlaue (Cr)'!$C:$FB,68)</f>
        <v>239</v>
      </c>
      <c r="N185" s="75">
        <f t="shared" si="22"/>
        <v>-58</v>
      </c>
      <c r="O185" s="75">
        <f t="shared" si="23"/>
        <v>-32.044198895027627</v>
      </c>
      <c r="P185" s="75">
        <f>VLOOKUP($A185,'Data Vlaue (Cr)'!$C:$FB,119)</f>
        <v>0.6</v>
      </c>
      <c r="Q185" s="75">
        <f>VLOOKUP($A185,'Data Vlaue (Cr)'!$C:$FB,122)*100</f>
        <v>3.45</v>
      </c>
      <c r="R185" s="75">
        <f>VLOOKUP($A185,'Data Vlaue (Cr)'!$C:$FB,125)</f>
        <v>0.56999999999999995</v>
      </c>
      <c r="S185" s="75">
        <f>VLOOKUP($A185,'Data Vlaue (Cr)'!$C:$FB,128)*100</f>
        <v>67.650000000000006</v>
      </c>
    </row>
    <row r="186" spans="1:19" x14ac:dyDescent="0.25">
      <c r="A186" s="96" t="str">
        <f>'Data Vlaue (Cr)'!C177</f>
        <v>PRESTIGE</v>
      </c>
      <c r="B186" s="75">
        <f>VLOOKUP($A186,'Data Vlaue (Cr)'!$C:$FB,2)</f>
        <v>450</v>
      </c>
      <c r="C186" s="75">
        <f>VLOOKUP($A186,'Data Vlaue (Cr)'!$C:$FB,8)</f>
        <v>1626.6</v>
      </c>
      <c r="D186" s="75">
        <f>VLOOKUP($A186,'Data Vlaue (Cr)'!$C:$FB,4)</f>
        <v>1632.7</v>
      </c>
      <c r="E186" s="75">
        <f>VLOOKUP($A186,'Data Vlaue (Cr)'!$C:$FB,5)</f>
        <v>1637.6</v>
      </c>
      <c r="F186" s="75">
        <f t="shared" ref="F186:F193" si="24">D186-C186</f>
        <v>6.1000000000001364</v>
      </c>
      <c r="G186" s="75">
        <f t="shared" ref="G186:G193" si="25">(D186-E186)/D186*100</f>
        <v>-0.30011637165430655</v>
      </c>
      <c r="H186" s="75">
        <f>VLOOKUP($A186,'Data Vlaue (Cr)'!$C:$FB,99)</f>
        <v>1341</v>
      </c>
      <c r="I186" s="75">
        <f>VLOOKUP($A186,'Data Vlaue (Cr)'!$C:$FB,100)</f>
        <v>1322</v>
      </c>
      <c r="J186" s="75">
        <f t="shared" ref="J186:J193" si="26">H186-I186</f>
        <v>19</v>
      </c>
      <c r="K186" s="75">
        <f t="shared" ref="K186:K193" si="27">J186/H186*100</f>
        <v>1.4168530947054436</v>
      </c>
      <c r="L186" s="75">
        <f>VLOOKUP($A186,'Data Vlaue (Cr)'!$C:$FB,67)</f>
        <v>437</v>
      </c>
      <c r="M186" s="75">
        <f>VLOOKUP($A186,'Data Vlaue (Cr)'!$C:$FB,68)</f>
        <v>653</v>
      </c>
      <c r="N186" s="75">
        <f t="shared" ref="N186:N193" si="28">L186-M186</f>
        <v>-216</v>
      </c>
      <c r="O186" s="75">
        <f t="shared" ref="O186:O193" si="29">N186/L186*100</f>
        <v>-49.427917620137301</v>
      </c>
      <c r="P186" s="75">
        <f>VLOOKUP($A186,'Data Vlaue (Cr)'!$C:$FB,119)</f>
        <v>0.44</v>
      </c>
      <c r="Q186" s="75">
        <f>VLOOKUP($A186,'Data Vlaue (Cr)'!$C:$FB,122)*100</f>
        <v>-2.2200000000000002</v>
      </c>
      <c r="R186" s="75">
        <f>VLOOKUP($A186,'Data Vlaue (Cr)'!$C:$FB,125)</f>
        <v>0.28000000000000003</v>
      </c>
      <c r="S186" s="75">
        <f>VLOOKUP($A186,'Data Vlaue (Cr)'!$C:$FB,128)*100</f>
        <v>-70.209999999999994</v>
      </c>
    </row>
    <row r="187" spans="1:19" x14ac:dyDescent="0.25">
      <c r="A187" s="96" t="str">
        <f>'Data Vlaue (Cr)'!C178</f>
        <v>RBLBANK</v>
      </c>
      <c r="B187" s="75">
        <f>VLOOKUP($A187,'Data Vlaue (Cr)'!$C:$FB,2)</f>
        <v>3175</v>
      </c>
      <c r="C187" s="75">
        <f>VLOOKUP($A187,'Data Vlaue (Cr)'!$C:$FB,8)</f>
        <v>256.60000000000002</v>
      </c>
      <c r="D187" s="75">
        <f>VLOOKUP($A187,'Data Vlaue (Cr)'!$C:$FB,4)</f>
        <v>256.85000000000002</v>
      </c>
      <c r="E187" s="75">
        <f>VLOOKUP($A187,'Data Vlaue (Cr)'!$C:$FB,5)</f>
        <v>261.95</v>
      </c>
      <c r="F187" s="75">
        <f t="shared" si="24"/>
        <v>0.25</v>
      </c>
      <c r="G187" s="75">
        <f t="shared" si="25"/>
        <v>-1.9855947050807727</v>
      </c>
      <c r="H187" s="75">
        <f>VLOOKUP($A187,'Data Vlaue (Cr)'!$C:$FB,99)</f>
        <v>3061</v>
      </c>
      <c r="I187" s="75">
        <f>VLOOKUP($A187,'Data Vlaue (Cr)'!$C:$FB,100)</f>
        <v>3100</v>
      </c>
      <c r="J187" s="75">
        <f t="shared" si="26"/>
        <v>-39</v>
      </c>
      <c r="K187" s="75">
        <f t="shared" si="27"/>
        <v>-1.2740934335184579</v>
      </c>
      <c r="L187" s="75">
        <f>VLOOKUP($A187,'Data Vlaue (Cr)'!$C:$FB,67)</f>
        <v>39</v>
      </c>
      <c r="M187" s="75">
        <f>VLOOKUP($A187,'Data Vlaue (Cr)'!$C:$FB,68)</f>
        <v>38</v>
      </c>
      <c r="N187" s="75">
        <f t="shared" si="28"/>
        <v>1</v>
      </c>
      <c r="O187" s="75">
        <f t="shared" si="29"/>
        <v>2.5641025641025639</v>
      </c>
      <c r="P187" s="75">
        <f>VLOOKUP($A187,'Data Vlaue (Cr)'!$C:$FB,119)</f>
        <v>0.55000000000000004</v>
      </c>
      <c r="Q187" s="75">
        <f>VLOOKUP($A187,'Data Vlaue (Cr)'!$C:$FB,122)*100</f>
        <v>1.8499999999999999</v>
      </c>
      <c r="R187" s="75">
        <f>VLOOKUP($A187,'Data Vlaue (Cr)'!$C:$FB,125)</f>
        <v>0.18</v>
      </c>
      <c r="S187" s="75">
        <f>VLOOKUP($A187,'Data Vlaue (Cr)'!$C:$FB,128)*100</f>
        <v>-30.769999999999996</v>
      </c>
    </row>
    <row r="188" spans="1:19" x14ac:dyDescent="0.25">
      <c r="A188" s="96" t="str">
        <f>'Data Vlaue (Cr)'!C179</f>
        <v>RECLTD</v>
      </c>
      <c r="B188" s="75">
        <f>VLOOKUP($A188,'Data Vlaue (Cr)'!$C:$FB,2)</f>
        <v>1275</v>
      </c>
      <c r="C188" s="75">
        <f>VLOOKUP($A188,'Data Vlaue (Cr)'!$C:$FB,8)</f>
        <v>380.85</v>
      </c>
      <c r="D188" s="75">
        <f>VLOOKUP($A188,'Data Vlaue (Cr)'!$C:$FB,4)</f>
        <v>381.9</v>
      </c>
      <c r="E188" s="75">
        <f>VLOOKUP($A188,'Data Vlaue (Cr)'!$C:$FB,5)</f>
        <v>382.95</v>
      </c>
      <c r="F188" s="75">
        <f t="shared" si="24"/>
        <v>1.0499999999999545</v>
      </c>
      <c r="G188" s="75">
        <f t="shared" si="25"/>
        <v>-0.2749410840534201</v>
      </c>
      <c r="H188" s="75">
        <f>VLOOKUP($A188,'Data Vlaue (Cr)'!$C:$FB,99)</f>
        <v>5402</v>
      </c>
      <c r="I188" s="75">
        <f>VLOOKUP($A188,'Data Vlaue (Cr)'!$C:$FB,100)</f>
        <v>5371</v>
      </c>
      <c r="J188" s="75">
        <f t="shared" si="26"/>
        <v>31</v>
      </c>
      <c r="K188" s="75">
        <f t="shared" si="27"/>
        <v>0.57386153276564233</v>
      </c>
      <c r="L188" s="75">
        <f>VLOOKUP($A188,'Data Vlaue (Cr)'!$C:$FB,67)</f>
        <v>1175</v>
      </c>
      <c r="M188" s="75">
        <f>VLOOKUP($A188,'Data Vlaue (Cr)'!$C:$FB,68)</f>
        <v>1386</v>
      </c>
      <c r="N188" s="75">
        <f t="shared" si="28"/>
        <v>-211</v>
      </c>
      <c r="O188" s="75">
        <f t="shared" si="29"/>
        <v>-17.957446808510639</v>
      </c>
      <c r="P188" s="75">
        <f>VLOOKUP($A188,'Data Vlaue (Cr)'!$C:$FB,119)</f>
        <v>0.65</v>
      </c>
      <c r="Q188" s="75">
        <f>VLOOKUP($A188,'Data Vlaue (Cr)'!$C:$FB,122)*100</f>
        <v>1.5599999999999998</v>
      </c>
      <c r="R188" s="75">
        <f>VLOOKUP($A188,'Data Vlaue (Cr)'!$C:$FB,125)</f>
        <v>0.43</v>
      </c>
      <c r="S188" s="75">
        <f>VLOOKUP($A188,'Data Vlaue (Cr)'!$C:$FB,128)*100</f>
        <v>22.86</v>
      </c>
    </row>
    <row r="189" spans="1:19" x14ac:dyDescent="0.25">
      <c r="A189" s="96" t="str">
        <f>'Data Vlaue (Cr)'!C180</f>
        <v>RELIANCE</v>
      </c>
      <c r="B189" s="75">
        <f>VLOOKUP($A189,'Data Vlaue (Cr)'!$C:$FB,2)</f>
        <v>500</v>
      </c>
      <c r="C189" s="75">
        <f>VLOOKUP($A189,'Data Vlaue (Cr)'!$C:$FB,8)</f>
        <v>1413</v>
      </c>
      <c r="D189" s="75">
        <f>VLOOKUP($A189,'Data Vlaue (Cr)'!$C:$FB,4)</f>
        <v>1415.5</v>
      </c>
      <c r="E189" s="75">
        <f>VLOOKUP($A189,'Data Vlaue (Cr)'!$C:$FB,5)</f>
        <v>1421.2</v>
      </c>
      <c r="F189" s="75">
        <f t="shared" si="24"/>
        <v>2.5</v>
      </c>
      <c r="G189" s="75">
        <f t="shared" si="25"/>
        <v>-0.40268456375839251</v>
      </c>
      <c r="H189" s="75">
        <f>VLOOKUP($A189,'Data Vlaue (Cr)'!$C:$FB,99)</f>
        <v>31802</v>
      </c>
      <c r="I189" s="75">
        <f>VLOOKUP($A189,'Data Vlaue (Cr)'!$C:$FB,100)</f>
        <v>31382</v>
      </c>
      <c r="J189" s="75">
        <f t="shared" si="26"/>
        <v>420</v>
      </c>
      <c r="K189" s="75">
        <f t="shared" si="27"/>
        <v>1.3206716558706999</v>
      </c>
      <c r="L189" s="75">
        <f>VLOOKUP($A189,'Data Vlaue (Cr)'!$C:$FB,67)</f>
        <v>22914</v>
      </c>
      <c r="M189" s="75">
        <f>VLOOKUP($A189,'Data Vlaue (Cr)'!$C:$FB,68)</f>
        <v>45490</v>
      </c>
      <c r="N189" s="75">
        <f t="shared" si="28"/>
        <v>-22576</v>
      </c>
      <c r="O189" s="75">
        <f t="shared" si="29"/>
        <v>-98.52491926333245</v>
      </c>
      <c r="P189" s="75">
        <f>VLOOKUP($A189,'Data Vlaue (Cr)'!$C:$FB,119)</f>
        <v>0.63</v>
      </c>
      <c r="Q189" s="75">
        <f>VLOOKUP($A189,'Data Vlaue (Cr)'!$C:$FB,122)*100</f>
        <v>-10</v>
      </c>
      <c r="R189" s="75">
        <f>VLOOKUP($A189,'Data Vlaue (Cr)'!$C:$FB,125)</f>
        <v>0.5</v>
      </c>
      <c r="S189" s="75">
        <f>VLOOKUP($A189,'Data Vlaue (Cr)'!$C:$FB,128)*100</f>
        <v>4.17</v>
      </c>
    </row>
    <row r="190" spans="1:19" x14ac:dyDescent="0.25">
      <c r="A190" s="96" t="str">
        <f>'Data Vlaue (Cr)'!C181</f>
        <v>RVNL</v>
      </c>
      <c r="B190" s="75">
        <f>VLOOKUP($A190,'Data Vlaue (Cr)'!$C:$FB,2)</f>
        <v>1375</v>
      </c>
      <c r="C190" s="75">
        <f>VLOOKUP($A190,'Data Vlaue (Cr)'!$C:$FB,8)</f>
        <v>330.8</v>
      </c>
      <c r="D190" s="75">
        <f>VLOOKUP($A190,'Data Vlaue (Cr)'!$C:$FB,4)</f>
        <v>325.05</v>
      </c>
      <c r="E190" s="75">
        <f>VLOOKUP($A190,'Data Vlaue (Cr)'!$C:$FB,5)</f>
        <v>325.75</v>
      </c>
      <c r="F190" s="75">
        <f t="shared" si="24"/>
        <v>-5.75</v>
      </c>
      <c r="G190" s="75">
        <f t="shared" si="25"/>
        <v>-0.21535148438701388</v>
      </c>
      <c r="H190" s="75">
        <f>VLOOKUP($A190,'Data Vlaue (Cr)'!$C:$FB,99)</f>
        <v>1223</v>
      </c>
      <c r="I190" s="75">
        <f>VLOOKUP($A190,'Data Vlaue (Cr)'!$C:$FB,100)</f>
        <v>1128</v>
      </c>
      <c r="J190" s="75">
        <f t="shared" si="26"/>
        <v>95</v>
      </c>
      <c r="K190" s="75">
        <f t="shared" si="27"/>
        <v>7.7677841373671299</v>
      </c>
      <c r="L190" s="75">
        <f>VLOOKUP($A190,'Data Vlaue (Cr)'!$C:$FB,67)</f>
        <v>628</v>
      </c>
      <c r="M190" s="75">
        <f>VLOOKUP($A190,'Data Vlaue (Cr)'!$C:$FB,68)</f>
        <v>485</v>
      </c>
      <c r="N190" s="75">
        <f t="shared" si="28"/>
        <v>143</v>
      </c>
      <c r="O190" s="75">
        <f t="shared" si="29"/>
        <v>22.770700636942674</v>
      </c>
      <c r="P190" s="75">
        <f>VLOOKUP($A190,'Data Vlaue (Cr)'!$C:$FB,119)</f>
        <v>0.6</v>
      </c>
      <c r="Q190" s="75">
        <f>VLOOKUP($A190,'Data Vlaue (Cr)'!$C:$FB,122)*100</f>
        <v>0</v>
      </c>
      <c r="R190" s="75">
        <f>VLOOKUP($A190,'Data Vlaue (Cr)'!$C:$FB,125)</f>
        <v>0.41</v>
      </c>
      <c r="S190" s="75">
        <f>VLOOKUP($A190,'Data Vlaue (Cr)'!$C:$FB,128)*100</f>
        <v>10.81</v>
      </c>
    </row>
    <row r="191" spans="1:19" x14ac:dyDescent="0.25">
      <c r="A191" s="96" t="str">
        <f>'Data Vlaue (Cr)'!C182</f>
        <v>SAIL</v>
      </c>
      <c r="B191" s="75">
        <f>VLOOKUP($A191,'Data Vlaue (Cr)'!$C:$FB,2)</f>
        <v>4700</v>
      </c>
      <c r="C191" s="75">
        <f>VLOOKUP($A191,'Data Vlaue (Cr)'!$C:$FB,8)</f>
        <v>124.09</v>
      </c>
      <c r="D191" s="75">
        <f>VLOOKUP($A191,'Data Vlaue (Cr)'!$C:$FB,4)</f>
        <v>124.38</v>
      </c>
      <c r="E191" s="75">
        <f>VLOOKUP($A191,'Data Vlaue (Cr)'!$C:$FB,5)</f>
        <v>123</v>
      </c>
      <c r="F191" s="75">
        <f t="shared" si="24"/>
        <v>0.28999999999999204</v>
      </c>
      <c r="G191" s="75">
        <f t="shared" si="25"/>
        <v>1.1095031355523362</v>
      </c>
      <c r="H191" s="75">
        <f>VLOOKUP($A191,'Data Vlaue (Cr)'!$C:$FB,99)</f>
        <v>2872</v>
      </c>
      <c r="I191" s="75">
        <f>VLOOKUP($A191,'Data Vlaue (Cr)'!$C:$FB,100)</f>
        <v>3076</v>
      </c>
      <c r="J191" s="75">
        <f t="shared" si="26"/>
        <v>-204</v>
      </c>
      <c r="K191" s="75">
        <f t="shared" si="27"/>
        <v>-7.103064066852367</v>
      </c>
      <c r="L191" s="75">
        <f>VLOOKUP($A191,'Data Vlaue (Cr)'!$C:$FB,67)</f>
        <v>1677</v>
      </c>
      <c r="M191" s="75">
        <f>VLOOKUP($A191,'Data Vlaue (Cr)'!$C:$FB,68)</f>
        <v>591</v>
      </c>
      <c r="N191" s="75">
        <f t="shared" si="28"/>
        <v>1086</v>
      </c>
      <c r="O191" s="75">
        <f t="shared" si="29"/>
        <v>64.758497316636848</v>
      </c>
      <c r="P191" s="75">
        <f>VLOOKUP($A191,'Data Vlaue (Cr)'!$C:$FB,119)</f>
        <v>0.64</v>
      </c>
      <c r="Q191" s="75">
        <f>VLOOKUP($A191,'Data Vlaue (Cr)'!$C:$FB,122)*100</f>
        <v>8.4699999999999989</v>
      </c>
      <c r="R191" s="75">
        <f>VLOOKUP($A191,'Data Vlaue (Cr)'!$C:$FB,125)</f>
        <v>0.44</v>
      </c>
      <c r="S191" s="75">
        <f>VLOOKUP($A191,'Data Vlaue (Cr)'!$C:$FB,128)*100</f>
        <v>-26.669999999999998</v>
      </c>
    </row>
    <row r="192" spans="1:19" x14ac:dyDescent="0.25">
      <c r="A192" s="96" t="str">
        <f>'Data Vlaue (Cr)'!C183</f>
        <v>SBICARD</v>
      </c>
      <c r="B192" s="75">
        <f>VLOOKUP($A192,'Data Vlaue (Cr)'!$C:$FB,2)</f>
        <v>800</v>
      </c>
      <c r="C192" s="75">
        <f>VLOOKUP($A192,'Data Vlaue (Cr)'!$C:$FB,8)</f>
        <v>818.1</v>
      </c>
      <c r="D192" s="75">
        <f>VLOOKUP($A192,'Data Vlaue (Cr)'!$C:$FB,4)</f>
        <v>816.05</v>
      </c>
      <c r="E192" s="75">
        <f>VLOOKUP($A192,'Data Vlaue (Cr)'!$C:$FB,5)</f>
        <v>819.1</v>
      </c>
      <c r="F192" s="75">
        <f t="shared" si="24"/>
        <v>-2.0500000000000682</v>
      </c>
      <c r="G192" s="75">
        <f t="shared" si="25"/>
        <v>-0.37375160835733939</v>
      </c>
      <c r="H192" s="75">
        <f>VLOOKUP($A192,'Data Vlaue (Cr)'!$C:$FB,99)</f>
        <v>1882</v>
      </c>
      <c r="I192" s="75">
        <f>VLOOKUP($A192,'Data Vlaue (Cr)'!$C:$FB,100)</f>
        <v>1859</v>
      </c>
      <c r="J192" s="75">
        <f t="shared" si="26"/>
        <v>23</v>
      </c>
      <c r="K192" s="75">
        <f t="shared" si="27"/>
        <v>1.2221041445270988</v>
      </c>
      <c r="L192" s="75">
        <f>VLOOKUP($A192,'Data Vlaue (Cr)'!$C:$FB,67)</f>
        <v>500</v>
      </c>
      <c r="M192" s="75">
        <f>VLOOKUP($A192,'Data Vlaue (Cr)'!$C:$FB,68)</f>
        <v>687</v>
      </c>
      <c r="N192" s="75">
        <f t="shared" si="28"/>
        <v>-187</v>
      </c>
      <c r="O192" s="75">
        <f t="shared" si="29"/>
        <v>-37.4</v>
      </c>
      <c r="P192" s="75">
        <f>VLOOKUP($A192,'Data Vlaue (Cr)'!$C:$FB,119)</f>
        <v>0.65</v>
      </c>
      <c r="Q192" s="75">
        <f>VLOOKUP($A192,'Data Vlaue (Cr)'!$C:$FB,122)*100</f>
        <v>18.18</v>
      </c>
      <c r="R192" s="75">
        <f>VLOOKUP($A192,'Data Vlaue (Cr)'!$C:$FB,125)</f>
        <v>0.7</v>
      </c>
      <c r="S192" s="75">
        <f>VLOOKUP($A192,'Data Vlaue (Cr)'!$C:$FB,128)*100</f>
        <v>59.089999999999996</v>
      </c>
    </row>
    <row r="193" spans="1:19" x14ac:dyDescent="0.25">
      <c r="A193" s="96" t="str">
        <f>'Data Vlaue (Cr)'!C223</f>
        <v>ZYDUSLIFE</v>
      </c>
      <c r="B193" s="75">
        <f>VLOOKUP($A193,'Data Vlaue (Cr)'!$C:$FB,2)</f>
        <v>900</v>
      </c>
      <c r="C193" s="75">
        <f>VLOOKUP($A193,'Data Vlaue (Cr)'!$C:$FB,8)</f>
        <v>983.3</v>
      </c>
      <c r="D193" s="75">
        <f>VLOOKUP($A193,'Data Vlaue (Cr)'!$C:$FB,4)</f>
        <v>984.15</v>
      </c>
      <c r="E193" s="75">
        <f>VLOOKUP($A193,'Data Vlaue (Cr)'!$C:$FB,5)</f>
        <v>992.9</v>
      </c>
      <c r="F193" s="75">
        <f t="shared" si="24"/>
        <v>0.85000000000002274</v>
      </c>
      <c r="G193" s="75">
        <f t="shared" si="25"/>
        <v>-0.88909210994259014</v>
      </c>
      <c r="H193" s="75">
        <f>VLOOKUP($A193,'Data Vlaue (Cr)'!$C:$FB,99)</f>
        <v>1400</v>
      </c>
      <c r="I193" s="75">
        <f>VLOOKUP($A193,'Data Vlaue (Cr)'!$C:$FB,100)</f>
        <v>1392</v>
      </c>
      <c r="J193" s="75">
        <f t="shared" si="26"/>
        <v>8</v>
      </c>
      <c r="K193" s="75">
        <f t="shared" si="27"/>
        <v>0.5714285714285714</v>
      </c>
      <c r="L193" s="75">
        <f>VLOOKUP($A193,'Data Vlaue (Cr)'!$C:$FB,67)</f>
        <v>399</v>
      </c>
      <c r="M193" s="75">
        <f>VLOOKUP($A193,'Data Vlaue (Cr)'!$C:$FB,68)</f>
        <v>498</v>
      </c>
      <c r="N193" s="75">
        <f t="shared" si="28"/>
        <v>-99</v>
      </c>
      <c r="O193" s="75">
        <f t="shared" si="29"/>
        <v>-24.81203007518797</v>
      </c>
      <c r="P193" s="75">
        <f>VLOOKUP($A193,'Data Vlaue (Cr)'!$C:$FB,119)</f>
        <v>0.98</v>
      </c>
      <c r="Q193" s="75">
        <f>VLOOKUP($A193,'Data Vlaue (Cr)'!$C:$FB,122)*100</f>
        <v>4.26</v>
      </c>
      <c r="R193" s="75">
        <f>VLOOKUP($A193,'Data Vlaue (Cr)'!$C:$FB,125)</f>
        <v>0.49</v>
      </c>
      <c r="S193" s="75">
        <f>VLOOKUP($A193,'Data Vlaue (Cr)'!$C:$FB,128)*100</f>
        <v>32.43</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2354575</v>
      </c>
      <c r="I225" s="18">
        <f>SUM(I11:I223)</f>
        <v>2136899</v>
      </c>
      <c r="J225" s="18">
        <f>H225-I225</f>
        <v>217676</v>
      </c>
      <c r="K225" s="19">
        <f>J225/I225</f>
        <v>0.10186536658962356</v>
      </c>
      <c r="L225" s="18">
        <f>SUM(L11:L223)</f>
        <v>19329867</v>
      </c>
      <c r="M225" s="18">
        <f>SUM(M11:M223)</f>
        <v>12066815</v>
      </c>
      <c r="N225" s="18">
        <f>L225-M225</f>
        <v>7263052</v>
      </c>
      <c r="O225" s="19">
        <f>N225/M225</f>
        <v>0.60190298765664341</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16494</v>
      </c>
      <c r="C231" s="146">
        <f>VLOOKUP(B230,'OI(Value)'!A7:G209,7,0)</f>
        <v>2.5600000000000001E-2</v>
      </c>
      <c r="D231" s="9">
        <f>VLOOKUP(D230,'OI(Value)'!A7:E209,5,0)</f>
        <v>45314</v>
      </c>
      <c r="E231" s="147">
        <f>VLOOKUP(D230,'OI(Value)'!A7:G209,7,0)</f>
        <v>-2.0999999999999999E-3</v>
      </c>
      <c r="F231" s="9">
        <f>G231-D231-B231</f>
        <v>403187</v>
      </c>
      <c r="G231" s="10">
        <f>'OI(Value)'!E210</f>
        <v>464995</v>
      </c>
      <c r="H231" s="147">
        <f>'OI(Value)'!D217</f>
        <v>6.7205023709932367E-3</v>
      </c>
    </row>
    <row r="232" spans="1:19" x14ac:dyDescent="0.25">
      <c r="A232" s="26" t="s">
        <v>389</v>
      </c>
      <c r="B232" s="9">
        <f>VLOOKUP(B230,'OI(Value)'!A7:H209,8,0)</f>
        <v>128913</v>
      </c>
      <c r="C232" s="146">
        <f>VLOOKUP(B230,'OI(Value)'!A7:J209,10,0)</f>
        <v>7.4800000000000005E-2</v>
      </c>
      <c r="D232" s="9">
        <f>VLOOKUP(D230,'OI(Value)'!A1:O210,8,0)</f>
        <v>596892</v>
      </c>
      <c r="E232" s="147">
        <f>VLOOKUP(D230,'OI(Value)'!A1:J209,10,0)</f>
        <v>9.4799999999999995E-2</v>
      </c>
      <c r="F232" s="9">
        <f>G232-D232-B232</f>
        <v>176665</v>
      </c>
      <c r="G232" s="9">
        <f>'OI(Value)'!H210</f>
        <v>902470</v>
      </c>
      <c r="H232" s="147">
        <f>'OI(Value)'!D218</f>
        <v>7.5969284297538978E-2</v>
      </c>
    </row>
    <row r="233" spans="1:19" x14ac:dyDescent="0.25">
      <c r="A233" s="26" t="s">
        <v>390</v>
      </c>
      <c r="B233" s="9">
        <f>VLOOKUP(B230,'OI(Value)'!A7:K209,11,0)</f>
        <v>98163</v>
      </c>
      <c r="C233" s="146">
        <f>VLOOKUP(B230,'OI(Value)'!A7:M209,13,0)</f>
        <v>-4.7000000000000002E-3</v>
      </c>
      <c r="D233" s="9">
        <f>VLOOKUP(D230,'OI(Value)'!A2:O211,11,0)</f>
        <v>761620</v>
      </c>
      <c r="E233" s="147">
        <f>VLOOKUP(D230,'OI(Value)'!A7:M209,13,0)</f>
        <v>0.22439999999999999</v>
      </c>
      <c r="F233" s="9">
        <f>G233-D233-B233</f>
        <v>127320</v>
      </c>
      <c r="G233" s="9">
        <f>'OI(Value)'!K210</f>
        <v>987103</v>
      </c>
      <c r="H233" s="147">
        <f>'OI(Volume)'!D229</f>
        <v>3.5879613623681625E-2</v>
      </c>
    </row>
    <row r="234" spans="1:19" x14ac:dyDescent="0.25">
      <c r="A234" s="22" t="s">
        <v>391</v>
      </c>
      <c r="B234" s="62">
        <f>SUM(B231:B233)</f>
        <v>243570</v>
      </c>
      <c r="C234" s="148">
        <f>VLOOKUP(B230,'OI(Value)'!A7:D148,4,0)</f>
        <v>3.7999999999999999E-2</v>
      </c>
      <c r="D234" s="62">
        <f>SUM(D231:D233)</f>
        <v>1403826</v>
      </c>
      <c r="E234" s="148">
        <f>VLOOKUP(D230,'OI(Value)'!A1:D210,4,0)</f>
        <v>0.15759999999999999</v>
      </c>
      <c r="F234" s="62">
        <f>SUM(F231:F233)</f>
        <v>707172</v>
      </c>
      <c r="G234" s="62">
        <f>SUM(G231:G233)</f>
        <v>2354568</v>
      </c>
      <c r="H234" s="151">
        <f>'OI(Value)'!D220</f>
        <v>9.2450929427393899E-2</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45889</v>
      </c>
      <c r="D240" s="31" t="s">
        <v>397</v>
      </c>
      <c r="E240" s="32" t="s">
        <v>321</v>
      </c>
      <c r="F240" s="31">
        <f>C240</f>
        <v>45889</v>
      </c>
      <c r="G240" s="31" t="str">
        <f>D240</f>
        <v>Preious</v>
      </c>
      <c r="H240" s="32" t="s">
        <v>386</v>
      </c>
    </row>
    <row r="241" spans="1:8" x14ac:dyDescent="0.25">
      <c r="A241" s="29" t="s">
        <v>393</v>
      </c>
      <c r="B241" s="30"/>
      <c r="C241" s="13">
        <f>FII!N3</f>
        <v>8256</v>
      </c>
      <c r="D241" s="13">
        <f>FII!J3</f>
        <v>8143</v>
      </c>
      <c r="E241" s="14">
        <f>(C241-D241)/C241</f>
        <v>1.3687015503875969E-2</v>
      </c>
      <c r="F241" s="13">
        <f>FII!M3</f>
        <v>42249</v>
      </c>
      <c r="G241" s="13">
        <f>FII!I3</f>
        <v>41559</v>
      </c>
      <c r="H241" s="14">
        <f>(F241-G241)/F241</f>
        <v>1.6331747496982178E-2</v>
      </c>
    </row>
    <row r="242" spans="1:8" x14ac:dyDescent="0.25">
      <c r="A242" s="237" t="s">
        <v>394</v>
      </c>
      <c r="B242" s="238"/>
      <c r="C242" s="13">
        <f>FII!N4</f>
        <v>36019</v>
      </c>
      <c r="D242" s="13">
        <f>FII!J4</f>
        <v>35375</v>
      </c>
      <c r="E242" s="14">
        <f>(C242-D242)/C242</f>
        <v>1.7879452511174659E-2</v>
      </c>
      <c r="F242" s="13">
        <f>FII!M4</f>
        <v>184766</v>
      </c>
      <c r="G242" s="13">
        <f>FII!I4</f>
        <v>180923</v>
      </c>
      <c r="H242" s="14">
        <f>(F242-G242)/F242</f>
        <v>2.079928125304439E-2</v>
      </c>
    </row>
    <row r="243" spans="1:8" x14ac:dyDescent="0.25">
      <c r="A243" s="237" t="s">
        <v>395</v>
      </c>
      <c r="B243" s="238"/>
      <c r="C243" s="13">
        <f>FII!N15</f>
        <v>394671</v>
      </c>
      <c r="D243" s="13">
        <f>FII!J15</f>
        <v>391643</v>
      </c>
      <c r="E243" s="14">
        <f>(C243-D243)/C243</f>
        <v>7.6722130584714861E-3</v>
      </c>
      <c r="F243" s="13">
        <f>FII!M15</f>
        <v>5663676</v>
      </c>
      <c r="G243" s="13">
        <f>FII!I15</f>
        <v>5640555</v>
      </c>
      <c r="H243" s="14">
        <f>(F243-G243)/F243</f>
        <v>4.0823309807976301E-3</v>
      </c>
    </row>
    <row r="244" spans="1:8" x14ac:dyDescent="0.25">
      <c r="A244" s="237" t="s">
        <v>396</v>
      </c>
      <c r="B244" s="238"/>
      <c r="C244" s="13">
        <f>FII!N16</f>
        <v>29119</v>
      </c>
      <c r="D244" s="13">
        <f>FII!J16</f>
        <v>27574</v>
      </c>
      <c r="E244" s="14">
        <f>(C244-D244)/C244</f>
        <v>5.3058140732854836E-2</v>
      </c>
      <c r="F244" s="13">
        <f>FII!M16</f>
        <v>422448</v>
      </c>
      <c r="G244" s="13">
        <f>FII!I16</f>
        <v>401093</v>
      </c>
      <c r="H244" s="14">
        <f>(F244-G244)/F244</f>
        <v>5.0550600310570772E-2</v>
      </c>
    </row>
    <row r="245" spans="1:8" x14ac:dyDescent="0.25">
      <c r="A245" s="237" t="s">
        <v>391</v>
      </c>
      <c r="B245" s="238"/>
      <c r="C245" s="155">
        <f>SUM(C241:C244)</f>
        <v>468065</v>
      </c>
      <c r="D245" s="155">
        <f>SUM(D241:D244)</f>
        <v>462735</v>
      </c>
      <c r="E245" s="156">
        <f>(C245-D245)/C245</f>
        <v>1.1387307318427997E-2</v>
      </c>
      <c r="F245" s="157">
        <f>SUM(F241:F244)</f>
        <v>6313139</v>
      </c>
      <c r="G245" s="158">
        <f>SUM(G241:G244)</f>
        <v>6264130</v>
      </c>
      <c r="H245" s="156">
        <f>(F245-G245)/F245</f>
        <v>7.7630161477515386E-3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N20" sqref="A20:N20"/>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45889</v>
      </c>
      <c r="C5" s="3">
        <f>B5</f>
        <v>45889</v>
      </c>
      <c r="D5" s="76" t="s">
        <v>367</v>
      </c>
      <c r="E5" s="76" t="s">
        <v>321</v>
      </c>
      <c r="F5" s="76" t="s">
        <v>368</v>
      </c>
      <c r="G5" s="76" t="s">
        <v>369</v>
      </c>
      <c r="H5" s="48"/>
    </row>
    <row r="6" spans="1:8" x14ac:dyDescent="0.25">
      <c r="A6" s="101" t="str">
        <f>'Data shares'!C2</f>
        <v>360ONE</v>
      </c>
      <c r="B6" s="144">
        <f>VLOOKUP($A6,'Data shares'!$C:$FA,7)</f>
        <v>1102.9000000000001</v>
      </c>
      <c r="C6" s="144">
        <f>VLOOKUP($A6,'Data shares'!$C:$FA,3)</f>
        <v>1102.8</v>
      </c>
      <c r="D6" s="144">
        <f>VLOOKUP($A6,'Data shares'!$C:$FA,23)</f>
        <v>-0.1</v>
      </c>
      <c r="E6" s="145">
        <f>VLOOKUP($A6,'Data shares'!$C:$FA,26)*100</f>
        <v>-0.01</v>
      </c>
      <c r="F6" s="144">
        <f>VLOOKUP($A6,'Data shares'!$C:$FA,24)</f>
        <v>1.1000000000000001</v>
      </c>
      <c r="G6" s="144">
        <f>VLOOKUP($A6,'Data shares'!$C:$FA,25)</f>
        <v>-1.2</v>
      </c>
    </row>
    <row r="7" spans="1:8" x14ac:dyDescent="0.25">
      <c r="A7" s="101" t="str">
        <f>'Data shares'!C3</f>
        <v>ABB</v>
      </c>
      <c r="B7" s="144">
        <f>VLOOKUP($A7,'Data shares'!$C:$FA,7)</f>
        <v>5121.5</v>
      </c>
      <c r="C7" s="144">
        <f>VLOOKUP($A7,'Data shares'!$C:$FA,3)</f>
        <v>5132.5</v>
      </c>
      <c r="D7" s="144">
        <f>VLOOKUP($A7,'Data shares'!$C:$FA,23)</f>
        <v>11</v>
      </c>
      <c r="E7" s="145">
        <f>VLOOKUP($A7,'Data shares'!$C:$FA,26)*100</f>
        <v>0.21</v>
      </c>
      <c r="F7" s="144">
        <f>VLOOKUP($A7,'Data shares'!$C:$FA,24)</f>
        <v>19</v>
      </c>
      <c r="G7" s="144">
        <f>VLOOKUP($A7,'Data shares'!$C:$FA,25)</f>
        <v>-8</v>
      </c>
    </row>
    <row r="8" spans="1:8" x14ac:dyDescent="0.25">
      <c r="A8" s="101" t="str">
        <f>'Data shares'!C4</f>
        <v>ABCAPITAL</v>
      </c>
      <c r="B8" s="144">
        <f>VLOOKUP($A8,'Data shares'!$C:$FA,7)</f>
        <v>283.45</v>
      </c>
      <c r="C8" s="144">
        <f>VLOOKUP($A8,'Data shares'!$C:$FA,3)</f>
        <v>284.14999999999998</v>
      </c>
      <c r="D8" s="144">
        <f>VLOOKUP($A8,'Data shares'!$C:$FA,23)</f>
        <v>0.7</v>
      </c>
      <c r="E8" s="145">
        <f>VLOOKUP($A8,'Data shares'!$C:$FA,26)*100</f>
        <v>0.25</v>
      </c>
      <c r="F8" s="144">
        <f>VLOOKUP($A8,'Data shares'!$C:$FA,24)</f>
        <v>0.9</v>
      </c>
      <c r="G8" s="144">
        <f>VLOOKUP($A8,'Data shares'!$C:$FA,25)</f>
        <v>-0.2</v>
      </c>
    </row>
    <row r="9" spans="1:8" x14ac:dyDescent="0.25">
      <c r="A9" s="101" t="str">
        <f>'Data shares'!C5</f>
        <v>ABFRL</v>
      </c>
      <c r="B9" s="144">
        <f>VLOOKUP($A9,'Data shares'!$C:$FA,7)</f>
        <v>76.260000000000005</v>
      </c>
      <c r="C9" s="144">
        <f>VLOOKUP($A9,'Data shares'!$C:$FA,3)</f>
        <v>76.569999999999993</v>
      </c>
      <c r="D9" s="144">
        <f>VLOOKUP($A9,'Data shares'!$C:$FA,23)</f>
        <v>0.31</v>
      </c>
      <c r="E9" s="145">
        <f>VLOOKUP($A9,'Data shares'!$C:$FA,26)*100</f>
        <v>0.41000000000000003</v>
      </c>
      <c r="F9" s="144">
        <f>VLOOKUP($A9,'Data shares'!$C:$FA,24)</f>
        <v>0.27</v>
      </c>
      <c r="G9" s="144">
        <f>VLOOKUP($A9,'Data shares'!$C:$FA,25)</f>
        <v>0.04</v>
      </c>
    </row>
    <row r="10" spans="1:8" x14ac:dyDescent="0.25">
      <c r="A10" s="101" t="str">
        <f>'Data shares'!C6</f>
        <v>ADANIENSOL</v>
      </c>
      <c r="B10" s="144">
        <f>VLOOKUP($A10,'Data shares'!$C:$FA,7)</f>
        <v>824.2</v>
      </c>
      <c r="C10" s="144">
        <f>VLOOKUP($A10,'Data shares'!$C:$FA,3)</f>
        <v>825.4</v>
      </c>
      <c r="D10" s="144">
        <f>VLOOKUP($A10,'Data shares'!$C:$FA,23)</f>
        <v>1.2</v>
      </c>
      <c r="E10" s="145">
        <f>VLOOKUP($A10,'Data shares'!$C:$FA,26)*100</f>
        <v>0.15</v>
      </c>
      <c r="F10" s="144">
        <f>VLOOKUP($A10,'Data shares'!$C:$FA,24)</f>
        <v>2.65</v>
      </c>
      <c r="G10" s="144">
        <f>VLOOKUP($A10,'Data shares'!$C:$FA,25)</f>
        <v>-1.45</v>
      </c>
    </row>
    <row r="11" spans="1:8" x14ac:dyDescent="0.25">
      <c r="A11" s="101" t="str">
        <f>'Data shares'!C7</f>
        <v>ADANIENT</v>
      </c>
      <c r="B11" s="144">
        <f>VLOOKUP($A11,'Data shares'!$C:$FA,7)</f>
        <v>2387.1</v>
      </c>
      <c r="C11" s="144">
        <f>VLOOKUP($A11,'Data shares'!$C:$FA,3)</f>
        <v>2386.4</v>
      </c>
      <c r="D11" s="144">
        <f>VLOOKUP($A11,'Data shares'!$C:$FA,23)</f>
        <v>-0.7</v>
      </c>
      <c r="E11" s="145">
        <f>VLOOKUP($A11,'Data shares'!$C:$FA,26)*100</f>
        <v>-0.03</v>
      </c>
      <c r="F11" s="144">
        <f>VLOOKUP($A11,'Data shares'!$C:$FA,24)</f>
        <v>0.5</v>
      </c>
      <c r="G11" s="144">
        <f>VLOOKUP($A11,'Data shares'!$C:$FA,25)</f>
        <v>-1.2</v>
      </c>
    </row>
    <row r="12" spans="1:8" x14ac:dyDescent="0.25">
      <c r="A12" s="101" t="str">
        <f>'Data shares'!C8</f>
        <v>ADANIGREEN</v>
      </c>
      <c r="B12" s="144">
        <f>VLOOKUP($A12,'Data shares'!$C:$FA,7)</f>
        <v>975.95</v>
      </c>
      <c r="C12" s="144">
        <f>VLOOKUP($A12,'Data shares'!$C:$FA,3)</f>
        <v>976.45</v>
      </c>
      <c r="D12" s="144">
        <f>VLOOKUP($A12,'Data shares'!$C:$FA,23)</f>
        <v>0.5</v>
      </c>
      <c r="E12" s="145">
        <f>VLOOKUP($A12,'Data shares'!$C:$FA,26)*100</f>
        <v>0.05</v>
      </c>
      <c r="F12" s="144">
        <f>VLOOKUP($A12,'Data shares'!$C:$FA,24)</f>
        <v>2.8</v>
      </c>
      <c r="G12" s="144">
        <f>VLOOKUP($A12,'Data shares'!$C:$FA,25)</f>
        <v>-2.2999999999999998</v>
      </c>
    </row>
    <row r="13" spans="1:8" x14ac:dyDescent="0.25">
      <c r="A13" s="101" t="str">
        <f>'Data shares'!C9</f>
        <v>ADANIPORTS</v>
      </c>
      <c r="B13" s="144">
        <f>VLOOKUP($A13,'Data shares'!$C:$FA,7)</f>
        <v>1370.6</v>
      </c>
      <c r="C13" s="144">
        <f>VLOOKUP($A13,'Data shares'!$C:$FA,3)</f>
        <v>1371.3</v>
      </c>
      <c r="D13" s="144">
        <f>VLOOKUP($A13,'Data shares'!$C:$FA,23)</f>
        <v>0.7</v>
      </c>
      <c r="E13" s="145">
        <f>VLOOKUP($A13,'Data shares'!$C:$FA,26)*100</f>
        <v>0.05</v>
      </c>
      <c r="F13" s="144">
        <f>VLOOKUP($A13,'Data shares'!$C:$FA,24)</f>
        <v>3.8</v>
      </c>
      <c r="G13" s="144">
        <f>VLOOKUP($A13,'Data shares'!$C:$FA,25)</f>
        <v>-3.1</v>
      </c>
    </row>
    <row r="14" spans="1:8" x14ac:dyDescent="0.25">
      <c r="A14" s="101" t="str">
        <f>'Data shares'!C10</f>
        <v>ALKEM</v>
      </c>
      <c r="B14" s="144">
        <f>VLOOKUP($A14,'Data shares'!$C:$FA,7)</f>
        <v>5393</v>
      </c>
      <c r="C14" s="144">
        <f>VLOOKUP($A14,'Data shares'!$C:$FA,3)</f>
        <v>5398.5</v>
      </c>
      <c r="D14" s="144">
        <f>VLOOKUP($A14,'Data shares'!$C:$FA,23)</f>
        <v>5.5</v>
      </c>
      <c r="E14" s="145">
        <f>VLOOKUP($A14,'Data shares'!$C:$FA,26)*100</f>
        <v>0.1</v>
      </c>
      <c r="F14" s="144">
        <f>VLOOKUP($A14,'Data shares'!$C:$FA,24)</f>
        <v>20</v>
      </c>
      <c r="G14" s="144">
        <f>VLOOKUP($A14,'Data shares'!$C:$FA,25)</f>
        <v>-14.5</v>
      </c>
    </row>
    <row r="15" spans="1:8" x14ac:dyDescent="0.25">
      <c r="A15" s="101" t="str">
        <f>'Data shares'!C11</f>
        <v>AMBER</v>
      </c>
      <c r="B15" s="144">
        <f>VLOOKUP($A15,'Data shares'!$C:$FA,7)</f>
        <v>7362</v>
      </c>
      <c r="C15" s="144">
        <f>VLOOKUP($A15,'Data shares'!$C:$FA,3)</f>
        <v>7384</v>
      </c>
      <c r="D15" s="144">
        <f>VLOOKUP($A15,'Data shares'!$C:$FA,23)</f>
        <v>22</v>
      </c>
      <c r="E15" s="145">
        <f>VLOOKUP($A15,'Data shares'!$C:$FA,26)*100</f>
        <v>0.3</v>
      </c>
      <c r="F15" s="144">
        <f>VLOOKUP($A15,'Data shares'!$C:$FA,24)</f>
        <v>22</v>
      </c>
      <c r="G15" s="144">
        <f>VLOOKUP($A15,'Data shares'!$C:$FA,25)</f>
        <v>0</v>
      </c>
    </row>
    <row r="16" spans="1:8" x14ac:dyDescent="0.25">
      <c r="A16" s="101" t="str">
        <f>'Data shares'!C12</f>
        <v>AMBUJACEM</v>
      </c>
      <c r="B16" s="144">
        <f>VLOOKUP($A16,'Data shares'!$C:$FA,7)</f>
        <v>591.9</v>
      </c>
      <c r="C16" s="144">
        <f>VLOOKUP($A16,'Data shares'!$C:$FA,3)</f>
        <v>591.9</v>
      </c>
      <c r="D16" s="144">
        <f>VLOOKUP($A16,'Data shares'!$C:$FA,23)</f>
        <v>0</v>
      </c>
      <c r="E16" s="145">
        <f>VLOOKUP($A16,'Data shares'!$C:$FA,26)*100</f>
        <v>0</v>
      </c>
      <c r="F16" s="144">
        <f>VLOOKUP($A16,'Data shares'!$C:$FA,24)</f>
        <v>2.1</v>
      </c>
      <c r="G16" s="144">
        <f>VLOOKUP($A16,'Data shares'!$C:$FA,25)</f>
        <v>-2.1</v>
      </c>
    </row>
    <row r="17" spans="1:7" x14ac:dyDescent="0.25">
      <c r="A17" s="101" t="str">
        <f>'Data shares'!C13</f>
        <v>ANGELONE</v>
      </c>
      <c r="B17" s="144">
        <f>VLOOKUP($A17,'Data shares'!$C:$FA,7)</f>
        <v>2720.8</v>
      </c>
      <c r="C17" s="144">
        <f>VLOOKUP($A17,'Data shares'!$C:$FA,3)</f>
        <v>2722.4</v>
      </c>
      <c r="D17" s="144">
        <f>VLOOKUP($A17,'Data shares'!$C:$FA,23)</f>
        <v>1.6</v>
      </c>
      <c r="E17" s="145">
        <f>VLOOKUP($A17,'Data shares'!$C:$FA,26)*100</f>
        <v>0.06</v>
      </c>
      <c r="F17" s="144">
        <f>VLOOKUP($A17,'Data shares'!$C:$FA,24)</f>
        <v>1.5</v>
      </c>
      <c r="G17" s="144">
        <f>VLOOKUP($A17,'Data shares'!$C:$FA,25)</f>
        <v>0.1</v>
      </c>
    </row>
    <row r="18" spans="1:7" x14ac:dyDescent="0.25">
      <c r="A18" s="101" t="str">
        <f>'Data shares'!C14</f>
        <v>APLAPOLLO</v>
      </c>
      <c r="B18" s="144">
        <f>VLOOKUP($A18,'Data shares'!$C:$FA,7)</f>
        <v>1628.3</v>
      </c>
      <c r="C18" s="144">
        <f>VLOOKUP($A18,'Data shares'!$C:$FA,3)</f>
        <v>1627.1</v>
      </c>
      <c r="D18" s="144">
        <f>VLOOKUP($A18,'Data shares'!$C:$FA,23)</f>
        <v>-1.2</v>
      </c>
      <c r="E18" s="145">
        <f>VLOOKUP($A18,'Data shares'!$C:$FA,26)*100</f>
        <v>-6.9999999999999993E-2</v>
      </c>
      <c r="F18" s="144">
        <f>VLOOKUP($A18,'Data shares'!$C:$FA,24)</f>
        <v>-0.8</v>
      </c>
      <c r="G18" s="144">
        <f>VLOOKUP($A18,'Data shares'!$C:$FA,25)</f>
        <v>-0.4</v>
      </c>
    </row>
    <row r="19" spans="1:7" x14ac:dyDescent="0.25">
      <c r="A19" s="101" t="str">
        <f>'Data shares'!C15</f>
        <v>APOLLOHOSP</v>
      </c>
      <c r="B19" s="144">
        <f>VLOOKUP($A19,'Data shares'!$C:$FA,7)</f>
        <v>7883</v>
      </c>
      <c r="C19" s="144">
        <f>VLOOKUP($A19,'Data shares'!$C:$FA,3)</f>
        <v>7885.5</v>
      </c>
      <c r="D19" s="144">
        <f>VLOOKUP($A19,'Data shares'!$C:$FA,23)</f>
        <v>2.5</v>
      </c>
      <c r="E19" s="145">
        <f>VLOOKUP($A19,'Data shares'!$C:$FA,26)*100</f>
        <v>0.03</v>
      </c>
      <c r="F19" s="144">
        <f>VLOOKUP($A19,'Data shares'!$C:$FA,24)</f>
        <v>24</v>
      </c>
      <c r="G19" s="144">
        <f>VLOOKUP($A19,'Data shares'!$C:$FA,25)</f>
        <v>-21.5</v>
      </c>
    </row>
    <row r="20" spans="1:7" x14ac:dyDescent="0.25">
      <c r="A20" s="101" t="str">
        <f>'Data shares'!C16</f>
        <v>ASHOKLEY</v>
      </c>
      <c r="B20" s="144">
        <f>VLOOKUP($A20,'Data shares'!$C:$FA,7)</f>
        <v>133.1</v>
      </c>
      <c r="C20" s="144">
        <f>VLOOKUP($A20,'Data shares'!$C:$FA,3)</f>
        <v>133.13</v>
      </c>
      <c r="D20" s="144">
        <f>VLOOKUP($A20,'Data shares'!$C:$FA,23)</f>
        <v>0.03</v>
      </c>
      <c r="E20" s="145">
        <f>VLOOKUP($A20,'Data shares'!$C:$FA,26)*100</f>
        <v>0.02</v>
      </c>
      <c r="F20" s="144">
        <f>VLOOKUP($A20,'Data shares'!$C:$FA,24)</f>
        <v>0.04</v>
      </c>
      <c r="G20" s="144">
        <f>VLOOKUP($A20,'Data shares'!$C:$FA,25)</f>
        <v>-0.01</v>
      </c>
    </row>
    <row r="21" spans="1:7" x14ac:dyDescent="0.25">
      <c r="A21" s="101" t="str">
        <f>'Data shares'!C17</f>
        <v>ASIANPAINT</v>
      </c>
      <c r="B21" s="144">
        <f>VLOOKUP($A21,'Data shares'!$C:$FA,7)</f>
        <v>2570.1</v>
      </c>
      <c r="C21" s="144">
        <f>VLOOKUP($A21,'Data shares'!$C:$FA,3)</f>
        <v>2569.6</v>
      </c>
      <c r="D21" s="144">
        <f>VLOOKUP($A21,'Data shares'!$C:$FA,23)</f>
        <v>-0.5</v>
      </c>
      <c r="E21" s="145">
        <f>VLOOKUP($A21,'Data shares'!$C:$FA,26)*100</f>
        <v>-0.02</v>
      </c>
      <c r="F21" s="144">
        <f>VLOOKUP($A21,'Data shares'!$C:$FA,24)</f>
        <v>0.4</v>
      </c>
      <c r="G21" s="144">
        <f>VLOOKUP($A21,'Data shares'!$C:$FA,25)</f>
        <v>-0.9</v>
      </c>
    </row>
    <row r="22" spans="1:7" x14ac:dyDescent="0.25">
      <c r="A22" s="101" t="str">
        <f>'Data shares'!C18</f>
        <v>ASTRAL</v>
      </c>
      <c r="B22" s="144">
        <f>VLOOKUP($A22,'Data shares'!$C:$FA,7)</f>
        <v>1393.8</v>
      </c>
      <c r="C22" s="144">
        <f>VLOOKUP($A22,'Data shares'!$C:$FA,3)</f>
        <v>1399.1</v>
      </c>
      <c r="D22" s="144">
        <f>VLOOKUP($A22,'Data shares'!$C:$FA,23)</f>
        <v>5.3</v>
      </c>
      <c r="E22" s="145">
        <f>VLOOKUP($A22,'Data shares'!$C:$FA,26)*100</f>
        <v>0.38</v>
      </c>
      <c r="F22" s="144">
        <f>VLOOKUP($A22,'Data shares'!$C:$FA,24)</f>
        <v>5.4</v>
      </c>
      <c r="G22" s="144">
        <f>VLOOKUP($A22,'Data shares'!$C:$FA,25)</f>
        <v>-0.1</v>
      </c>
    </row>
    <row r="23" spans="1:7" x14ac:dyDescent="0.25">
      <c r="A23" s="101" t="str">
        <f>'Data shares'!C19</f>
        <v>ATGL</v>
      </c>
      <c r="B23" s="144">
        <f>VLOOKUP($A23,'Data shares'!$C:$FA,7)</f>
        <v>630.4</v>
      </c>
      <c r="C23" s="144">
        <f>VLOOKUP($A23,'Data shares'!$C:$FA,3)</f>
        <v>633.1</v>
      </c>
      <c r="D23" s="144">
        <f>VLOOKUP($A23,'Data shares'!$C:$FA,23)</f>
        <v>2.7</v>
      </c>
      <c r="E23" s="145">
        <f>VLOOKUP($A23,'Data shares'!$C:$FA,26)*100</f>
        <v>0.43</v>
      </c>
      <c r="F23" s="144">
        <f>VLOOKUP($A23,'Data shares'!$C:$FA,24)</f>
        <v>2.85</v>
      </c>
      <c r="G23" s="144">
        <f>VLOOKUP($A23,'Data shares'!$C:$FA,25)</f>
        <v>-0.15</v>
      </c>
    </row>
    <row r="24" spans="1:7" x14ac:dyDescent="0.25">
      <c r="A24" s="101" t="str">
        <f>'Data shares'!C20</f>
        <v>AUBANK</v>
      </c>
      <c r="B24" s="144">
        <f>VLOOKUP($A24,'Data shares'!$C:$FA,7)</f>
        <v>759.15</v>
      </c>
      <c r="C24" s="144">
        <f>VLOOKUP($A24,'Data shares'!$C:$FA,3)</f>
        <v>757.6</v>
      </c>
      <c r="D24" s="144">
        <f>VLOOKUP($A24,'Data shares'!$C:$FA,23)</f>
        <v>-1.55</v>
      </c>
      <c r="E24" s="145">
        <f>VLOOKUP($A24,'Data shares'!$C:$FA,26)*100</f>
        <v>-0.2</v>
      </c>
      <c r="F24" s="144">
        <f>VLOOKUP($A24,'Data shares'!$C:$FA,24)</f>
        <v>-1.5</v>
      </c>
      <c r="G24" s="144">
        <f>VLOOKUP($A24,'Data shares'!$C:$FA,25)</f>
        <v>-0.05</v>
      </c>
    </row>
    <row r="25" spans="1:7" x14ac:dyDescent="0.25">
      <c r="A25" s="101" t="str">
        <f>'Data shares'!C21</f>
        <v>AUROPHARMA</v>
      </c>
      <c r="B25" s="144">
        <f>VLOOKUP($A25,'Data shares'!$C:$FA,7)</f>
        <v>1046.4000000000001</v>
      </c>
      <c r="C25" s="144">
        <f>VLOOKUP($A25,'Data shares'!$C:$FA,3)</f>
        <v>1048.8</v>
      </c>
      <c r="D25" s="144">
        <f>VLOOKUP($A25,'Data shares'!$C:$FA,23)</f>
        <v>2.4</v>
      </c>
      <c r="E25" s="145">
        <f>VLOOKUP($A25,'Data shares'!$C:$FA,26)*100</f>
        <v>0.22999999999999998</v>
      </c>
      <c r="F25" s="144">
        <f>VLOOKUP($A25,'Data shares'!$C:$FA,24)</f>
        <v>2.9</v>
      </c>
      <c r="G25" s="144">
        <f>VLOOKUP($A25,'Data shares'!$C:$FA,25)</f>
        <v>-0.5</v>
      </c>
    </row>
    <row r="26" spans="1:7" x14ac:dyDescent="0.25">
      <c r="A26" s="101" t="str">
        <f>'Data shares'!C22</f>
        <v>AXISBANK</v>
      </c>
      <c r="B26" s="144">
        <f>VLOOKUP($A26,'Data shares'!$C:$FA,7)</f>
        <v>1080.2</v>
      </c>
      <c r="C26" s="144">
        <f>VLOOKUP($A26,'Data shares'!$C:$FA,3)</f>
        <v>1082.0999999999999</v>
      </c>
      <c r="D26" s="144">
        <f>VLOOKUP($A26,'Data shares'!$C:$FA,23)</f>
        <v>1.9</v>
      </c>
      <c r="E26" s="145">
        <f>VLOOKUP($A26,'Data shares'!$C:$FA,26)*100</f>
        <v>0.18</v>
      </c>
      <c r="F26" s="144">
        <f>VLOOKUP($A26,'Data shares'!$C:$FA,24)</f>
        <v>3.6</v>
      </c>
      <c r="G26" s="144">
        <f>VLOOKUP($A26,'Data shares'!$C:$FA,25)</f>
        <v>-1.7</v>
      </c>
    </row>
    <row r="27" spans="1:7" x14ac:dyDescent="0.25">
      <c r="A27" s="101" t="str">
        <f>'Data shares'!C23</f>
        <v>BAJAJ-AUTO</v>
      </c>
      <c r="B27" s="144">
        <f>VLOOKUP($A27,'Data shares'!$C:$FA,7)</f>
        <v>8827.5</v>
      </c>
      <c r="C27" s="144">
        <f>VLOOKUP($A27,'Data shares'!$C:$FA,3)</f>
        <v>8826.5</v>
      </c>
      <c r="D27" s="144">
        <f>VLOOKUP($A27,'Data shares'!$C:$FA,23)</f>
        <v>-1</v>
      </c>
      <c r="E27" s="145">
        <f>VLOOKUP($A27,'Data shares'!$C:$FA,26)*100</f>
        <v>-0.01</v>
      </c>
      <c r="F27" s="144">
        <f>VLOOKUP($A27,'Data shares'!$C:$FA,24)</f>
        <v>5</v>
      </c>
      <c r="G27" s="144">
        <f>VLOOKUP($A27,'Data shares'!$C:$FA,25)</f>
        <v>-6</v>
      </c>
    </row>
    <row r="28" spans="1:7" x14ac:dyDescent="0.25">
      <c r="A28" s="101" t="str">
        <f>'Data shares'!C24</f>
        <v>BAJAJFINSV</v>
      </c>
      <c r="B28" s="144">
        <f>VLOOKUP($A28,'Data shares'!$C:$FA,7)</f>
        <v>1958.5</v>
      </c>
      <c r="C28" s="144">
        <f>VLOOKUP($A28,'Data shares'!$C:$FA,3)</f>
        <v>1962.9</v>
      </c>
      <c r="D28" s="144">
        <f>VLOOKUP($A28,'Data shares'!$C:$FA,23)</f>
        <v>4.4000000000000004</v>
      </c>
      <c r="E28" s="145">
        <f>VLOOKUP($A28,'Data shares'!$C:$FA,26)*100</f>
        <v>0.22</v>
      </c>
      <c r="F28" s="144">
        <f>VLOOKUP($A28,'Data shares'!$C:$FA,24)</f>
        <v>6.6</v>
      </c>
      <c r="G28" s="144">
        <f>VLOOKUP($A28,'Data shares'!$C:$FA,25)</f>
        <v>-2.2000000000000002</v>
      </c>
    </row>
    <row r="29" spans="1:7" x14ac:dyDescent="0.25">
      <c r="A29" s="101" t="str">
        <f>'Data shares'!C25</f>
        <v>BAJFINANCE</v>
      </c>
      <c r="B29" s="144">
        <f>VLOOKUP($A29,'Data shares'!$C:$FA,7)</f>
        <v>887.8</v>
      </c>
      <c r="C29" s="144">
        <f>VLOOKUP($A29,'Data shares'!$C:$FA,3)</f>
        <v>887.95</v>
      </c>
      <c r="D29" s="144">
        <f>VLOOKUP($A29,'Data shares'!$C:$FA,23)</f>
        <v>0.15</v>
      </c>
      <c r="E29" s="145">
        <f>VLOOKUP($A29,'Data shares'!$C:$FA,26)*100</f>
        <v>0.02</v>
      </c>
      <c r="F29" s="144">
        <f>VLOOKUP($A29,'Data shares'!$C:$FA,24)</f>
        <v>1.8</v>
      </c>
      <c r="G29" s="144">
        <f>VLOOKUP($A29,'Data shares'!$C:$FA,25)</f>
        <v>-1.65</v>
      </c>
    </row>
    <row r="30" spans="1:7" x14ac:dyDescent="0.25">
      <c r="A30" s="101" t="str">
        <f>'Data shares'!C26</f>
        <v>BANDHANBNK</v>
      </c>
      <c r="B30" s="144">
        <f>VLOOKUP($A30,'Data shares'!$C:$FA,7)</f>
        <v>174.28</v>
      </c>
      <c r="C30" s="144">
        <f>VLOOKUP($A30,'Data shares'!$C:$FA,3)</f>
        <v>174.74</v>
      </c>
      <c r="D30" s="144">
        <f>VLOOKUP($A30,'Data shares'!$C:$FA,23)</f>
        <v>0.46</v>
      </c>
      <c r="E30" s="145">
        <f>VLOOKUP($A30,'Data shares'!$C:$FA,26)*100</f>
        <v>0.26</v>
      </c>
      <c r="F30" s="144">
        <f>VLOOKUP($A30,'Data shares'!$C:$FA,24)</f>
        <v>0.25</v>
      </c>
      <c r="G30" s="144">
        <f>VLOOKUP($A30,'Data shares'!$C:$FA,25)</f>
        <v>0.21</v>
      </c>
    </row>
    <row r="31" spans="1:7" x14ac:dyDescent="0.25">
      <c r="A31" s="101" t="str">
        <f>'Data shares'!C27</f>
        <v>BANKBARODA</v>
      </c>
      <c r="B31" s="144">
        <f>VLOOKUP($A31,'Data shares'!$C:$FA,7)</f>
        <v>244.88</v>
      </c>
      <c r="C31" s="144">
        <f>VLOOKUP($A31,'Data shares'!$C:$FA,3)</f>
        <v>245.54</v>
      </c>
      <c r="D31" s="144">
        <f>VLOOKUP($A31,'Data shares'!$C:$FA,23)</f>
        <v>0.66</v>
      </c>
      <c r="E31" s="145">
        <f>VLOOKUP($A31,'Data shares'!$C:$FA,26)*100</f>
        <v>0.27</v>
      </c>
      <c r="F31" s="144">
        <f>VLOOKUP($A31,'Data shares'!$C:$FA,24)</f>
        <v>0.85</v>
      </c>
      <c r="G31" s="144">
        <f>VLOOKUP($A31,'Data shares'!$C:$FA,25)</f>
        <v>-0.19</v>
      </c>
    </row>
    <row r="32" spans="1:7" x14ac:dyDescent="0.25">
      <c r="A32" s="101" t="str">
        <f>'Data shares'!C28</f>
        <v>BANKINDIA</v>
      </c>
      <c r="B32" s="144">
        <f>VLOOKUP($A32,'Data shares'!$C:$FA,7)</f>
        <v>116.33</v>
      </c>
      <c r="C32" s="144">
        <f>VLOOKUP($A32,'Data shares'!$C:$FA,3)</f>
        <v>116.53</v>
      </c>
      <c r="D32" s="144">
        <f>VLOOKUP($A32,'Data shares'!$C:$FA,23)</f>
        <v>0.2</v>
      </c>
      <c r="E32" s="145">
        <f>VLOOKUP($A32,'Data shares'!$C:$FA,26)*100</f>
        <v>0.16999999999999998</v>
      </c>
      <c r="F32" s="144">
        <f>VLOOKUP($A32,'Data shares'!$C:$FA,24)</f>
        <v>0.4</v>
      </c>
      <c r="G32" s="144">
        <f>VLOOKUP($A32,'Data shares'!$C:$FA,25)</f>
        <v>-0.2</v>
      </c>
    </row>
    <row r="33" spans="1:7" x14ac:dyDescent="0.25">
      <c r="A33" s="101" t="str">
        <f>'Data shares'!C29</f>
        <v>BANKNIFTY</v>
      </c>
      <c r="B33" s="144">
        <f>VLOOKUP($A33,'Data shares'!$C:$FA,7)</f>
        <v>55698.5</v>
      </c>
      <c r="C33" s="144">
        <f>VLOOKUP($A33,'Data shares'!$C:$FA,3)</f>
        <v>55815.6</v>
      </c>
      <c r="D33" s="144">
        <f>VLOOKUP($A33,'Data shares'!$C:$FA,23)</f>
        <v>117.1</v>
      </c>
      <c r="E33" s="145">
        <f>VLOOKUP($A33,'Data shares'!$C:$FA,26)*100</f>
        <v>0.21</v>
      </c>
      <c r="F33" s="144">
        <f>VLOOKUP($A33,'Data shares'!$C:$FA,24)</f>
        <v>100.65</v>
      </c>
      <c r="G33" s="144">
        <f>VLOOKUP($A33,'Data shares'!$C:$FA,25)</f>
        <v>16.45</v>
      </c>
    </row>
    <row r="34" spans="1:7" x14ac:dyDescent="0.25">
      <c r="A34" s="101" t="str">
        <f>'Data shares'!C30</f>
        <v>BDL</v>
      </c>
      <c r="B34" s="144">
        <f>VLOOKUP($A34,'Data shares'!$C:$FA,7)</f>
        <v>1529.5</v>
      </c>
      <c r="C34" s="144">
        <f>VLOOKUP($A34,'Data shares'!$C:$FA,3)</f>
        <v>1532.9</v>
      </c>
      <c r="D34" s="144">
        <f>VLOOKUP($A34,'Data shares'!$C:$FA,23)</f>
        <v>3.4</v>
      </c>
      <c r="E34" s="145">
        <f>VLOOKUP($A34,'Data shares'!$C:$FA,26)*100</f>
        <v>0.22</v>
      </c>
      <c r="F34" s="144">
        <f>VLOOKUP($A34,'Data shares'!$C:$FA,24)</f>
        <v>5.9</v>
      </c>
      <c r="G34" s="144">
        <f>VLOOKUP($A34,'Data shares'!$C:$FA,25)</f>
        <v>-2.5</v>
      </c>
    </row>
    <row r="35" spans="1:7" x14ac:dyDescent="0.25">
      <c r="A35" s="101" t="str">
        <f>'Data shares'!C31</f>
        <v>BEL</v>
      </c>
      <c r="B35" s="144">
        <f>VLOOKUP($A35,'Data shares'!$C:$FA,7)</f>
        <v>371.85</v>
      </c>
      <c r="C35" s="144">
        <f>VLOOKUP($A35,'Data shares'!$C:$FA,3)</f>
        <v>372.15</v>
      </c>
      <c r="D35" s="144">
        <f>VLOOKUP($A35,'Data shares'!$C:$FA,23)</f>
        <v>0.3</v>
      </c>
      <c r="E35" s="145">
        <f>VLOOKUP($A35,'Data shares'!$C:$FA,26)*100</f>
        <v>0.08</v>
      </c>
      <c r="F35" s="144">
        <f>VLOOKUP($A35,'Data shares'!$C:$FA,24)</f>
        <v>0.35</v>
      </c>
      <c r="G35" s="144">
        <f>VLOOKUP($A35,'Data shares'!$C:$FA,25)</f>
        <v>-0.05</v>
      </c>
    </row>
    <row r="36" spans="1:7" x14ac:dyDescent="0.25">
      <c r="A36" s="101" t="str">
        <f>'Data shares'!C32</f>
        <v>BHARATFORG</v>
      </c>
      <c r="B36" s="144">
        <f>VLOOKUP($A36,'Data shares'!$C:$FA,7)</f>
        <v>1158.9000000000001</v>
      </c>
      <c r="C36" s="144">
        <f>VLOOKUP($A36,'Data shares'!$C:$FA,3)</f>
        <v>1160.2</v>
      </c>
      <c r="D36" s="144">
        <f>VLOOKUP($A36,'Data shares'!$C:$FA,23)</f>
        <v>1.3</v>
      </c>
      <c r="E36" s="145">
        <f>VLOOKUP($A36,'Data shares'!$C:$FA,26)*100</f>
        <v>0.11</v>
      </c>
      <c r="F36" s="144">
        <f>VLOOKUP($A36,'Data shares'!$C:$FA,24)</f>
        <v>4.5999999999999996</v>
      </c>
      <c r="G36" s="144">
        <f>VLOOKUP($A36,'Data shares'!$C:$FA,25)</f>
        <v>-3.3</v>
      </c>
    </row>
    <row r="37" spans="1:7" x14ac:dyDescent="0.25">
      <c r="A37" s="101" t="str">
        <f>'Data shares'!C33</f>
        <v>BHARTIARTL</v>
      </c>
      <c r="B37" s="144">
        <f>VLOOKUP($A37,'Data shares'!$C:$FA,7)</f>
        <v>1928.4</v>
      </c>
      <c r="C37" s="144">
        <f>VLOOKUP($A37,'Data shares'!$C:$FA,3)</f>
        <v>1929.2</v>
      </c>
      <c r="D37" s="144">
        <f>VLOOKUP($A37,'Data shares'!$C:$FA,23)</f>
        <v>0.8</v>
      </c>
      <c r="E37" s="145">
        <f>VLOOKUP($A37,'Data shares'!$C:$FA,26)*100</f>
        <v>0.04</v>
      </c>
      <c r="F37" s="144">
        <f>VLOOKUP($A37,'Data shares'!$C:$FA,24)</f>
        <v>5.3</v>
      </c>
      <c r="G37" s="144">
        <f>VLOOKUP($A37,'Data shares'!$C:$FA,25)</f>
        <v>-4.5</v>
      </c>
    </row>
    <row r="38" spans="1:7" x14ac:dyDescent="0.25">
      <c r="A38" s="101" t="str">
        <f>'Data shares'!C34</f>
        <v>BHEL</v>
      </c>
      <c r="B38" s="144">
        <f>VLOOKUP($A38,'Data shares'!$C:$FA,7)</f>
        <v>220.67</v>
      </c>
      <c r="C38" s="144">
        <f>VLOOKUP($A38,'Data shares'!$C:$FA,3)</f>
        <v>220.96</v>
      </c>
      <c r="D38" s="144">
        <f>VLOOKUP($A38,'Data shares'!$C:$FA,23)</f>
        <v>0.28999999999999998</v>
      </c>
      <c r="E38" s="145">
        <f>VLOOKUP($A38,'Data shares'!$C:$FA,26)*100</f>
        <v>0.13</v>
      </c>
      <c r="F38" s="144">
        <f>VLOOKUP($A38,'Data shares'!$C:$FA,24)</f>
        <v>0.3</v>
      </c>
      <c r="G38" s="144">
        <f>VLOOKUP($A38,'Data shares'!$C:$FA,25)</f>
        <v>-0.01</v>
      </c>
    </row>
    <row r="39" spans="1:7" x14ac:dyDescent="0.25">
      <c r="A39" s="101" t="str">
        <f>'Data shares'!C35</f>
        <v>BIOCON</v>
      </c>
      <c r="B39" s="144">
        <f>VLOOKUP($A39,'Data shares'!$C:$FA,7)</f>
        <v>359.45</v>
      </c>
      <c r="C39" s="144">
        <f>VLOOKUP($A39,'Data shares'!$C:$FA,3)</f>
        <v>360.05</v>
      </c>
      <c r="D39" s="144">
        <f>VLOOKUP($A39,'Data shares'!$C:$FA,23)</f>
        <v>0.6</v>
      </c>
      <c r="E39" s="145">
        <f>VLOOKUP($A39,'Data shares'!$C:$FA,26)*100</f>
        <v>0.16999999999999998</v>
      </c>
      <c r="F39" s="144">
        <f>VLOOKUP($A39,'Data shares'!$C:$FA,24)</f>
        <v>0.95</v>
      </c>
      <c r="G39" s="144">
        <f>VLOOKUP($A39,'Data shares'!$C:$FA,25)</f>
        <v>-0.35</v>
      </c>
    </row>
    <row r="40" spans="1:7" x14ac:dyDescent="0.25">
      <c r="A40" s="101" t="str">
        <f>'Data shares'!C36</f>
        <v>BLUESTARCO</v>
      </c>
      <c r="B40" s="144">
        <f>VLOOKUP($A40,'Data shares'!$C:$FA,7)</f>
        <v>1927.4</v>
      </c>
      <c r="C40" s="144">
        <f>VLOOKUP($A40,'Data shares'!$C:$FA,3)</f>
        <v>1927.6</v>
      </c>
      <c r="D40" s="144">
        <f>VLOOKUP($A40,'Data shares'!$C:$FA,23)</f>
        <v>0.2</v>
      </c>
      <c r="E40" s="145">
        <f>VLOOKUP($A40,'Data shares'!$C:$FA,26)*100</f>
        <v>0.01</v>
      </c>
      <c r="F40" s="144">
        <f>VLOOKUP($A40,'Data shares'!$C:$FA,24)</f>
        <v>2.9</v>
      </c>
      <c r="G40" s="144">
        <f>VLOOKUP($A40,'Data shares'!$C:$FA,25)</f>
        <v>-2.7</v>
      </c>
    </row>
    <row r="41" spans="1:7" x14ac:dyDescent="0.25">
      <c r="A41" s="101" t="str">
        <f>'Data shares'!C37</f>
        <v>BOSCHLTD</v>
      </c>
      <c r="B41" s="144">
        <f>VLOOKUP($A41,'Data shares'!$C:$FA,7)</f>
        <v>39935</v>
      </c>
      <c r="C41" s="144">
        <f>VLOOKUP($A41,'Data shares'!$C:$FA,3)</f>
        <v>40035</v>
      </c>
      <c r="D41" s="144">
        <f>VLOOKUP($A41,'Data shares'!$C:$FA,23)</f>
        <v>100</v>
      </c>
      <c r="E41" s="145">
        <f>VLOOKUP($A41,'Data shares'!$C:$FA,26)*100</f>
        <v>0.25</v>
      </c>
      <c r="F41" s="144">
        <f>VLOOKUP($A41,'Data shares'!$C:$FA,24)</f>
        <v>120</v>
      </c>
      <c r="G41" s="144">
        <f>VLOOKUP($A41,'Data shares'!$C:$FA,25)</f>
        <v>-20</v>
      </c>
    </row>
    <row r="42" spans="1:7" x14ac:dyDescent="0.25">
      <c r="A42" s="101" t="str">
        <f>'Data shares'!C38</f>
        <v>BPCL</v>
      </c>
      <c r="B42" s="144">
        <f>VLOOKUP($A42,'Data shares'!$C:$FA,7)</f>
        <v>319.95</v>
      </c>
      <c r="C42" s="144">
        <f>VLOOKUP($A42,'Data shares'!$C:$FA,3)</f>
        <v>320.8</v>
      </c>
      <c r="D42" s="144">
        <f>VLOOKUP($A42,'Data shares'!$C:$FA,23)</f>
        <v>0.85</v>
      </c>
      <c r="E42" s="145">
        <f>VLOOKUP($A42,'Data shares'!$C:$FA,26)*100</f>
        <v>0.27</v>
      </c>
      <c r="F42" s="144">
        <f>VLOOKUP($A42,'Data shares'!$C:$FA,24)</f>
        <v>0.65</v>
      </c>
      <c r="G42" s="144">
        <f>VLOOKUP($A42,'Data shares'!$C:$FA,25)</f>
        <v>0.2</v>
      </c>
    </row>
    <row r="43" spans="1:7" x14ac:dyDescent="0.25">
      <c r="A43" s="101" t="str">
        <f>'Data shares'!C39</f>
        <v>BRITANNIA</v>
      </c>
      <c r="B43" s="144">
        <f>VLOOKUP($A43,'Data shares'!$C:$FA,7)</f>
        <v>5701</v>
      </c>
      <c r="C43" s="144">
        <f>VLOOKUP($A43,'Data shares'!$C:$FA,3)</f>
        <v>5705</v>
      </c>
      <c r="D43" s="144">
        <f>VLOOKUP($A43,'Data shares'!$C:$FA,23)</f>
        <v>4</v>
      </c>
      <c r="E43" s="145">
        <f>VLOOKUP($A43,'Data shares'!$C:$FA,26)*100</f>
        <v>6.9999999999999993E-2</v>
      </c>
      <c r="F43" s="144">
        <f>VLOOKUP($A43,'Data shares'!$C:$FA,24)</f>
        <v>12.5</v>
      </c>
      <c r="G43" s="144">
        <f>VLOOKUP($A43,'Data shares'!$C:$FA,25)</f>
        <v>-8.5</v>
      </c>
    </row>
    <row r="44" spans="1:7" x14ac:dyDescent="0.25">
      <c r="A44" s="101" t="str">
        <f>'Data shares'!C40</f>
        <v>BSE</v>
      </c>
      <c r="B44" s="144">
        <f>VLOOKUP($A44,'Data shares'!$C:$FA,7)</f>
        <v>2523</v>
      </c>
      <c r="C44" s="144">
        <f>VLOOKUP($A44,'Data shares'!$C:$FA,3)</f>
        <v>2529.1</v>
      </c>
      <c r="D44" s="144">
        <f>VLOOKUP($A44,'Data shares'!$C:$FA,23)</f>
        <v>6.1</v>
      </c>
      <c r="E44" s="145">
        <f>VLOOKUP($A44,'Data shares'!$C:$FA,26)*100</f>
        <v>0.24</v>
      </c>
      <c r="F44" s="144">
        <f>VLOOKUP($A44,'Data shares'!$C:$FA,24)</f>
        <v>7.4</v>
      </c>
      <c r="G44" s="144">
        <f>VLOOKUP($A44,'Data shares'!$C:$FA,25)</f>
        <v>-1.3</v>
      </c>
    </row>
    <row r="45" spans="1:7" x14ac:dyDescent="0.25">
      <c r="A45" s="101" t="str">
        <f>'Data shares'!C41</f>
        <v>CAMS</v>
      </c>
      <c r="B45" s="144">
        <f>VLOOKUP($A45,'Data shares'!$C:$FA,7)</f>
        <v>3841.8</v>
      </c>
      <c r="C45" s="144">
        <f>VLOOKUP($A45,'Data shares'!$C:$FA,3)</f>
        <v>3843.4</v>
      </c>
      <c r="D45" s="144">
        <f>VLOOKUP($A45,'Data shares'!$C:$FA,23)</f>
        <v>1.6</v>
      </c>
      <c r="E45" s="145">
        <f>VLOOKUP($A45,'Data shares'!$C:$FA,26)*100</f>
        <v>0.04</v>
      </c>
      <c r="F45" s="144">
        <f>VLOOKUP($A45,'Data shares'!$C:$FA,24)</f>
        <v>3.3</v>
      </c>
      <c r="G45" s="144">
        <f>VLOOKUP($A45,'Data shares'!$C:$FA,25)</f>
        <v>-1.7</v>
      </c>
    </row>
    <row r="46" spans="1:7" x14ac:dyDescent="0.25">
      <c r="A46" s="101" t="str">
        <f>'Data shares'!C42</f>
        <v>CANBK</v>
      </c>
      <c r="B46" s="144">
        <f>VLOOKUP($A46,'Data shares'!$C:$FA,7)</f>
        <v>112.28</v>
      </c>
      <c r="C46" s="144">
        <f>VLOOKUP($A46,'Data shares'!$C:$FA,3)</f>
        <v>112.41</v>
      </c>
      <c r="D46" s="144">
        <f>VLOOKUP($A46,'Data shares'!$C:$FA,23)</f>
        <v>0.13</v>
      </c>
      <c r="E46" s="145">
        <f>VLOOKUP($A46,'Data shares'!$C:$FA,26)*100</f>
        <v>0.12</v>
      </c>
      <c r="F46" s="144">
        <f>VLOOKUP($A46,'Data shares'!$C:$FA,24)</f>
        <v>0.39</v>
      </c>
      <c r="G46" s="144">
        <f>VLOOKUP($A46,'Data shares'!$C:$FA,25)</f>
        <v>-0.26</v>
      </c>
    </row>
    <row r="47" spans="1:7" x14ac:dyDescent="0.25">
      <c r="A47" s="101" t="str">
        <f>'Data shares'!C43</f>
        <v>CDSL</v>
      </c>
      <c r="B47" s="144">
        <f>VLOOKUP($A47,'Data shares'!$C:$FA,7)</f>
        <v>1583.6</v>
      </c>
      <c r="C47" s="144">
        <f>VLOOKUP($A47,'Data shares'!$C:$FA,3)</f>
        <v>1588.4</v>
      </c>
      <c r="D47" s="144">
        <f>VLOOKUP($A47,'Data shares'!$C:$FA,23)</f>
        <v>4.8</v>
      </c>
      <c r="E47" s="145">
        <f>VLOOKUP($A47,'Data shares'!$C:$FA,26)*100</f>
        <v>0.3</v>
      </c>
      <c r="F47" s="144">
        <f>VLOOKUP($A47,'Data shares'!$C:$FA,24)</f>
        <v>5.3</v>
      </c>
      <c r="G47" s="144">
        <f>VLOOKUP($A47,'Data shares'!$C:$FA,25)</f>
        <v>-0.5</v>
      </c>
    </row>
    <row r="48" spans="1:7" x14ac:dyDescent="0.25">
      <c r="A48" s="101" t="str">
        <f>'Data shares'!C44</f>
        <v>CESC</v>
      </c>
      <c r="B48" s="144">
        <f>VLOOKUP($A48,'Data shares'!$C:$FA,7)</f>
        <v>163.43</v>
      </c>
      <c r="C48" s="144">
        <f>VLOOKUP($A48,'Data shares'!$C:$FA,3)</f>
        <v>164.07</v>
      </c>
      <c r="D48" s="144">
        <f>VLOOKUP($A48,'Data shares'!$C:$FA,23)</f>
        <v>0.64</v>
      </c>
      <c r="E48" s="145">
        <f>VLOOKUP($A48,'Data shares'!$C:$FA,26)*100</f>
        <v>0.38999999999999996</v>
      </c>
      <c r="F48" s="144">
        <f>VLOOKUP($A48,'Data shares'!$C:$FA,24)</f>
        <v>0.71</v>
      </c>
      <c r="G48" s="144">
        <f>VLOOKUP($A48,'Data shares'!$C:$FA,25)</f>
        <v>-7.0000000000000007E-2</v>
      </c>
    </row>
    <row r="49" spans="1:7" x14ac:dyDescent="0.25">
      <c r="A49" s="101" t="str">
        <f>'Data shares'!C45</f>
        <v>CGPOWER</v>
      </c>
      <c r="B49" s="144">
        <f>VLOOKUP($A49,'Data shares'!$C:$FA,7)</f>
        <v>674.25</v>
      </c>
      <c r="C49" s="144">
        <f>VLOOKUP($A49,'Data shares'!$C:$FA,3)</f>
        <v>675.5</v>
      </c>
      <c r="D49" s="144">
        <f>VLOOKUP($A49,'Data shares'!$C:$FA,23)</f>
        <v>1.25</v>
      </c>
      <c r="E49" s="145">
        <f>VLOOKUP($A49,'Data shares'!$C:$FA,26)*100</f>
        <v>0.19</v>
      </c>
      <c r="F49" s="144">
        <f>VLOOKUP($A49,'Data shares'!$C:$FA,24)</f>
        <v>0.7</v>
      </c>
      <c r="G49" s="144">
        <f>VLOOKUP($A49,'Data shares'!$C:$FA,25)</f>
        <v>0.55000000000000004</v>
      </c>
    </row>
    <row r="50" spans="1:7" x14ac:dyDescent="0.25">
      <c r="A50" s="101" t="str">
        <f>'Data shares'!C46</f>
        <v>CHOLAFIN</v>
      </c>
      <c r="B50" s="144">
        <f>VLOOKUP($A50,'Data shares'!$C:$FA,7)</f>
        <v>1522.9</v>
      </c>
      <c r="C50" s="144">
        <f>VLOOKUP($A50,'Data shares'!$C:$FA,3)</f>
        <v>1522.9</v>
      </c>
      <c r="D50" s="144">
        <f>VLOOKUP($A50,'Data shares'!$C:$FA,23)</f>
        <v>0</v>
      </c>
      <c r="E50" s="145">
        <f>VLOOKUP($A50,'Data shares'!$C:$FA,26)*100</f>
        <v>0</v>
      </c>
      <c r="F50" s="144">
        <f>VLOOKUP($A50,'Data shares'!$C:$FA,24)</f>
        <v>0.1</v>
      </c>
      <c r="G50" s="144">
        <f>VLOOKUP($A50,'Data shares'!$C:$FA,25)</f>
        <v>-0.1</v>
      </c>
    </row>
    <row r="51" spans="1:7" x14ac:dyDescent="0.25">
      <c r="A51" s="101" t="str">
        <f>'Data shares'!C47</f>
        <v>CIPLA</v>
      </c>
      <c r="B51" s="144">
        <f>VLOOKUP($A51,'Data shares'!$C:$FA,7)</f>
        <v>1546.1</v>
      </c>
      <c r="C51" s="144">
        <f>VLOOKUP($A51,'Data shares'!$C:$FA,3)</f>
        <v>1549.4</v>
      </c>
      <c r="D51" s="144">
        <f>VLOOKUP($A51,'Data shares'!$C:$FA,23)</f>
        <v>3.3</v>
      </c>
      <c r="E51" s="145">
        <f>VLOOKUP($A51,'Data shares'!$C:$FA,26)*100</f>
        <v>0.21</v>
      </c>
      <c r="F51" s="144">
        <f>VLOOKUP($A51,'Data shares'!$C:$FA,24)</f>
        <v>4.0999999999999996</v>
      </c>
      <c r="G51" s="144">
        <f>VLOOKUP($A51,'Data shares'!$C:$FA,25)</f>
        <v>-0.8</v>
      </c>
    </row>
    <row r="52" spans="1:7" x14ac:dyDescent="0.25">
      <c r="A52" s="101" t="str">
        <f>'Data shares'!C48</f>
        <v>COALINDIA</v>
      </c>
      <c r="B52" s="144">
        <f>VLOOKUP($A52,'Data shares'!$C:$FA,7)</f>
        <v>384.7</v>
      </c>
      <c r="C52" s="144">
        <f>VLOOKUP($A52,'Data shares'!$C:$FA,3)</f>
        <v>380.05</v>
      </c>
      <c r="D52" s="144">
        <f>VLOOKUP($A52,'Data shares'!$C:$FA,23)</f>
        <v>-4.6500000000000004</v>
      </c>
      <c r="E52" s="145">
        <f>VLOOKUP($A52,'Data shares'!$C:$FA,26)*100</f>
        <v>-1.21</v>
      </c>
      <c r="F52" s="144">
        <f>VLOOKUP($A52,'Data shares'!$C:$FA,24)</f>
        <v>-4.5999999999999996</v>
      </c>
      <c r="G52" s="144">
        <f>VLOOKUP($A52,'Data shares'!$C:$FA,25)</f>
        <v>-0.05</v>
      </c>
    </row>
    <row r="53" spans="1:7" x14ac:dyDescent="0.25">
      <c r="A53" s="101" t="str">
        <f>'Data shares'!C49</f>
        <v>COFORGE</v>
      </c>
      <c r="B53" s="144">
        <f>VLOOKUP($A53,'Data shares'!$C:$FA,7)</f>
        <v>1708.4</v>
      </c>
      <c r="C53" s="144">
        <f>VLOOKUP($A53,'Data shares'!$C:$FA,3)</f>
        <v>1708.7</v>
      </c>
      <c r="D53" s="144">
        <f>VLOOKUP($A53,'Data shares'!$C:$FA,23)</f>
        <v>0.3</v>
      </c>
      <c r="E53" s="145">
        <f>VLOOKUP($A53,'Data shares'!$C:$FA,26)*100</f>
        <v>0.02</v>
      </c>
      <c r="F53" s="144">
        <f>VLOOKUP($A53,'Data shares'!$C:$FA,24)</f>
        <v>6.8</v>
      </c>
      <c r="G53" s="144">
        <f>VLOOKUP($A53,'Data shares'!$C:$FA,25)</f>
        <v>-6.5</v>
      </c>
    </row>
    <row r="54" spans="1:7" x14ac:dyDescent="0.25">
      <c r="A54" s="101" t="str">
        <f>'Data shares'!C50</f>
        <v>COLPAL</v>
      </c>
      <c r="B54" s="144">
        <f>VLOOKUP($A54,'Data shares'!$C:$FA,7)</f>
        <v>2356.5</v>
      </c>
      <c r="C54" s="144">
        <f>VLOOKUP($A54,'Data shares'!$C:$FA,3)</f>
        <v>2364.1999999999998</v>
      </c>
      <c r="D54" s="144">
        <f>VLOOKUP($A54,'Data shares'!$C:$FA,23)</f>
        <v>7.7</v>
      </c>
      <c r="E54" s="145">
        <f>VLOOKUP($A54,'Data shares'!$C:$FA,26)*100</f>
        <v>0.33</v>
      </c>
      <c r="F54" s="144">
        <f>VLOOKUP($A54,'Data shares'!$C:$FA,24)</f>
        <v>2.8</v>
      </c>
      <c r="G54" s="144">
        <f>VLOOKUP($A54,'Data shares'!$C:$FA,25)</f>
        <v>4.9000000000000004</v>
      </c>
    </row>
    <row r="55" spans="1:7" x14ac:dyDescent="0.25">
      <c r="A55" s="101" t="str">
        <f>'Data shares'!C51</f>
        <v>CONCOR</v>
      </c>
      <c r="B55" s="144">
        <f>VLOOKUP($A55,'Data shares'!$C:$FA,7)</f>
        <v>557.5</v>
      </c>
      <c r="C55" s="144">
        <f>VLOOKUP($A55,'Data shares'!$C:$FA,3)</f>
        <v>558</v>
      </c>
      <c r="D55" s="144">
        <f>VLOOKUP($A55,'Data shares'!$C:$FA,23)</f>
        <v>0.5</v>
      </c>
      <c r="E55" s="145">
        <f>VLOOKUP($A55,'Data shares'!$C:$FA,26)*100</f>
        <v>0.09</v>
      </c>
      <c r="F55" s="144">
        <f>VLOOKUP($A55,'Data shares'!$C:$FA,24)</f>
        <v>1.05</v>
      </c>
      <c r="G55" s="144">
        <f>VLOOKUP($A55,'Data shares'!$C:$FA,25)</f>
        <v>-0.55000000000000004</v>
      </c>
    </row>
    <row r="56" spans="1:7" x14ac:dyDescent="0.25">
      <c r="A56" s="101" t="str">
        <f>'Data shares'!C52</f>
        <v>CROMPTON</v>
      </c>
      <c r="B56" s="144">
        <f>VLOOKUP($A56,'Data shares'!$C:$FA,7)</f>
        <v>328.35</v>
      </c>
      <c r="C56" s="144">
        <f>VLOOKUP($A56,'Data shares'!$C:$FA,3)</f>
        <v>329.2</v>
      </c>
      <c r="D56" s="144">
        <f>VLOOKUP($A56,'Data shares'!$C:$FA,23)</f>
        <v>0.85</v>
      </c>
      <c r="E56" s="145">
        <f>VLOOKUP($A56,'Data shares'!$C:$FA,26)*100</f>
        <v>0.26</v>
      </c>
      <c r="F56" s="144">
        <f>VLOOKUP($A56,'Data shares'!$C:$FA,24)</f>
        <v>1.4</v>
      </c>
      <c r="G56" s="144">
        <f>VLOOKUP($A56,'Data shares'!$C:$FA,25)</f>
        <v>-0.55000000000000004</v>
      </c>
    </row>
    <row r="57" spans="1:7" x14ac:dyDescent="0.25">
      <c r="A57" s="101" t="str">
        <f>'Data shares'!C53</f>
        <v>CUMMINSIND</v>
      </c>
      <c r="B57" s="144">
        <f>VLOOKUP($A57,'Data shares'!$C:$FA,7)</f>
        <v>3818.4</v>
      </c>
      <c r="C57" s="144">
        <f>VLOOKUP($A57,'Data shares'!$C:$FA,3)</f>
        <v>3811.3</v>
      </c>
      <c r="D57" s="144">
        <f>VLOOKUP($A57,'Data shares'!$C:$FA,23)</f>
        <v>-7.1</v>
      </c>
      <c r="E57" s="145">
        <f>VLOOKUP($A57,'Data shares'!$C:$FA,26)*100</f>
        <v>-0.19</v>
      </c>
      <c r="F57" s="144">
        <f>VLOOKUP($A57,'Data shares'!$C:$FA,24)</f>
        <v>8.4</v>
      </c>
      <c r="G57" s="144">
        <f>VLOOKUP($A57,'Data shares'!$C:$FA,25)</f>
        <v>-15.5</v>
      </c>
    </row>
    <row r="58" spans="1:7" x14ac:dyDescent="0.25">
      <c r="A58" s="101" t="str">
        <f>'Data shares'!C54</f>
        <v>CYIENT</v>
      </c>
      <c r="B58" s="144">
        <f>VLOOKUP($A58,'Data shares'!$C:$FA,7)</f>
        <v>1230.5999999999999</v>
      </c>
      <c r="C58" s="144">
        <f>VLOOKUP($A58,'Data shares'!$C:$FA,3)</f>
        <v>1234.3</v>
      </c>
      <c r="D58" s="144">
        <f>VLOOKUP($A58,'Data shares'!$C:$FA,23)</f>
        <v>3.7</v>
      </c>
      <c r="E58" s="145">
        <f>VLOOKUP($A58,'Data shares'!$C:$FA,26)*100</f>
        <v>0.3</v>
      </c>
      <c r="F58" s="144">
        <f>VLOOKUP($A58,'Data shares'!$C:$FA,24)</f>
        <v>0.8</v>
      </c>
      <c r="G58" s="144">
        <f>VLOOKUP($A58,'Data shares'!$C:$FA,25)</f>
        <v>2.9</v>
      </c>
    </row>
    <row r="59" spans="1:7" x14ac:dyDescent="0.25">
      <c r="A59" s="101" t="str">
        <f>'Data shares'!C55</f>
        <v>DABUR</v>
      </c>
      <c r="B59" s="144">
        <f>VLOOKUP($A59,'Data shares'!$C:$FA,7)</f>
        <v>535</v>
      </c>
      <c r="C59" s="144">
        <f>VLOOKUP($A59,'Data shares'!$C:$FA,3)</f>
        <v>536.85</v>
      </c>
      <c r="D59" s="144">
        <f>VLOOKUP($A59,'Data shares'!$C:$FA,23)</f>
        <v>1.85</v>
      </c>
      <c r="E59" s="145">
        <f>VLOOKUP($A59,'Data shares'!$C:$FA,26)*100</f>
        <v>0.35000000000000003</v>
      </c>
      <c r="F59" s="144">
        <f>VLOOKUP($A59,'Data shares'!$C:$FA,24)</f>
        <v>1.55</v>
      </c>
      <c r="G59" s="144">
        <f>VLOOKUP($A59,'Data shares'!$C:$FA,25)</f>
        <v>0.3</v>
      </c>
    </row>
    <row r="60" spans="1:7" x14ac:dyDescent="0.25">
      <c r="A60" s="101" t="str">
        <f>'Data shares'!C56</f>
        <v>DALBHARAT</v>
      </c>
      <c r="B60" s="144">
        <f>VLOOKUP($A60,'Data shares'!$C:$FA,7)</f>
        <v>2344.4</v>
      </c>
      <c r="C60" s="144">
        <f>VLOOKUP($A60,'Data shares'!$C:$FA,3)</f>
        <v>2349.9</v>
      </c>
      <c r="D60" s="144">
        <f>VLOOKUP($A60,'Data shares'!$C:$FA,23)</f>
        <v>5.5</v>
      </c>
      <c r="E60" s="145">
        <f>VLOOKUP($A60,'Data shares'!$C:$FA,26)*100</f>
        <v>0.22999999999999998</v>
      </c>
      <c r="F60" s="144">
        <f>VLOOKUP($A60,'Data shares'!$C:$FA,24)</f>
        <v>1</v>
      </c>
      <c r="G60" s="144">
        <f>VLOOKUP($A60,'Data shares'!$C:$FA,25)</f>
        <v>4.5</v>
      </c>
    </row>
    <row r="61" spans="1:7" x14ac:dyDescent="0.25">
      <c r="A61" s="101" t="str">
        <f>'Data shares'!C57</f>
        <v>DELHIVERY</v>
      </c>
      <c r="B61" s="144">
        <f>VLOOKUP($A61,'Data shares'!$C:$FA,7)</f>
        <v>471.1</v>
      </c>
      <c r="C61" s="144">
        <f>VLOOKUP($A61,'Data shares'!$C:$FA,3)</f>
        <v>472.05</v>
      </c>
      <c r="D61" s="144">
        <f>VLOOKUP($A61,'Data shares'!$C:$FA,23)</f>
        <v>0.95</v>
      </c>
      <c r="E61" s="145">
        <f>VLOOKUP($A61,'Data shares'!$C:$FA,26)*100</f>
        <v>0.2</v>
      </c>
      <c r="F61" s="144">
        <f>VLOOKUP($A61,'Data shares'!$C:$FA,24)</f>
        <v>1.4</v>
      </c>
      <c r="G61" s="144">
        <f>VLOOKUP($A61,'Data shares'!$C:$FA,25)</f>
        <v>-0.45</v>
      </c>
    </row>
    <row r="62" spans="1:7" x14ac:dyDescent="0.25">
      <c r="A62" s="101" t="str">
        <f>'Data shares'!C58</f>
        <v>DIVISLAB</v>
      </c>
      <c r="B62" s="144">
        <f>VLOOKUP($A62,'Data shares'!$C:$FA,7)</f>
        <v>6005</v>
      </c>
      <c r="C62" s="144">
        <f>VLOOKUP($A62,'Data shares'!$C:$FA,3)</f>
        <v>6024</v>
      </c>
      <c r="D62" s="144">
        <f>VLOOKUP($A62,'Data shares'!$C:$FA,23)</f>
        <v>19</v>
      </c>
      <c r="E62" s="145">
        <f>VLOOKUP($A62,'Data shares'!$C:$FA,26)*100</f>
        <v>0.32</v>
      </c>
      <c r="F62" s="144">
        <f>VLOOKUP($A62,'Data shares'!$C:$FA,24)</f>
        <v>20.5</v>
      </c>
      <c r="G62" s="144">
        <f>VLOOKUP($A62,'Data shares'!$C:$FA,25)</f>
        <v>-1.5</v>
      </c>
    </row>
    <row r="63" spans="1:7" x14ac:dyDescent="0.25">
      <c r="A63" s="101" t="str">
        <f>'Data shares'!C59</f>
        <v>DIXON</v>
      </c>
      <c r="B63" s="144">
        <f>VLOOKUP($A63,'Data shares'!$C:$FA,7)</f>
        <v>16876</v>
      </c>
      <c r="C63" s="144">
        <f>VLOOKUP($A63,'Data shares'!$C:$FA,3)</f>
        <v>16917</v>
      </c>
      <c r="D63" s="144">
        <f>VLOOKUP($A63,'Data shares'!$C:$FA,23)</f>
        <v>41</v>
      </c>
      <c r="E63" s="145">
        <f>VLOOKUP($A63,'Data shares'!$C:$FA,26)*100</f>
        <v>0.24</v>
      </c>
      <c r="F63" s="144">
        <f>VLOOKUP($A63,'Data shares'!$C:$FA,24)</f>
        <v>66</v>
      </c>
      <c r="G63" s="144">
        <f>VLOOKUP($A63,'Data shares'!$C:$FA,25)</f>
        <v>-25</v>
      </c>
    </row>
    <row r="64" spans="1:7" x14ac:dyDescent="0.25">
      <c r="A64" s="101" t="str">
        <f>'Data shares'!C60</f>
        <v>DLF</v>
      </c>
      <c r="B64" s="144">
        <f>VLOOKUP($A64,'Data shares'!$C:$FA,7)</f>
        <v>770.5</v>
      </c>
      <c r="C64" s="144">
        <f>VLOOKUP($A64,'Data shares'!$C:$FA,3)</f>
        <v>772.25</v>
      </c>
      <c r="D64" s="144">
        <f>VLOOKUP($A64,'Data shares'!$C:$FA,23)</f>
        <v>1.75</v>
      </c>
      <c r="E64" s="145">
        <f>VLOOKUP($A64,'Data shares'!$C:$FA,26)*100</f>
        <v>0.22999999999999998</v>
      </c>
      <c r="F64" s="144">
        <f>VLOOKUP($A64,'Data shares'!$C:$FA,24)</f>
        <v>1.75</v>
      </c>
      <c r="G64" s="144">
        <f>VLOOKUP($A64,'Data shares'!$C:$FA,25)</f>
        <v>0</v>
      </c>
    </row>
    <row r="65" spans="1:7" x14ac:dyDescent="0.25">
      <c r="A65" s="101" t="str">
        <f>'Data shares'!C61</f>
        <v>DMART</v>
      </c>
      <c r="B65" s="144">
        <f>VLOOKUP($A65,'Data shares'!$C:$FA,7)</f>
        <v>4737.8999999999996</v>
      </c>
      <c r="C65" s="144">
        <f>VLOOKUP($A65,'Data shares'!$C:$FA,3)</f>
        <v>4708.7</v>
      </c>
      <c r="D65" s="144">
        <f>VLOOKUP($A65,'Data shares'!$C:$FA,23)</f>
        <v>-29.2</v>
      </c>
      <c r="E65" s="145">
        <f>VLOOKUP($A65,'Data shares'!$C:$FA,26)*100</f>
        <v>-0.62</v>
      </c>
      <c r="F65" s="144">
        <f>VLOOKUP($A65,'Data shares'!$C:$FA,24)</f>
        <v>-22.4</v>
      </c>
      <c r="G65" s="144">
        <f>VLOOKUP($A65,'Data shares'!$C:$FA,25)</f>
        <v>-6.8</v>
      </c>
    </row>
    <row r="66" spans="1:7" x14ac:dyDescent="0.25">
      <c r="A66" s="101" t="str">
        <f>'Data shares'!C62</f>
        <v>DRREDDY</v>
      </c>
      <c r="B66" s="144">
        <f>VLOOKUP($A66,'Data shares'!$C:$FA,7)</f>
        <v>1245.4000000000001</v>
      </c>
      <c r="C66" s="144">
        <f>VLOOKUP($A66,'Data shares'!$C:$FA,3)</f>
        <v>1241.2</v>
      </c>
      <c r="D66" s="144">
        <f>VLOOKUP($A66,'Data shares'!$C:$FA,23)</f>
        <v>-4.2</v>
      </c>
      <c r="E66" s="145">
        <f>VLOOKUP($A66,'Data shares'!$C:$FA,26)*100</f>
        <v>-0.33999999999999997</v>
      </c>
      <c r="F66" s="144">
        <f>VLOOKUP($A66,'Data shares'!$C:$FA,24)</f>
        <v>0.4</v>
      </c>
      <c r="G66" s="144">
        <f>VLOOKUP($A66,'Data shares'!$C:$FA,25)</f>
        <v>-4.5999999999999996</v>
      </c>
    </row>
    <row r="67" spans="1:7" x14ac:dyDescent="0.25">
      <c r="A67" s="101" t="str">
        <f>'Data shares'!C63</f>
        <v>EICHERMOT</v>
      </c>
      <c r="B67" s="144">
        <f>VLOOKUP($A67,'Data shares'!$C:$FA,7)</f>
        <v>5937.5</v>
      </c>
      <c r="C67" s="144">
        <f>VLOOKUP($A67,'Data shares'!$C:$FA,3)</f>
        <v>5948.5</v>
      </c>
      <c r="D67" s="144">
        <f>VLOOKUP($A67,'Data shares'!$C:$FA,23)</f>
        <v>11</v>
      </c>
      <c r="E67" s="145">
        <f>VLOOKUP($A67,'Data shares'!$C:$FA,26)*100</f>
        <v>0.19</v>
      </c>
      <c r="F67" s="144">
        <f>VLOOKUP($A67,'Data shares'!$C:$FA,24)</f>
        <v>20</v>
      </c>
      <c r="G67" s="144">
        <f>VLOOKUP($A67,'Data shares'!$C:$FA,25)</f>
        <v>-9</v>
      </c>
    </row>
    <row r="68" spans="1:7" x14ac:dyDescent="0.25">
      <c r="A68" s="101" t="str">
        <f>'Data shares'!C64</f>
        <v>ETERNAL</v>
      </c>
      <c r="B68" s="144">
        <f>VLOOKUP($A68,'Data shares'!$C:$FA,7)</f>
        <v>326.55</v>
      </c>
      <c r="C68" s="144">
        <f>VLOOKUP($A68,'Data shares'!$C:$FA,3)</f>
        <v>326.3</v>
      </c>
      <c r="D68" s="144">
        <f>VLOOKUP($A68,'Data shares'!$C:$FA,23)</f>
        <v>-0.25</v>
      </c>
      <c r="E68" s="145">
        <f>VLOOKUP($A68,'Data shares'!$C:$FA,26)*100</f>
        <v>-0.08</v>
      </c>
      <c r="F68" s="144">
        <f>VLOOKUP($A68,'Data shares'!$C:$FA,24)</f>
        <v>0.25</v>
      </c>
      <c r="G68" s="144">
        <f>VLOOKUP($A68,'Data shares'!$C:$FA,25)</f>
        <v>-0.5</v>
      </c>
    </row>
    <row r="69" spans="1:7" x14ac:dyDescent="0.25">
      <c r="A69" s="101" t="str">
        <f>'Data shares'!C65</f>
        <v>EXIDEIND</v>
      </c>
      <c r="B69" s="144">
        <f>VLOOKUP($A69,'Data shares'!$C:$FA,7)</f>
        <v>396.3</v>
      </c>
      <c r="C69" s="144">
        <f>VLOOKUP($A69,'Data shares'!$C:$FA,3)</f>
        <v>397.3</v>
      </c>
      <c r="D69" s="144">
        <f>VLOOKUP($A69,'Data shares'!$C:$FA,23)</f>
        <v>1</v>
      </c>
      <c r="E69" s="145">
        <f>VLOOKUP($A69,'Data shares'!$C:$FA,26)*100</f>
        <v>0.25</v>
      </c>
      <c r="F69" s="144">
        <f>VLOOKUP($A69,'Data shares'!$C:$FA,24)</f>
        <v>1.8</v>
      </c>
      <c r="G69" s="144">
        <f>VLOOKUP($A69,'Data shares'!$C:$FA,25)</f>
        <v>-0.8</v>
      </c>
    </row>
    <row r="70" spans="1:7" x14ac:dyDescent="0.25">
      <c r="A70" s="101" t="str">
        <f>'Data shares'!C66</f>
        <v>FEDERALBNK</v>
      </c>
      <c r="B70" s="144">
        <f>VLOOKUP($A70,'Data shares'!$C:$FA,7)</f>
        <v>199.71</v>
      </c>
      <c r="C70" s="144">
        <f>VLOOKUP($A70,'Data shares'!$C:$FA,3)</f>
        <v>199.1</v>
      </c>
      <c r="D70" s="144">
        <f>VLOOKUP($A70,'Data shares'!$C:$FA,23)</f>
        <v>-0.61</v>
      </c>
      <c r="E70" s="145">
        <f>VLOOKUP($A70,'Data shares'!$C:$FA,26)*100</f>
        <v>-0.31</v>
      </c>
      <c r="F70" s="144">
        <f>VLOOKUP($A70,'Data shares'!$C:$FA,24)</f>
        <v>-0.8</v>
      </c>
      <c r="G70" s="144">
        <f>VLOOKUP($A70,'Data shares'!$C:$FA,25)</f>
        <v>0.19</v>
      </c>
    </row>
    <row r="71" spans="1:7" x14ac:dyDescent="0.25">
      <c r="A71" s="101" t="str">
        <f>'Data shares'!C67</f>
        <v>FINNIFTY</v>
      </c>
      <c r="B71" s="144">
        <f>VLOOKUP($A71,'Data shares'!$C:$FA,7)</f>
        <v>26487.8</v>
      </c>
      <c r="C71" s="144">
        <f>VLOOKUP($A71,'Data shares'!$C:$FA,3)</f>
        <v>26549.5</v>
      </c>
      <c r="D71" s="144">
        <f>VLOOKUP($A71,'Data shares'!$C:$FA,23)</f>
        <v>61.7</v>
      </c>
      <c r="E71" s="145">
        <f>VLOOKUP($A71,'Data shares'!$C:$FA,26)*100</f>
        <v>0.22999999999999998</v>
      </c>
      <c r="F71" s="144">
        <f>VLOOKUP($A71,'Data shares'!$C:$FA,24)</f>
        <v>66.099999999999994</v>
      </c>
      <c r="G71" s="144">
        <f>VLOOKUP($A71,'Data shares'!$C:$FA,25)</f>
        <v>-4.4000000000000004</v>
      </c>
    </row>
    <row r="72" spans="1:7" x14ac:dyDescent="0.25">
      <c r="A72" s="101" t="str">
        <f>'Data shares'!C68</f>
        <v>FORTIS</v>
      </c>
      <c r="B72" s="144">
        <f>VLOOKUP($A72,'Data shares'!$C:$FA,7)</f>
        <v>963.95</v>
      </c>
      <c r="C72" s="144">
        <f>VLOOKUP($A72,'Data shares'!$C:$FA,3)</f>
        <v>964.7</v>
      </c>
      <c r="D72" s="144">
        <f>VLOOKUP($A72,'Data shares'!$C:$FA,23)</f>
        <v>0.75</v>
      </c>
      <c r="E72" s="145">
        <f>VLOOKUP($A72,'Data shares'!$C:$FA,26)*100</f>
        <v>0.08</v>
      </c>
      <c r="F72" s="144">
        <f>VLOOKUP($A72,'Data shares'!$C:$FA,24)</f>
        <v>0.8</v>
      </c>
      <c r="G72" s="144">
        <f>VLOOKUP($A72,'Data shares'!$C:$FA,25)</f>
        <v>-0.05</v>
      </c>
    </row>
    <row r="73" spans="1:7" x14ac:dyDescent="0.25">
      <c r="A73" s="101" t="str">
        <f>'Data shares'!C69</f>
        <v>GAIL</v>
      </c>
      <c r="B73" s="144">
        <f>VLOOKUP($A73,'Data shares'!$C:$FA,7)</f>
        <v>178.12</v>
      </c>
      <c r="C73" s="144">
        <f>VLOOKUP($A73,'Data shares'!$C:$FA,3)</f>
        <v>178.17</v>
      </c>
      <c r="D73" s="144">
        <f>VLOOKUP($A73,'Data shares'!$C:$FA,23)</f>
        <v>0.05</v>
      </c>
      <c r="E73" s="145">
        <f>VLOOKUP($A73,'Data shares'!$C:$FA,26)*100</f>
        <v>0.03</v>
      </c>
      <c r="F73" s="144">
        <f>VLOOKUP($A73,'Data shares'!$C:$FA,24)</f>
        <v>0.64</v>
      </c>
      <c r="G73" s="144">
        <f>VLOOKUP($A73,'Data shares'!$C:$FA,25)</f>
        <v>-0.59</v>
      </c>
    </row>
    <row r="74" spans="1:7" x14ac:dyDescent="0.25">
      <c r="A74" s="101" t="str">
        <f>'Data shares'!C70</f>
        <v>GLENMARK</v>
      </c>
      <c r="B74" s="144">
        <f>VLOOKUP($A74,'Data shares'!$C:$FA,7)</f>
        <v>1924</v>
      </c>
      <c r="C74" s="144">
        <f>VLOOKUP($A74,'Data shares'!$C:$FA,3)</f>
        <v>1929.5</v>
      </c>
      <c r="D74" s="144">
        <f>VLOOKUP($A74,'Data shares'!$C:$FA,23)</f>
        <v>5.5</v>
      </c>
      <c r="E74" s="145">
        <f>VLOOKUP($A74,'Data shares'!$C:$FA,26)*100</f>
        <v>0.28999999999999998</v>
      </c>
      <c r="F74" s="144">
        <f>VLOOKUP($A74,'Data shares'!$C:$FA,24)</f>
        <v>4</v>
      </c>
      <c r="G74" s="144">
        <f>VLOOKUP($A74,'Data shares'!$C:$FA,25)</f>
        <v>1.5</v>
      </c>
    </row>
    <row r="75" spans="1:7" x14ac:dyDescent="0.25">
      <c r="A75" s="101" t="str">
        <f>'Data shares'!C71</f>
        <v>GMRAIRPORT</v>
      </c>
      <c r="B75" s="144">
        <f>VLOOKUP($A75,'Data shares'!$C:$FA,7)</f>
        <v>91.01</v>
      </c>
      <c r="C75" s="144">
        <f>VLOOKUP($A75,'Data shares'!$C:$FA,3)</f>
        <v>91.28</v>
      </c>
      <c r="D75" s="144">
        <f>VLOOKUP($A75,'Data shares'!$C:$FA,23)</f>
        <v>0.27</v>
      </c>
      <c r="E75" s="145">
        <f>VLOOKUP($A75,'Data shares'!$C:$FA,26)*100</f>
        <v>0.3</v>
      </c>
      <c r="F75" s="144">
        <f>VLOOKUP($A75,'Data shares'!$C:$FA,24)</f>
        <v>0.33</v>
      </c>
      <c r="G75" s="144">
        <f>VLOOKUP($A75,'Data shares'!$C:$FA,25)</f>
        <v>-0.06</v>
      </c>
    </row>
    <row r="76" spans="1:7" x14ac:dyDescent="0.25">
      <c r="A76" s="101" t="str">
        <f>'Data shares'!C72</f>
        <v>GODREJCP</v>
      </c>
      <c r="B76" s="144">
        <f>VLOOKUP($A76,'Data shares'!$C:$FA,7)</f>
        <v>1246.9000000000001</v>
      </c>
      <c r="C76" s="144">
        <f>VLOOKUP($A76,'Data shares'!$C:$FA,3)</f>
        <v>1250.5999999999999</v>
      </c>
      <c r="D76" s="144">
        <f>VLOOKUP($A76,'Data shares'!$C:$FA,23)</f>
        <v>3.7</v>
      </c>
      <c r="E76" s="145">
        <f>VLOOKUP($A76,'Data shares'!$C:$FA,26)*100</f>
        <v>0.3</v>
      </c>
      <c r="F76" s="144">
        <f>VLOOKUP($A76,'Data shares'!$C:$FA,24)</f>
        <v>4.4000000000000004</v>
      </c>
      <c r="G76" s="144">
        <f>VLOOKUP($A76,'Data shares'!$C:$FA,25)</f>
        <v>-0.7</v>
      </c>
    </row>
    <row r="77" spans="1:7" x14ac:dyDescent="0.25">
      <c r="A77" s="101" t="str">
        <f>'Data shares'!C73</f>
        <v>GODREJPROP</v>
      </c>
      <c r="B77" s="144">
        <f>VLOOKUP($A77,'Data shares'!$C:$FA,7)</f>
        <v>2041.8</v>
      </c>
      <c r="C77" s="144">
        <f>VLOOKUP($A77,'Data shares'!$C:$FA,3)</f>
        <v>2041.6</v>
      </c>
      <c r="D77" s="144">
        <f>VLOOKUP($A77,'Data shares'!$C:$FA,23)</f>
        <v>-0.2</v>
      </c>
      <c r="E77" s="145">
        <f>VLOOKUP($A77,'Data shares'!$C:$FA,26)*100</f>
        <v>-0.01</v>
      </c>
      <c r="F77" s="144">
        <f>VLOOKUP($A77,'Data shares'!$C:$FA,24)</f>
        <v>7</v>
      </c>
      <c r="G77" s="144">
        <f>VLOOKUP($A77,'Data shares'!$C:$FA,25)</f>
        <v>-7.2</v>
      </c>
    </row>
    <row r="78" spans="1:7" x14ac:dyDescent="0.25">
      <c r="A78" s="101" t="str">
        <f>'Data shares'!C74</f>
        <v>GRANULES</v>
      </c>
      <c r="B78" s="144">
        <f>VLOOKUP($A78,'Data shares'!$C:$FA,7)</f>
        <v>461.35</v>
      </c>
      <c r="C78" s="144">
        <f>VLOOKUP($A78,'Data shares'!$C:$FA,3)</f>
        <v>461.4</v>
      </c>
      <c r="D78" s="144">
        <f>VLOOKUP($A78,'Data shares'!$C:$FA,23)</f>
        <v>0.05</v>
      </c>
      <c r="E78" s="145">
        <f>VLOOKUP($A78,'Data shares'!$C:$FA,26)*100</f>
        <v>0.01</v>
      </c>
      <c r="F78" s="144">
        <f>VLOOKUP($A78,'Data shares'!$C:$FA,24)</f>
        <v>1.25</v>
      </c>
      <c r="G78" s="144">
        <f>VLOOKUP($A78,'Data shares'!$C:$FA,25)</f>
        <v>-1.2</v>
      </c>
    </row>
    <row r="79" spans="1:7" x14ac:dyDescent="0.25">
      <c r="A79" s="101" t="str">
        <f>'Data shares'!C75</f>
        <v>GRASIM</v>
      </c>
      <c r="B79" s="144">
        <f>VLOOKUP($A79,'Data shares'!$C:$FA,7)</f>
        <v>2864.9</v>
      </c>
      <c r="C79" s="144">
        <f>VLOOKUP($A79,'Data shares'!$C:$FA,3)</f>
        <v>2870.2</v>
      </c>
      <c r="D79" s="144">
        <f>VLOOKUP($A79,'Data shares'!$C:$FA,23)</f>
        <v>5.3</v>
      </c>
      <c r="E79" s="145">
        <f>VLOOKUP($A79,'Data shares'!$C:$FA,26)*100</f>
        <v>0.18</v>
      </c>
      <c r="F79" s="144">
        <f>VLOOKUP($A79,'Data shares'!$C:$FA,24)</f>
        <v>2.7</v>
      </c>
      <c r="G79" s="144">
        <f>VLOOKUP($A79,'Data shares'!$C:$FA,25)</f>
        <v>2.6</v>
      </c>
    </row>
    <row r="80" spans="1:7" x14ac:dyDescent="0.25">
      <c r="A80" s="101" t="str">
        <f>'Data shares'!C76</f>
        <v>HAL</v>
      </c>
      <c r="B80" s="144">
        <f>VLOOKUP($A80,'Data shares'!$C:$FA,7)</f>
        <v>4468.3999999999996</v>
      </c>
      <c r="C80" s="144">
        <f>VLOOKUP($A80,'Data shares'!$C:$FA,3)</f>
        <v>4456</v>
      </c>
      <c r="D80" s="144">
        <f>VLOOKUP($A80,'Data shares'!$C:$FA,23)</f>
        <v>-12.4</v>
      </c>
      <c r="E80" s="145">
        <f>VLOOKUP($A80,'Data shares'!$C:$FA,26)*100</f>
        <v>-0.27999999999999997</v>
      </c>
      <c r="F80" s="144">
        <f>VLOOKUP($A80,'Data shares'!$C:$FA,24)</f>
        <v>-8.6999999999999993</v>
      </c>
      <c r="G80" s="144">
        <f>VLOOKUP($A80,'Data shares'!$C:$FA,25)</f>
        <v>-3.7</v>
      </c>
    </row>
    <row r="81" spans="1:7" x14ac:dyDescent="0.25">
      <c r="A81" s="101" t="str">
        <f>'Data shares'!C77</f>
        <v>HAVELLS</v>
      </c>
      <c r="B81" s="144">
        <f>VLOOKUP($A81,'Data shares'!$C:$FA,7)</f>
        <v>1567.9</v>
      </c>
      <c r="C81" s="144">
        <f>VLOOKUP($A81,'Data shares'!$C:$FA,3)</f>
        <v>1565.6</v>
      </c>
      <c r="D81" s="144">
        <f>VLOOKUP($A81,'Data shares'!$C:$FA,23)</f>
        <v>-2.2999999999999998</v>
      </c>
      <c r="E81" s="145">
        <f>VLOOKUP($A81,'Data shares'!$C:$FA,26)*100</f>
        <v>-0.15</v>
      </c>
      <c r="F81" s="144">
        <f>VLOOKUP($A81,'Data shares'!$C:$FA,24)</f>
        <v>0.2</v>
      </c>
      <c r="G81" s="144">
        <f>VLOOKUP($A81,'Data shares'!$C:$FA,25)</f>
        <v>-2.5</v>
      </c>
    </row>
    <row r="82" spans="1:7" x14ac:dyDescent="0.25">
      <c r="A82" s="101" t="str">
        <f>'Data shares'!C78</f>
        <v>HCLTECH</v>
      </c>
      <c r="B82" s="144">
        <f>VLOOKUP($A82,'Data shares'!$C:$FA,7)</f>
        <v>1496</v>
      </c>
      <c r="C82" s="144">
        <f>VLOOKUP($A82,'Data shares'!$C:$FA,3)</f>
        <v>1499.2</v>
      </c>
      <c r="D82" s="144">
        <f>VLOOKUP($A82,'Data shares'!$C:$FA,23)</f>
        <v>3.2</v>
      </c>
      <c r="E82" s="145">
        <f>VLOOKUP($A82,'Data shares'!$C:$FA,26)*100</f>
        <v>0.21</v>
      </c>
      <c r="F82" s="144">
        <f>VLOOKUP($A82,'Data shares'!$C:$FA,24)</f>
        <v>5.3</v>
      </c>
      <c r="G82" s="144">
        <f>VLOOKUP($A82,'Data shares'!$C:$FA,25)</f>
        <v>-2.1</v>
      </c>
    </row>
    <row r="83" spans="1:7" x14ac:dyDescent="0.25">
      <c r="A83" s="101" t="str">
        <f>'Data shares'!C79</f>
        <v>HDFCAMC</v>
      </c>
      <c r="B83" s="144">
        <f>VLOOKUP($A83,'Data shares'!$C:$FA,7)</f>
        <v>5709.5</v>
      </c>
      <c r="C83" s="144">
        <f>VLOOKUP($A83,'Data shares'!$C:$FA,3)</f>
        <v>5707</v>
      </c>
      <c r="D83" s="144">
        <f>VLOOKUP($A83,'Data shares'!$C:$FA,23)</f>
        <v>-2.5</v>
      </c>
      <c r="E83" s="145">
        <f>VLOOKUP($A83,'Data shares'!$C:$FA,26)*100</f>
        <v>-0.04</v>
      </c>
      <c r="F83" s="144">
        <f>VLOOKUP($A83,'Data shares'!$C:$FA,24)</f>
        <v>5.5</v>
      </c>
      <c r="G83" s="144">
        <f>VLOOKUP($A83,'Data shares'!$C:$FA,25)</f>
        <v>-8</v>
      </c>
    </row>
    <row r="84" spans="1:7" x14ac:dyDescent="0.25">
      <c r="A84" s="101" t="str">
        <f>'Data shares'!C80</f>
        <v>HDFCBANK</v>
      </c>
      <c r="B84" s="144">
        <f>VLOOKUP($A84,'Data shares'!$C:$FA,7)</f>
        <v>1988.2</v>
      </c>
      <c r="C84" s="144">
        <f>VLOOKUP($A84,'Data shares'!$C:$FA,3)</f>
        <v>1990.8</v>
      </c>
      <c r="D84" s="144">
        <f>VLOOKUP($A84,'Data shares'!$C:$FA,23)</f>
        <v>2.6</v>
      </c>
      <c r="E84" s="145">
        <f>VLOOKUP($A84,'Data shares'!$C:$FA,26)*100</f>
        <v>0.13</v>
      </c>
      <c r="F84" s="144">
        <f>VLOOKUP($A84,'Data shares'!$C:$FA,24)</f>
        <v>3.8</v>
      </c>
      <c r="G84" s="144">
        <f>VLOOKUP($A84,'Data shares'!$C:$FA,25)</f>
        <v>-1.2</v>
      </c>
    </row>
    <row r="85" spans="1:7" x14ac:dyDescent="0.25">
      <c r="A85" s="101" t="str">
        <f>'Data shares'!C81</f>
        <v>HDFCLIFE</v>
      </c>
      <c r="B85" s="144">
        <f>VLOOKUP($A85,'Data shares'!$C:$FA,7)</f>
        <v>796.55</v>
      </c>
      <c r="C85" s="144">
        <f>VLOOKUP($A85,'Data shares'!$C:$FA,3)</f>
        <v>796.6</v>
      </c>
      <c r="D85" s="144">
        <f>VLOOKUP($A85,'Data shares'!$C:$FA,23)</f>
        <v>0.05</v>
      </c>
      <c r="E85" s="145">
        <f>VLOOKUP($A85,'Data shares'!$C:$FA,26)*100</f>
        <v>0.01</v>
      </c>
      <c r="F85" s="144">
        <f>VLOOKUP($A85,'Data shares'!$C:$FA,24)</f>
        <v>2.35</v>
      </c>
      <c r="G85" s="144">
        <f>VLOOKUP($A85,'Data shares'!$C:$FA,25)</f>
        <v>-2.2999999999999998</v>
      </c>
    </row>
    <row r="86" spans="1:7" x14ac:dyDescent="0.25">
      <c r="A86" s="101" t="str">
        <f>'Data shares'!C82</f>
        <v>HEROMOTOCO</v>
      </c>
      <c r="B86" s="144">
        <f>VLOOKUP($A86,'Data shares'!$C:$FA,7)</f>
        <v>5136</v>
      </c>
      <c r="C86" s="144">
        <f>VLOOKUP($A86,'Data shares'!$C:$FA,3)</f>
        <v>5127.3999999999996</v>
      </c>
      <c r="D86" s="144">
        <f>VLOOKUP($A86,'Data shares'!$C:$FA,23)</f>
        <v>-8.6</v>
      </c>
      <c r="E86" s="145">
        <f>VLOOKUP($A86,'Data shares'!$C:$FA,26)*100</f>
        <v>-0.16999999999999998</v>
      </c>
      <c r="F86" s="144">
        <f>VLOOKUP($A86,'Data shares'!$C:$FA,24)</f>
        <v>7.6</v>
      </c>
      <c r="G86" s="144">
        <f>VLOOKUP($A86,'Data shares'!$C:$FA,25)</f>
        <v>-16.2</v>
      </c>
    </row>
    <row r="87" spans="1:7" x14ac:dyDescent="0.25">
      <c r="A87" s="101" t="str">
        <f>'Data shares'!C83</f>
        <v>HFCL</v>
      </c>
      <c r="B87" s="144">
        <f>VLOOKUP($A87,'Data shares'!$C:$FA,7)</f>
        <v>75.27</v>
      </c>
      <c r="C87" s="144">
        <f>VLOOKUP($A87,'Data shares'!$C:$FA,3)</f>
        <v>75.36</v>
      </c>
      <c r="D87" s="144">
        <f>VLOOKUP($A87,'Data shares'!$C:$FA,23)</f>
        <v>0.09</v>
      </c>
      <c r="E87" s="145">
        <f>VLOOKUP($A87,'Data shares'!$C:$FA,26)*100</f>
        <v>0.12</v>
      </c>
      <c r="F87" s="144">
        <f>VLOOKUP($A87,'Data shares'!$C:$FA,24)</f>
        <v>0.38</v>
      </c>
      <c r="G87" s="144">
        <f>VLOOKUP($A87,'Data shares'!$C:$FA,25)</f>
        <v>-0.28999999999999998</v>
      </c>
    </row>
    <row r="88" spans="1:7" x14ac:dyDescent="0.25">
      <c r="A88" s="101" t="str">
        <f>'Data shares'!C84</f>
        <v>HINDALCO</v>
      </c>
      <c r="B88" s="144">
        <f>VLOOKUP($A88,'Data shares'!$C:$FA,7)</f>
        <v>700.85</v>
      </c>
      <c r="C88" s="144">
        <f>VLOOKUP($A88,'Data shares'!$C:$FA,3)</f>
        <v>702.15</v>
      </c>
      <c r="D88" s="144">
        <f>VLOOKUP($A88,'Data shares'!$C:$FA,23)</f>
        <v>1.3</v>
      </c>
      <c r="E88" s="145">
        <f>VLOOKUP($A88,'Data shares'!$C:$FA,26)*100</f>
        <v>0.19</v>
      </c>
      <c r="F88" s="144">
        <f>VLOOKUP($A88,'Data shares'!$C:$FA,24)</f>
        <v>2.4</v>
      </c>
      <c r="G88" s="144">
        <f>VLOOKUP($A88,'Data shares'!$C:$FA,25)</f>
        <v>-1.1000000000000001</v>
      </c>
    </row>
    <row r="89" spans="1:7" x14ac:dyDescent="0.25">
      <c r="A89" s="101" t="str">
        <f>'Data shares'!C85</f>
        <v>HINDPETRO</v>
      </c>
      <c r="B89" s="144">
        <f>VLOOKUP($A89,'Data shares'!$C:$FA,7)</f>
        <v>390.8</v>
      </c>
      <c r="C89" s="144">
        <f>VLOOKUP($A89,'Data shares'!$C:$FA,3)</f>
        <v>391.75</v>
      </c>
      <c r="D89" s="144">
        <f>VLOOKUP($A89,'Data shares'!$C:$FA,23)</f>
        <v>0.95</v>
      </c>
      <c r="E89" s="145">
        <f>VLOOKUP($A89,'Data shares'!$C:$FA,26)*100</f>
        <v>0.24</v>
      </c>
      <c r="F89" s="144">
        <f>VLOOKUP($A89,'Data shares'!$C:$FA,24)</f>
        <v>0.75</v>
      </c>
      <c r="G89" s="144">
        <f>VLOOKUP($A89,'Data shares'!$C:$FA,25)</f>
        <v>0.2</v>
      </c>
    </row>
    <row r="90" spans="1:7" x14ac:dyDescent="0.25">
      <c r="A90" s="101" t="str">
        <f>'Data shares'!C86</f>
        <v>HINDUNILVR</v>
      </c>
      <c r="B90" s="144">
        <f>VLOOKUP($A90,'Data shares'!$C:$FA,7)</f>
        <v>2669.8</v>
      </c>
      <c r="C90" s="144">
        <f>VLOOKUP($A90,'Data shares'!$C:$FA,3)</f>
        <v>2670.8</v>
      </c>
      <c r="D90" s="144">
        <f>VLOOKUP($A90,'Data shares'!$C:$FA,23)</f>
        <v>1</v>
      </c>
      <c r="E90" s="145">
        <f>VLOOKUP($A90,'Data shares'!$C:$FA,26)*100</f>
        <v>0.04</v>
      </c>
      <c r="F90" s="144">
        <f>VLOOKUP($A90,'Data shares'!$C:$FA,24)</f>
        <v>1.6</v>
      </c>
      <c r="G90" s="144">
        <f>VLOOKUP($A90,'Data shares'!$C:$FA,25)</f>
        <v>-0.6</v>
      </c>
    </row>
    <row r="91" spans="1:7" x14ac:dyDescent="0.25">
      <c r="A91" s="101" t="str">
        <f>'Data shares'!C87</f>
        <v>HINDZINC</v>
      </c>
      <c r="B91" s="144">
        <f>VLOOKUP($A91,'Data shares'!$C:$FA,7)</f>
        <v>430</v>
      </c>
      <c r="C91" s="144">
        <f>VLOOKUP($A91,'Data shares'!$C:$FA,3)</f>
        <v>430.4</v>
      </c>
      <c r="D91" s="144">
        <f>VLOOKUP($A91,'Data shares'!$C:$FA,23)</f>
        <v>0.4</v>
      </c>
      <c r="E91" s="145">
        <f>VLOOKUP($A91,'Data shares'!$C:$FA,26)*100</f>
        <v>0.09</v>
      </c>
      <c r="F91" s="144">
        <f>VLOOKUP($A91,'Data shares'!$C:$FA,24)</f>
        <v>1.1000000000000001</v>
      </c>
      <c r="G91" s="144">
        <f>VLOOKUP($A91,'Data shares'!$C:$FA,25)</f>
        <v>-0.7</v>
      </c>
    </row>
    <row r="92" spans="1:7" x14ac:dyDescent="0.25">
      <c r="A92" s="101" t="str">
        <f>'Data shares'!C88</f>
        <v>HUDCO</v>
      </c>
      <c r="B92" s="144">
        <f>VLOOKUP($A92,'Data shares'!$C:$FA,7)</f>
        <v>214.39</v>
      </c>
      <c r="C92" s="144">
        <f>VLOOKUP($A92,'Data shares'!$C:$FA,3)</f>
        <v>214.29</v>
      </c>
      <c r="D92" s="144">
        <f>VLOOKUP($A92,'Data shares'!$C:$FA,23)</f>
        <v>-0.1</v>
      </c>
      <c r="E92" s="145">
        <f>VLOOKUP($A92,'Data shares'!$C:$FA,26)*100</f>
        <v>-0.05</v>
      </c>
      <c r="F92" s="144">
        <f>VLOOKUP($A92,'Data shares'!$C:$FA,24)</f>
        <v>0.41</v>
      </c>
      <c r="G92" s="144">
        <f>VLOOKUP($A92,'Data shares'!$C:$FA,25)</f>
        <v>-0.51</v>
      </c>
    </row>
    <row r="93" spans="1:7" x14ac:dyDescent="0.25">
      <c r="A93" s="101" t="str">
        <f>'Data shares'!C89</f>
        <v>ICICIBANK</v>
      </c>
      <c r="B93" s="144">
        <f>VLOOKUP($A93,'Data shares'!$C:$FA,7)</f>
        <v>1430.6</v>
      </c>
      <c r="C93" s="144">
        <f>VLOOKUP($A93,'Data shares'!$C:$FA,3)</f>
        <v>1431.1</v>
      </c>
      <c r="D93" s="144">
        <f>VLOOKUP($A93,'Data shares'!$C:$FA,23)</f>
        <v>0.5</v>
      </c>
      <c r="E93" s="145">
        <f>VLOOKUP($A93,'Data shares'!$C:$FA,26)*100</f>
        <v>0.03</v>
      </c>
      <c r="F93" s="144">
        <f>VLOOKUP($A93,'Data shares'!$C:$FA,24)</f>
        <v>1</v>
      </c>
      <c r="G93" s="144">
        <f>VLOOKUP($A93,'Data shares'!$C:$FA,25)</f>
        <v>-0.5</v>
      </c>
    </row>
    <row r="94" spans="1:7" x14ac:dyDescent="0.25">
      <c r="A94" s="101" t="str">
        <f>'Data shares'!C90</f>
        <v>ICICIGI</v>
      </c>
      <c r="B94" s="144">
        <f>VLOOKUP($A94,'Data shares'!$C:$FA,7)</f>
        <v>1968.5</v>
      </c>
      <c r="C94" s="144">
        <f>VLOOKUP($A94,'Data shares'!$C:$FA,3)</f>
        <v>1975.2</v>
      </c>
      <c r="D94" s="144">
        <f>VLOOKUP($A94,'Data shares'!$C:$FA,23)</f>
        <v>6.7</v>
      </c>
      <c r="E94" s="145">
        <f>VLOOKUP($A94,'Data shares'!$C:$FA,26)*100</f>
        <v>0.33999999999999997</v>
      </c>
      <c r="F94" s="144">
        <f>VLOOKUP($A94,'Data shares'!$C:$FA,24)</f>
        <v>0.3</v>
      </c>
      <c r="G94" s="144">
        <f>VLOOKUP($A94,'Data shares'!$C:$FA,25)</f>
        <v>6.4</v>
      </c>
    </row>
    <row r="95" spans="1:7" x14ac:dyDescent="0.25">
      <c r="A95" s="101" t="str">
        <f>'Data shares'!C91</f>
        <v>ICICIPRULI</v>
      </c>
      <c r="B95" s="144">
        <f>VLOOKUP($A95,'Data shares'!$C:$FA,7)</f>
        <v>632.04999999999995</v>
      </c>
      <c r="C95" s="144">
        <f>VLOOKUP($A95,'Data shares'!$C:$FA,3)</f>
        <v>634.04999999999995</v>
      </c>
      <c r="D95" s="144">
        <f>VLOOKUP($A95,'Data shares'!$C:$FA,23)</f>
        <v>2</v>
      </c>
      <c r="E95" s="145">
        <f>VLOOKUP($A95,'Data shares'!$C:$FA,26)*100</f>
        <v>0.32</v>
      </c>
      <c r="F95" s="144">
        <f>VLOOKUP($A95,'Data shares'!$C:$FA,24)</f>
        <v>0.65</v>
      </c>
      <c r="G95" s="144">
        <f>VLOOKUP($A95,'Data shares'!$C:$FA,25)</f>
        <v>1.35</v>
      </c>
    </row>
    <row r="96" spans="1:7" x14ac:dyDescent="0.25">
      <c r="A96" s="101" t="str">
        <f>'Data shares'!C92</f>
        <v>IDEA</v>
      </c>
      <c r="B96" s="144">
        <f>VLOOKUP($A96,'Data shares'!$C:$FA,7)</f>
        <v>6.79</v>
      </c>
      <c r="C96" s="144">
        <f>VLOOKUP($A96,'Data shares'!$C:$FA,3)</f>
        <v>6.79</v>
      </c>
      <c r="D96" s="144">
        <f>VLOOKUP($A96,'Data shares'!$C:$FA,23)</f>
        <v>0</v>
      </c>
      <c r="E96" s="145">
        <f>VLOOKUP($A96,'Data shares'!$C:$FA,26)*100</f>
        <v>0</v>
      </c>
      <c r="F96" s="144">
        <f>VLOOKUP($A96,'Data shares'!$C:$FA,24)</f>
        <v>0.02</v>
      </c>
      <c r="G96" s="144">
        <f>VLOOKUP($A96,'Data shares'!$C:$FA,25)</f>
        <v>-0.02</v>
      </c>
    </row>
    <row r="97" spans="1:7" x14ac:dyDescent="0.25">
      <c r="A97" s="101" t="str">
        <f>'Data shares'!C93</f>
        <v>IDFCFIRSTB</v>
      </c>
      <c r="B97" s="144">
        <f>VLOOKUP($A97,'Data shares'!$C:$FA,7)</f>
        <v>71.25</v>
      </c>
      <c r="C97" s="144">
        <f>VLOOKUP($A97,'Data shares'!$C:$FA,3)</f>
        <v>71.27</v>
      </c>
      <c r="D97" s="144">
        <f>VLOOKUP($A97,'Data shares'!$C:$FA,23)</f>
        <v>0.02</v>
      </c>
      <c r="E97" s="145">
        <f>VLOOKUP($A97,'Data shares'!$C:$FA,26)*100</f>
        <v>0.03</v>
      </c>
      <c r="F97" s="144">
        <f>VLOOKUP($A97,'Data shares'!$C:$FA,24)</f>
        <v>0.2</v>
      </c>
      <c r="G97" s="144">
        <f>VLOOKUP($A97,'Data shares'!$C:$FA,25)</f>
        <v>-0.18</v>
      </c>
    </row>
    <row r="98" spans="1:7" x14ac:dyDescent="0.25">
      <c r="A98" s="101" t="str">
        <f>'Data shares'!C94</f>
        <v>IEX</v>
      </c>
      <c r="B98" s="144">
        <f>VLOOKUP($A98,'Data shares'!$C:$FA,7)</f>
        <v>143.15</v>
      </c>
      <c r="C98" s="144">
        <f>VLOOKUP($A98,'Data shares'!$C:$FA,3)</f>
        <v>143.63999999999999</v>
      </c>
      <c r="D98" s="144">
        <f>VLOOKUP($A98,'Data shares'!$C:$FA,23)</f>
        <v>0.49</v>
      </c>
      <c r="E98" s="145">
        <f>VLOOKUP($A98,'Data shares'!$C:$FA,26)*100</f>
        <v>0.33999999999999997</v>
      </c>
      <c r="F98" s="144">
        <f>VLOOKUP($A98,'Data shares'!$C:$FA,24)</f>
        <v>0.61</v>
      </c>
      <c r="G98" s="144">
        <f>VLOOKUP($A98,'Data shares'!$C:$FA,25)</f>
        <v>-0.12</v>
      </c>
    </row>
    <row r="99" spans="1:7" x14ac:dyDescent="0.25">
      <c r="A99" s="101" t="str">
        <f>'Data shares'!C95</f>
        <v>IGL</v>
      </c>
      <c r="B99" s="144">
        <f>VLOOKUP($A99,'Data shares'!$C:$FA,7)</f>
        <v>205.23</v>
      </c>
      <c r="C99" s="144">
        <f>VLOOKUP($A99,'Data shares'!$C:$FA,3)</f>
        <v>205.82</v>
      </c>
      <c r="D99" s="144">
        <f>VLOOKUP($A99,'Data shares'!$C:$FA,23)</f>
        <v>0.59</v>
      </c>
      <c r="E99" s="145">
        <f>VLOOKUP($A99,'Data shares'!$C:$FA,26)*100</f>
        <v>0.28999999999999998</v>
      </c>
      <c r="F99" s="144">
        <f>VLOOKUP($A99,'Data shares'!$C:$FA,24)</f>
        <v>0.27</v>
      </c>
      <c r="G99" s="144">
        <f>VLOOKUP($A99,'Data shares'!$C:$FA,25)</f>
        <v>0.32</v>
      </c>
    </row>
    <row r="100" spans="1:7" x14ac:dyDescent="0.25">
      <c r="A100" s="101" t="str">
        <f>'Data shares'!C96</f>
        <v>IIFL</v>
      </c>
      <c r="B100" s="144">
        <f>VLOOKUP($A100,'Data shares'!$C:$FA,7)</f>
        <v>471.5</v>
      </c>
      <c r="C100" s="144">
        <f>VLOOKUP($A100,'Data shares'!$C:$FA,3)</f>
        <v>471.55</v>
      </c>
      <c r="D100" s="144">
        <f>VLOOKUP($A100,'Data shares'!$C:$FA,23)</f>
        <v>0.05</v>
      </c>
      <c r="E100" s="145">
        <f>VLOOKUP($A100,'Data shares'!$C:$FA,26)*100</f>
        <v>0.01</v>
      </c>
      <c r="F100" s="144">
        <f>VLOOKUP($A100,'Data shares'!$C:$FA,24)</f>
        <v>0.35</v>
      </c>
      <c r="G100" s="144">
        <f>VLOOKUP($A100,'Data shares'!$C:$FA,25)</f>
        <v>-0.3</v>
      </c>
    </row>
    <row r="101" spans="1:7" x14ac:dyDescent="0.25">
      <c r="A101" s="101" t="str">
        <f>'Data shares'!C97</f>
        <v>INDHOTEL</v>
      </c>
      <c r="B101" s="144">
        <f>VLOOKUP($A101,'Data shares'!$C:$FA,7)</f>
        <v>806.8</v>
      </c>
      <c r="C101" s="144">
        <f>VLOOKUP($A101,'Data shares'!$C:$FA,3)</f>
        <v>807.4</v>
      </c>
      <c r="D101" s="144">
        <f>VLOOKUP($A101,'Data shares'!$C:$FA,23)</f>
        <v>0.6</v>
      </c>
      <c r="E101" s="145">
        <f>VLOOKUP($A101,'Data shares'!$C:$FA,26)*100</f>
        <v>6.9999999999999993E-2</v>
      </c>
      <c r="F101" s="144">
        <f>VLOOKUP($A101,'Data shares'!$C:$FA,24)</f>
        <v>2.4500000000000002</v>
      </c>
      <c r="G101" s="144">
        <f>VLOOKUP($A101,'Data shares'!$C:$FA,25)</f>
        <v>-1.85</v>
      </c>
    </row>
    <row r="102" spans="1:7" x14ac:dyDescent="0.25">
      <c r="A102" s="101" t="str">
        <f>'Data shares'!C98</f>
        <v>INDIANB</v>
      </c>
      <c r="B102" s="144">
        <f>VLOOKUP($A102,'Data shares'!$C:$FA,7)</f>
        <v>670.05</v>
      </c>
      <c r="C102" s="144">
        <f>VLOOKUP($A102,'Data shares'!$C:$FA,3)</f>
        <v>671.5</v>
      </c>
      <c r="D102" s="144">
        <f>VLOOKUP($A102,'Data shares'!$C:$FA,23)</f>
        <v>1.45</v>
      </c>
      <c r="E102" s="145">
        <f>VLOOKUP($A102,'Data shares'!$C:$FA,26)*100</f>
        <v>0.22</v>
      </c>
      <c r="F102" s="144">
        <f>VLOOKUP($A102,'Data shares'!$C:$FA,24)</f>
        <v>1.35</v>
      </c>
      <c r="G102" s="144">
        <f>VLOOKUP($A102,'Data shares'!$C:$FA,25)</f>
        <v>0.1</v>
      </c>
    </row>
    <row r="103" spans="1:7" x14ac:dyDescent="0.25">
      <c r="A103" s="101" t="str">
        <f>'Data shares'!C99</f>
        <v>INDIAVIX</v>
      </c>
      <c r="B103" s="144">
        <f>VLOOKUP($A103,'Data shares'!$C:$FA,7)</f>
        <v>11.79</v>
      </c>
      <c r="C103" s="144">
        <f>VLOOKUP($A103,'Data shares'!$C:$FA,3)</f>
        <v>11.79</v>
      </c>
      <c r="D103" s="144">
        <f>VLOOKUP($A103,'Data shares'!$C:$FA,23)</f>
        <v>0</v>
      </c>
      <c r="E103" s="145">
        <f>VLOOKUP($A103,'Data shares'!$C:$FA,26)*100</f>
        <v>0</v>
      </c>
      <c r="F103" s="144">
        <f>VLOOKUP($A103,'Data shares'!$C:$FA,24)</f>
        <v>0</v>
      </c>
      <c r="G103" s="144">
        <f>VLOOKUP($A103,'Data shares'!$C:$FA,25)</f>
        <v>0</v>
      </c>
    </row>
    <row r="104" spans="1:7" x14ac:dyDescent="0.25">
      <c r="A104" s="101" t="str">
        <f>'Data shares'!C100</f>
        <v>INDIGO</v>
      </c>
      <c r="B104" s="144">
        <f>VLOOKUP($A104,'Data shares'!$C:$FA,7)</f>
        <v>6155.5</v>
      </c>
      <c r="C104" s="144">
        <f>VLOOKUP($A104,'Data shares'!$C:$FA,3)</f>
        <v>6145</v>
      </c>
      <c r="D104" s="144">
        <f>VLOOKUP($A104,'Data shares'!$C:$FA,23)</f>
        <v>-10.5</v>
      </c>
      <c r="E104" s="145">
        <f>VLOOKUP($A104,'Data shares'!$C:$FA,26)*100</f>
        <v>-0.16999999999999998</v>
      </c>
      <c r="F104" s="144">
        <f>VLOOKUP($A104,'Data shares'!$C:$FA,24)</f>
        <v>10</v>
      </c>
      <c r="G104" s="144">
        <f>VLOOKUP($A104,'Data shares'!$C:$FA,25)</f>
        <v>-20.5</v>
      </c>
    </row>
    <row r="105" spans="1:7" x14ac:dyDescent="0.25">
      <c r="A105" s="101" t="str">
        <f>'Data shares'!C101</f>
        <v>INDUSINDBK</v>
      </c>
      <c r="B105" s="144">
        <f>VLOOKUP($A105,'Data shares'!$C:$FA,7)</f>
        <v>778.2</v>
      </c>
      <c r="C105" s="144">
        <f>VLOOKUP($A105,'Data shares'!$C:$FA,3)</f>
        <v>780.1</v>
      </c>
      <c r="D105" s="144">
        <f>VLOOKUP($A105,'Data shares'!$C:$FA,23)</f>
        <v>1.9</v>
      </c>
      <c r="E105" s="145">
        <f>VLOOKUP($A105,'Data shares'!$C:$FA,26)*100</f>
        <v>0.24</v>
      </c>
      <c r="F105" s="144">
        <f>VLOOKUP($A105,'Data shares'!$C:$FA,24)</f>
        <v>0.85</v>
      </c>
      <c r="G105" s="144">
        <f>VLOOKUP($A105,'Data shares'!$C:$FA,25)</f>
        <v>1.05</v>
      </c>
    </row>
    <row r="106" spans="1:7" x14ac:dyDescent="0.25">
      <c r="A106" s="101" t="str">
        <f>'Data shares'!C102</f>
        <v>INDUSTOWER</v>
      </c>
      <c r="B106" s="144">
        <f>VLOOKUP($A106,'Data shares'!$C:$FA,7)</f>
        <v>349.1</v>
      </c>
      <c r="C106" s="144">
        <f>VLOOKUP($A106,'Data shares'!$C:$FA,3)</f>
        <v>349.4</v>
      </c>
      <c r="D106" s="144">
        <f>VLOOKUP($A106,'Data shares'!$C:$FA,23)</f>
        <v>0.3</v>
      </c>
      <c r="E106" s="145">
        <f>VLOOKUP($A106,'Data shares'!$C:$FA,26)*100</f>
        <v>0.09</v>
      </c>
      <c r="F106" s="144">
        <f>VLOOKUP($A106,'Data shares'!$C:$FA,24)</f>
        <v>1.3</v>
      </c>
      <c r="G106" s="144">
        <f>VLOOKUP($A106,'Data shares'!$C:$FA,25)</f>
        <v>-1</v>
      </c>
    </row>
    <row r="107" spans="1:7" x14ac:dyDescent="0.25">
      <c r="A107" s="101" t="str">
        <f>'Data shares'!C103</f>
        <v>INFY</v>
      </c>
      <c r="B107" s="144">
        <f>VLOOKUP($A107,'Data shares'!$C:$FA,7)</f>
        <v>1496.2</v>
      </c>
      <c r="C107" s="144">
        <f>VLOOKUP($A107,'Data shares'!$C:$FA,3)</f>
        <v>1498.5</v>
      </c>
      <c r="D107" s="144">
        <f>VLOOKUP($A107,'Data shares'!$C:$FA,23)</f>
        <v>2.2999999999999998</v>
      </c>
      <c r="E107" s="145">
        <f>VLOOKUP($A107,'Data shares'!$C:$FA,26)*100</f>
        <v>0.15</v>
      </c>
      <c r="F107" s="144">
        <f>VLOOKUP($A107,'Data shares'!$C:$FA,24)</f>
        <v>5.5</v>
      </c>
      <c r="G107" s="144">
        <f>VLOOKUP($A107,'Data shares'!$C:$FA,25)</f>
        <v>-3.2</v>
      </c>
    </row>
    <row r="108" spans="1:7" x14ac:dyDescent="0.25">
      <c r="A108" s="101" t="str">
        <f>'Data shares'!C104</f>
        <v>INOXWIND</v>
      </c>
      <c r="B108" s="144">
        <f>VLOOKUP($A108,'Data shares'!$C:$FA,7)</f>
        <v>144.19</v>
      </c>
      <c r="C108" s="144">
        <f>VLOOKUP($A108,'Data shares'!$C:$FA,3)</f>
        <v>144.13</v>
      </c>
      <c r="D108" s="144">
        <f>VLOOKUP($A108,'Data shares'!$C:$FA,23)</f>
        <v>-0.06</v>
      </c>
      <c r="E108" s="145">
        <f>VLOOKUP($A108,'Data shares'!$C:$FA,26)*100</f>
        <v>-0.04</v>
      </c>
      <c r="F108" s="144">
        <f>VLOOKUP($A108,'Data shares'!$C:$FA,24)</f>
        <v>0.04</v>
      </c>
      <c r="G108" s="144">
        <f>VLOOKUP($A108,'Data shares'!$C:$FA,25)</f>
        <v>-0.1</v>
      </c>
    </row>
    <row r="109" spans="1:7" x14ac:dyDescent="0.25">
      <c r="A109" s="101" t="str">
        <f>'Data shares'!C105</f>
        <v>IOC</v>
      </c>
      <c r="B109" s="144">
        <f>VLOOKUP($A109,'Data shares'!$C:$FA,7)</f>
        <v>141.44</v>
      </c>
      <c r="C109" s="144">
        <f>VLOOKUP($A109,'Data shares'!$C:$FA,3)</f>
        <v>141.71</v>
      </c>
      <c r="D109" s="144">
        <f>VLOOKUP($A109,'Data shares'!$C:$FA,23)</f>
        <v>0.27</v>
      </c>
      <c r="E109" s="145">
        <f>VLOOKUP($A109,'Data shares'!$C:$FA,26)*100</f>
        <v>0.19</v>
      </c>
      <c r="F109" s="144">
        <f>VLOOKUP($A109,'Data shares'!$C:$FA,24)</f>
        <v>0.47</v>
      </c>
      <c r="G109" s="144">
        <f>VLOOKUP($A109,'Data shares'!$C:$FA,25)</f>
        <v>-0.2</v>
      </c>
    </row>
    <row r="110" spans="1:7" x14ac:dyDescent="0.25">
      <c r="A110" s="101" t="str">
        <f>'Data shares'!C106</f>
        <v>IRB</v>
      </c>
      <c r="B110" s="144">
        <f>VLOOKUP($A110,'Data shares'!$C:$FA,7)</f>
        <v>44.6</v>
      </c>
      <c r="C110" s="144">
        <f>VLOOKUP($A110,'Data shares'!$C:$FA,3)</f>
        <v>44.59</v>
      </c>
      <c r="D110" s="144">
        <f>VLOOKUP($A110,'Data shares'!$C:$FA,23)</f>
        <v>-0.01</v>
      </c>
      <c r="E110" s="145">
        <f>VLOOKUP($A110,'Data shares'!$C:$FA,26)*100</f>
        <v>-0.02</v>
      </c>
      <c r="F110" s="144">
        <f>VLOOKUP($A110,'Data shares'!$C:$FA,24)</f>
        <v>0.09</v>
      </c>
      <c r="G110" s="144">
        <f>VLOOKUP($A110,'Data shares'!$C:$FA,25)</f>
        <v>-0.1</v>
      </c>
    </row>
    <row r="111" spans="1:7" x14ac:dyDescent="0.25">
      <c r="A111" s="101" t="str">
        <f>'Data shares'!C107</f>
        <v>IRCTC</v>
      </c>
      <c r="B111" s="144">
        <f>VLOOKUP($A111,'Data shares'!$C:$FA,7)</f>
        <v>731.2</v>
      </c>
      <c r="C111" s="144">
        <f>VLOOKUP($A111,'Data shares'!$C:$FA,3)</f>
        <v>731.2</v>
      </c>
      <c r="D111" s="144">
        <f>VLOOKUP($A111,'Data shares'!$C:$FA,23)</f>
        <v>0</v>
      </c>
      <c r="E111" s="145">
        <f>VLOOKUP($A111,'Data shares'!$C:$FA,26)*100</f>
        <v>0</v>
      </c>
      <c r="F111" s="144">
        <f>VLOOKUP($A111,'Data shares'!$C:$FA,24)</f>
        <v>0.9</v>
      </c>
      <c r="G111" s="144">
        <f>VLOOKUP($A111,'Data shares'!$C:$FA,25)</f>
        <v>-0.9</v>
      </c>
    </row>
    <row r="112" spans="1:7" x14ac:dyDescent="0.25">
      <c r="A112" s="101" t="str">
        <f>'Data shares'!C108</f>
        <v>IREDA</v>
      </c>
      <c r="B112" s="144">
        <f>VLOOKUP($A112,'Data shares'!$C:$FA,7)</f>
        <v>148.78</v>
      </c>
      <c r="C112" s="144">
        <f>VLOOKUP($A112,'Data shares'!$C:$FA,3)</f>
        <v>148.58000000000001</v>
      </c>
      <c r="D112" s="144">
        <f>VLOOKUP($A112,'Data shares'!$C:$FA,23)</f>
        <v>-0.2</v>
      </c>
      <c r="E112" s="145">
        <f>VLOOKUP($A112,'Data shares'!$C:$FA,26)*100</f>
        <v>-0.13</v>
      </c>
      <c r="F112" s="144">
        <f>VLOOKUP($A112,'Data shares'!$C:$FA,24)</f>
        <v>-7.0000000000000007E-2</v>
      </c>
      <c r="G112" s="144">
        <f>VLOOKUP($A112,'Data shares'!$C:$FA,25)</f>
        <v>-0.13</v>
      </c>
    </row>
    <row r="113" spans="1:7" x14ac:dyDescent="0.25">
      <c r="A113" s="101" t="str">
        <f>'Data shares'!C109</f>
        <v>IRFC</v>
      </c>
      <c r="B113" s="144">
        <f>VLOOKUP($A113,'Data shares'!$C:$FA,7)</f>
        <v>126.73</v>
      </c>
      <c r="C113" s="144">
        <f>VLOOKUP($A113,'Data shares'!$C:$FA,3)</f>
        <v>127.2</v>
      </c>
      <c r="D113" s="144">
        <f>VLOOKUP($A113,'Data shares'!$C:$FA,23)</f>
        <v>0.47</v>
      </c>
      <c r="E113" s="145">
        <f>VLOOKUP($A113,'Data shares'!$C:$FA,26)*100</f>
        <v>0.37</v>
      </c>
      <c r="F113" s="144">
        <f>VLOOKUP($A113,'Data shares'!$C:$FA,24)</f>
        <v>0.47</v>
      </c>
      <c r="G113" s="144">
        <f>VLOOKUP($A113,'Data shares'!$C:$FA,25)</f>
        <v>0</v>
      </c>
    </row>
    <row r="114" spans="1:7" x14ac:dyDescent="0.25">
      <c r="A114" s="101" t="str">
        <f>'Data shares'!C110</f>
        <v>ITC</v>
      </c>
      <c r="B114" s="144">
        <f>VLOOKUP($A114,'Data shares'!$C:$FA,7)</f>
        <v>406.05</v>
      </c>
      <c r="C114" s="144">
        <f>VLOOKUP($A114,'Data shares'!$C:$FA,3)</f>
        <v>407.25</v>
      </c>
      <c r="D114" s="144">
        <f>VLOOKUP($A114,'Data shares'!$C:$FA,23)</f>
        <v>1.2</v>
      </c>
      <c r="E114" s="145">
        <f>VLOOKUP($A114,'Data shares'!$C:$FA,26)*100</f>
        <v>0.3</v>
      </c>
      <c r="F114" s="144">
        <f>VLOOKUP($A114,'Data shares'!$C:$FA,24)</f>
        <v>0.45</v>
      </c>
      <c r="G114" s="144">
        <f>VLOOKUP($A114,'Data shares'!$C:$FA,25)</f>
        <v>0.75</v>
      </c>
    </row>
    <row r="115" spans="1:7" x14ac:dyDescent="0.25">
      <c r="A115" s="101" t="str">
        <f>'Data shares'!C111</f>
        <v>JINDALSTEL</v>
      </c>
      <c r="B115" s="144">
        <f>VLOOKUP($A115,'Data shares'!$C:$FA,7)</f>
        <v>1016.25</v>
      </c>
      <c r="C115" s="144">
        <f>VLOOKUP($A115,'Data shares'!$C:$FA,3)</f>
        <v>1014.8</v>
      </c>
      <c r="D115" s="144">
        <f>VLOOKUP($A115,'Data shares'!$C:$FA,23)</f>
        <v>-1.45</v>
      </c>
      <c r="E115" s="145">
        <f>VLOOKUP($A115,'Data shares'!$C:$FA,26)*100</f>
        <v>-0.13999999999999999</v>
      </c>
      <c r="F115" s="144">
        <f>VLOOKUP($A115,'Data shares'!$C:$FA,24)</f>
        <v>1.1499999999999999</v>
      </c>
      <c r="G115" s="144">
        <f>VLOOKUP($A115,'Data shares'!$C:$FA,25)</f>
        <v>-2.6</v>
      </c>
    </row>
    <row r="116" spans="1:7" x14ac:dyDescent="0.25">
      <c r="A116" s="101" t="str">
        <f>'Data shares'!C112</f>
        <v>JIOFIN</v>
      </c>
      <c r="B116" s="144">
        <f>VLOOKUP($A116,'Data shares'!$C:$FA,7)</f>
        <v>328.45</v>
      </c>
      <c r="C116" s="144">
        <f>VLOOKUP($A116,'Data shares'!$C:$FA,3)</f>
        <v>329.05</v>
      </c>
      <c r="D116" s="144">
        <f>VLOOKUP($A116,'Data shares'!$C:$FA,23)</f>
        <v>0.6</v>
      </c>
      <c r="E116" s="145">
        <f>VLOOKUP($A116,'Data shares'!$C:$FA,26)*100</f>
        <v>0.18</v>
      </c>
      <c r="F116" s="144">
        <f>VLOOKUP($A116,'Data shares'!$C:$FA,24)</f>
        <v>1.1000000000000001</v>
      </c>
      <c r="G116" s="144">
        <f>VLOOKUP($A116,'Data shares'!$C:$FA,25)</f>
        <v>-0.5</v>
      </c>
    </row>
    <row r="117" spans="1:7" x14ac:dyDescent="0.25">
      <c r="A117" s="101" t="str">
        <f>'Data shares'!C113</f>
        <v>JSL</v>
      </c>
      <c r="B117" s="144">
        <f>VLOOKUP($A117,'Data shares'!$C:$FA,7)</f>
        <v>765.05</v>
      </c>
      <c r="C117" s="144">
        <f>VLOOKUP($A117,'Data shares'!$C:$FA,3)</f>
        <v>765.1</v>
      </c>
      <c r="D117" s="144">
        <f>VLOOKUP($A117,'Data shares'!$C:$FA,23)</f>
        <v>0.05</v>
      </c>
      <c r="E117" s="145">
        <f>VLOOKUP($A117,'Data shares'!$C:$FA,26)*100</f>
        <v>0.01</v>
      </c>
      <c r="F117" s="144">
        <f>VLOOKUP($A117,'Data shares'!$C:$FA,24)</f>
        <v>-0.1</v>
      </c>
      <c r="G117" s="144">
        <f>VLOOKUP($A117,'Data shares'!$C:$FA,25)</f>
        <v>0.15</v>
      </c>
    </row>
    <row r="118" spans="1:7" x14ac:dyDescent="0.25">
      <c r="A118" s="101" t="str">
        <f>'Data shares'!C114</f>
        <v>JSWENERGY</v>
      </c>
      <c r="B118" s="144">
        <f>VLOOKUP($A118,'Data shares'!$C:$FA,7)</f>
        <v>531.75</v>
      </c>
      <c r="C118" s="144">
        <f>VLOOKUP($A118,'Data shares'!$C:$FA,3)</f>
        <v>533.4</v>
      </c>
      <c r="D118" s="144">
        <f>VLOOKUP($A118,'Data shares'!$C:$FA,23)</f>
        <v>1.65</v>
      </c>
      <c r="E118" s="145">
        <f>VLOOKUP($A118,'Data shares'!$C:$FA,26)*100</f>
        <v>0.31</v>
      </c>
      <c r="F118" s="144">
        <f>VLOOKUP($A118,'Data shares'!$C:$FA,24)</f>
        <v>1.9</v>
      </c>
      <c r="G118" s="144">
        <f>VLOOKUP($A118,'Data shares'!$C:$FA,25)</f>
        <v>-0.25</v>
      </c>
    </row>
    <row r="119" spans="1:7" x14ac:dyDescent="0.25">
      <c r="A119" s="101" t="str">
        <f>'Data shares'!C115</f>
        <v>JSWSTEEL</v>
      </c>
      <c r="B119" s="144">
        <f>VLOOKUP($A119,'Data shares'!$C:$FA,7)</f>
        <v>1082.5999999999999</v>
      </c>
      <c r="C119" s="144">
        <f>VLOOKUP($A119,'Data shares'!$C:$FA,3)</f>
        <v>1086</v>
      </c>
      <c r="D119" s="144">
        <f>VLOOKUP($A119,'Data shares'!$C:$FA,23)</f>
        <v>3.4</v>
      </c>
      <c r="E119" s="145">
        <f>VLOOKUP($A119,'Data shares'!$C:$FA,26)*100</f>
        <v>0.31</v>
      </c>
      <c r="F119" s="144">
        <f>VLOOKUP($A119,'Data shares'!$C:$FA,24)</f>
        <v>4</v>
      </c>
      <c r="G119" s="144">
        <f>VLOOKUP($A119,'Data shares'!$C:$FA,25)</f>
        <v>-0.6</v>
      </c>
    </row>
    <row r="120" spans="1:7" x14ac:dyDescent="0.25">
      <c r="A120" s="101" t="str">
        <f>'Data shares'!C116</f>
        <v>JUBLFOOD</v>
      </c>
      <c r="B120" s="144">
        <f>VLOOKUP($A120,'Data shares'!$C:$FA,7)</f>
        <v>634.20000000000005</v>
      </c>
      <c r="C120" s="144">
        <f>VLOOKUP($A120,'Data shares'!$C:$FA,3)</f>
        <v>635.9</v>
      </c>
      <c r="D120" s="144">
        <f>VLOOKUP($A120,'Data shares'!$C:$FA,23)</f>
        <v>1.7</v>
      </c>
      <c r="E120" s="145">
        <f>VLOOKUP($A120,'Data shares'!$C:$FA,26)*100</f>
        <v>0.27</v>
      </c>
      <c r="F120" s="144">
        <f>VLOOKUP($A120,'Data shares'!$C:$FA,24)</f>
        <v>0.8</v>
      </c>
      <c r="G120" s="144">
        <f>VLOOKUP($A120,'Data shares'!$C:$FA,25)</f>
        <v>0.9</v>
      </c>
    </row>
    <row r="121" spans="1:7" x14ac:dyDescent="0.25">
      <c r="A121" s="101" t="str">
        <f>'Data shares'!C117</f>
        <v>KALYANKJIL</v>
      </c>
      <c r="B121" s="144">
        <f>VLOOKUP($A121,'Data shares'!$C:$FA,7)</f>
        <v>510.6</v>
      </c>
      <c r="C121" s="144">
        <f>VLOOKUP($A121,'Data shares'!$C:$FA,3)</f>
        <v>511.25</v>
      </c>
      <c r="D121" s="144">
        <f>VLOOKUP($A121,'Data shares'!$C:$FA,23)</f>
        <v>0.65</v>
      </c>
      <c r="E121" s="145">
        <f>VLOOKUP($A121,'Data shares'!$C:$FA,26)*100</f>
        <v>0.13</v>
      </c>
      <c r="F121" s="144">
        <f>VLOOKUP($A121,'Data shares'!$C:$FA,24)</f>
        <v>1.7</v>
      </c>
      <c r="G121" s="144">
        <f>VLOOKUP($A121,'Data shares'!$C:$FA,25)</f>
        <v>-1.05</v>
      </c>
    </row>
    <row r="122" spans="1:7" x14ac:dyDescent="0.25">
      <c r="A122" s="101" t="str">
        <f>'Data shares'!C118</f>
        <v>KAYNES</v>
      </c>
      <c r="B122" s="144">
        <f>VLOOKUP($A122,'Data shares'!$C:$FA,7)</f>
        <v>6200.5</v>
      </c>
      <c r="C122" s="144">
        <f>VLOOKUP($A122,'Data shares'!$C:$FA,3)</f>
        <v>6218.5</v>
      </c>
      <c r="D122" s="144">
        <f>VLOOKUP($A122,'Data shares'!$C:$FA,23)</f>
        <v>18</v>
      </c>
      <c r="E122" s="145">
        <f>VLOOKUP($A122,'Data shares'!$C:$FA,26)*100</f>
        <v>0.28999999999999998</v>
      </c>
      <c r="F122" s="144">
        <f>VLOOKUP($A122,'Data shares'!$C:$FA,24)</f>
        <v>20</v>
      </c>
      <c r="G122" s="144">
        <f>VLOOKUP($A122,'Data shares'!$C:$FA,25)</f>
        <v>-2</v>
      </c>
    </row>
    <row r="123" spans="1:7" x14ac:dyDescent="0.25">
      <c r="A123" s="101" t="str">
        <f>'Data shares'!C119</f>
        <v>KEI</v>
      </c>
      <c r="B123" s="144">
        <f>VLOOKUP($A123,'Data shares'!$C:$FA,7)</f>
        <v>3986.4</v>
      </c>
      <c r="C123" s="144">
        <f>VLOOKUP($A123,'Data shares'!$C:$FA,3)</f>
        <v>3987.7</v>
      </c>
      <c r="D123" s="144">
        <f>VLOOKUP($A123,'Data shares'!$C:$FA,23)</f>
        <v>1.3</v>
      </c>
      <c r="E123" s="145">
        <f>VLOOKUP($A123,'Data shares'!$C:$FA,26)*100</f>
        <v>0.03</v>
      </c>
      <c r="F123" s="144">
        <f>VLOOKUP($A123,'Data shares'!$C:$FA,24)</f>
        <v>9.6</v>
      </c>
      <c r="G123" s="144">
        <f>VLOOKUP($A123,'Data shares'!$C:$FA,25)</f>
        <v>-8.3000000000000007</v>
      </c>
    </row>
    <row r="124" spans="1:7" x14ac:dyDescent="0.25">
      <c r="A124" s="101" t="str">
        <f>'Data shares'!C120</f>
        <v>KFINTECH</v>
      </c>
      <c r="B124" s="144">
        <f>VLOOKUP($A124,'Data shares'!$C:$FA,7)</f>
        <v>1115.8</v>
      </c>
      <c r="C124" s="144">
        <f>VLOOKUP($A124,'Data shares'!$C:$FA,3)</f>
        <v>1112.4000000000001</v>
      </c>
      <c r="D124" s="144">
        <f>VLOOKUP($A124,'Data shares'!$C:$FA,23)</f>
        <v>-3.4</v>
      </c>
      <c r="E124" s="145">
        <f>VLOOKUP($A124,'Data shares'!$C:$FA,26)*100</f>
        <v>-0.3</v>
      </c>
      <c r="F124" s="144">
        <f>VLOOKUP($A124,'Data shares'!$C:$FA,24)</f>
        <v>-2.8</v>
      </c>
      <c r="G124" s="144">
        <f>VLOOKUP($A124,'Data shares'!$C:$FA,25)</f>
        <v>-0.6</v>
      </c>
    </row>
    <row r="125" spans="1:7" x14ac:dyDescent="0.25">
      <c r="A125" s="101" t="str">
        <f>'Data shares'!C121</f>
        <v>KOTAKBANK</v>
      </c>
      <c r="B125" s="144">
        <f>VLOOKUP($A125,'Data shares'!$C:$FA,7)</f>
        <v>2017.5</v>
      </c>
      <c r="C125" s="144">
        <f>VLOOKUP($A125,'Data shares'!$C:$FA,3)</f>
        <v>2019.2</v>
      </c>
      <c r="D125" s="144">
        <f>VLOOKUP($A125,'Data shares'!$C:$FA,23)</f>
        <v>1.7</v>
      </c>
      <c r="E125" s="145">
        <f>VLOOKUP($A125,'Data shares'!$C:$FA,26)*100</f>
        <v>0.08</v>
      </c>
      <c r="F125" s="144">
        <f>VLOOKUP($A125,'Data shares'!$C:$FA,24)</f>
        <v>1.3</v>
      </c>
      <c r="G125" s="144">
        <f>VLOOKUP($A125,'Data shares'!$C:$FA,25)</f>
        <v>0.4</v>
      </c>
    </row>
    <row r="126" spans="1:7" x14ac:dyDescent="0.25">
      <c r="A126" s="101" t="str">
        <f>'Data shares'!C122</f>
        <v>KPITTECH</v>
      </c>
      <c r="B126" s="144">
        <f>VLOOKUP($A126,'Data shares'!$C:$FA,7)</f>
        <v>1214.5999999999999</v>
      </c>
      <c r="C126" s="144">
        <f>VLOOKUP($A126,'Data shares'!$C:$FA,3)</f>
        <v>1217.5999999999999</v>
      </c>
      <c r="D126" s="144">
        <f>VLOOKUP($A126,'Data shares'!$C:$FA,23)</f>
        <v>3</v>
      </c>
      <c r="E126" s="145">
        <f>VLOOKUP($A126,'Data shares'!$C:$FA,26)*100</f>
        <v>0.25</v>
      </c>
      <c r="F126" s="144">
        <f>VLOOKUP($A126,'Data shares'!$C:$FA,24)</f>
        <v>3.5</v>
      </c>
      <c r="G126" s="144">
        <f>VLOOKUP($A126,'Data shares'!$C:$FA,25)</f>
        <v>-0.5</v>
      </c>
    </row>
    <row r="127" spans="1:7" x14ac:dyDescent="0.25">
      <c r="A127" s="101" t="str">
        <f>'Data shares'!C123</f>
        <v>LAURUSLABS</v>
      </c>
      <c r="B127" s="144">
        <f>VLOOKUP($A127,'Data shares'!$C:$FA,7)</f>
        <v>876.05</v>
      </c>
      <c r="C127" s="144">
        <f>VLOOKUP($A127,'Data shares'!$C:$FA,3)</f>
        <v>876.65</v>
      </c>
      <c r="D127" s="144">
        <f>VLOOKUP($A127,'Data shares'!$C:$FA,23)</f>
        <v>0.6</v>
      </c>
      <c r="E127" s="145">
        <f>VLOOKUP($A127,'Data shares'!$C:$FA,26)*100</f>
        <v>6.9999999999999993E-2</v>
      </c>
      <c r="F127" s="144">
        <f>VLOOKUP($A127,'Data shares'!$C:$FA,24)</f>
        <v>1.75</v>
      </c>
      <c r="G127" s="144">
        <f>VLOOKUP($A127,'Data shares'!$C:$FA,25)</f>
        <v>-1.1499999999999999</v>
      </c>
    </row>
    <row r="128" spans="1:7" x14ac:dyDescent="0.25">
      <c r="A128" s="101" t="str">
        <f>'Data shares'!C124</f>
        <v>LICHSGFIN</v>
      </c>
      <c r="B128" s="144">
        <f>VLOOKUP($A128,'Data shares'!$C:$FA,7)</f>
        <v>580.1</v>
      </c>
      <c r="C128" s="144">
        <f>VLOOKUP($A128,'Data shares'!$C:$FA,3)</f>
        <v>572.15</v>
      </c>
      <c r="D128" s="144">
        <f>VLOOKUP($A128,'Data shares'!$C:$FA,23)</f>
        <v>-7.95</v>
      </c>
      <c r="E128" s="145">
        <f>VLOOKUP($A128,'Data shares'!$C:$FA,26)*100</f>
        <v>-1.37</v>
      </c>
      <c r="F128" s="144">
        <f>VLOOKUP($A128,'Data shares'!$C:$FA,24)</f>
        <v>-7.85</v>
      </c>
      <c r="G128" s="144">
        <f>VLOOKUP($A128,'Data shares'!$C:$FA,25)</f>
        <v>-0.1</v>
      </c>
    </row>
    <row r="129" spans="1:7" x14ac:dyDescent="0.25">
      <c r="A129" s="101" t="str">
        <f>'Data shares'!C125</f>
        <v>LICI</v>
      </c>
      <c r="B129" s="144">
        <f>VLOOKUP($A129,'Data shares'!$C:$FA,7)</f>
        <v>899.35</v>
      </c>
      <c r="C129" s="144">
        <f>VLOOKUP($A129,'Data shares'!$C:$FA,3)</f>
        <v>901.5</v>
      </c>
      <c r="D129" s="144">
        <f>VLOOKUP($A129,'Data shares'!$C:$FA,23)</f>
        <v>2.15</v>
      </c>
      <c r="E129" s="145">
        <f>VLOOKUP($A129,'Data shares'!$C:$FA,26)*100</f>
        <v>0.24</v>
      </c>
      <c r="F129" s="144">
        <f>VLOOKUP($A129,'Data shares'!$C:$FA,24)</f>
        <v>3.4</v>
      </c>
      <c r="G129" s="144">
        <f>VLOOKUP($A129,'Data shares'!$C:$FA,25)</f>
        <v>-1.25</v>
      </c>
    </row>
    <row r="130" spans="1:7" x14ac:dyDescent="0.25">
      <c r="A130" s="101" t="str">
        <f>'Data shares'!C126</f>
        <v>LODHA</v>
      </c>
      <c r="B130" s="144">
        <f>VLOOKUP($A130,'Data shares'!$C:$FA,7)</f>
        <v>1300</v>
      </c>
      <c r="C130" s="144">
        <f>VLOOKUP($A130,'Data shares'!$C:$FA,3)</f>
        <v>1295.7</v>
      </c>
      <c r="D130" s="144">
        <f>VLOOKUP($A130,'Data shares'!$C:$FA,23)</f>
        <v>-4.3</v>
      </c>
      <c r="E130" s="145">
        <f>VLOOKUP($A130,'Data shares'!$C:$FA,26)*100</f>
        <v>-0.33</v>
      </c>
      <c r="F130" s="144">
        <f>VLOOKUP($A130,'Data shares'!$C:$FA,24)</f>
        <v>-3.2</v>
      </c>
      <c r="G130" s="144">
        <f>VLOOKUP($A130,'Data shares'!$C:$FA,25)</f>
        <v>-1.1000000000000001</v>
      </c>
    </row>
    <row r="131" spans="1:7" x14ac:dyDescent="0.25">
      <c r="A131" s="101" t="str">
        <f>'Data shares'!C127</f>
        <v>LT</v>
      </c>
      <c r="B131" s="144">
        <f>VLOOKUP($A131,'Data shares'!$C:$FA,7)</f>
        <v>3592.3</v>
      </c>
      <c r="C131" s="144">
        <f>VLOOKUP($A131,'Data shares'!$C:$FA,3)</f>
        <v>3595.4</v>
      </c>
      <c r="D131" s="144">
        <f>VLOOKUP($A131,'Data shares'!$C:$FA,23)</f>
        <v>3.1</v>
      </c>
      <c r="E131" s="145">
        <f>VLOOKUP($A131,'Data shares'!$C:$FA,26)*100</f>
        <v>0.09</v>
      </c>
      <c r="F131" s="144">
        <f>VLOOKUP($A131,'Data shares'!$C:$FA,24)</f>
        <v>10.3</v>
      </c>
      <c r="G131" s="144">
        <f>VLOOKUP($A131,'Data shares'!$C:$FA,25)</f>
        <v>-7.2</v>
      </c>
    </row>
    <row r="132" spans="1:7" x14ac:dyDescent="0.25">
      <c r="A132" s="101" t="str">
        <f>'Data shares'!C128</f>
        <v>LTF</v>
      </c>
      <c r="B132" s="144">
        <f>VLOOKUP($A132,'Data shares'!$C:$FA,7)</f>
        <v>216.53</v>
      </c>
      <c r="C132" s="144">
        <f>VLOOKUP($A132,'Data shares'!$C:$FA,3)</f>
        <v>216.44</v>
      </c>
      <c r="D132" s="144">
        <f>VLOOKUP($A132,'Data shares'!$C:$FA,23)</f>
        <v>-0.09</v>
      </c>
      <c r="E132" s="145">
        <f>VLOOKUP($A132,'Data shares'!$C:$FA,26)*100</f>
        <v>-0.04</v>
      </c>
      <c r="F132" s="144">
        <f>VLOOKUP($A132,'Data shares'!$C:$FA,24)</f>
        <v>0.11</v>
      </c>
      <c r="G132" s="144">
        <f>VLOOKUP($A132,'Data shares'!$C:$FA,25)</f>
        <v>-0.2</v>
      </c>
    </row>
    <row r="133" spans="1:7" x14ac:dyDescent="0.25">
      <c r="A133" s="101" t="str">
        <f>'Data shares'!C129</f>
        <v>LTIM</v>
      </c>
      <c r="B133" s="144">
        <f>VLOOKUP($A133,'Data shares'!$C:$FA,7)</f>
        <v>5180.5</v>
      </c>
      <c r="C133" s="144">
        <f>VLOOKUP($A133,'Data shares'!$C:$FA,3)</f>
        <v>5193</v>
      </c>
      <c r="D133" s="144">
        <f>VLOOKUP($A133,'Data shares'!$C:$FA,23)</f>
        <v>12.5</v>
      </c>
      <c r="E133" s="145">
        <f>VLOOKUP($A133,'Data shares'!$C:$FA,26)*100</f>
        <v>0.24</v>
      </c>
      <c r="F133" s="144">
        <f>VLOOKUP($A133,'Data shares'!$C:$FA,24)</f>
        <v>5.5</v>
      </c>
      <c r="G133" s="144">
        <f>VLOOKUP($A133,'Data shares'!$C:$FA,25)</f>
        <v>7</v>
      </c>
    </row>
    <row r="134" spans="1:7" x14ac:dyDescent="0.25">
      <c r="A134" s="101" t="str">
        <f>'Data shares'!C130</f>
        <v>LUPIN</v>
      </c>
      <c r="B134" s="144">
        <f>VLOOKUP($A134,'Data shares'!$C:$FA,7)</f>
        <v>1940.3</v>
      </c>
      <c r="C134" s="144">
        <f>VLOOKUP($A134,'Data shares'!$C:$FA,3)</f>
        <v>1944.6</v>
      </c>
      <c r="D134" s="144">
        <f>VLOOKUP($A134,'Data shares'!$C:$FA,23)</f>
        <v>4.3</v>
      </c>
      <c r="E134" s="145">
        <f>VLOOKUP($A134,'Data shares'!$C:$FA,26)*100</f>
        <v>0.22</v>
      </c>
      <c r="F134" s="144">
        <f>VLOOKUP($A134,'Data shares'!$C:$FA,24)</f>
        <v>6.5</v>
      </c>
      <c r="G134" s="144">
        <f>VLOOKUP($A134,'Data shares'!$C:$FA,25)</f>
        <v>-2.2000000000000002</v>
      </c>
    </row>
    <row r="135" spans="1:7" x14ac:dyDescent="0.25">
      <c r="A135" s="101" t="str">
        <f>'Data shares'!C131</f>
        <v>M&amp;M</v>
      </c>
      <c r="B135" s="144">
        <f>VLOOKUP($A135,'Data shares'!$C:$FA,7)</f>
        <v>3395.6</v>
      </c>
      <c r="C135" s="144">
        <f>VLOOKUP($A135,'Data shares'!$C:$FA,3)</f>
        <v>3396.3</v>
      </c>
      <c r="D135" s="144">
        <f>VLOOKUP($A135,'Data shares'!$C:$FA,23)</f>
        <v>0.7</v>
      </c>
      <c r="E135" s="145">
        <f>VLOOKUP($A135,'Data shares'!$C:$FA,26)*100</f>
        <v>0.02</v>
      </c>
      <c r="F135" s="144">
        <f>VLOOKUP($A135,'Data shares'!$C:$FA,24)</f>
        <v>2.4</v>
      </c>
      <c r="G135" s="144">
        <f>VLOOKUP($A135,'Data shares'!$C:$FA,25)</f>
        <v>-1.7</v>
      </c>
    </row>
    <row r="136" spans="1:7" x14ac:dyDescent="0.25">
      <c r="A136" s="101" t="str">
        <f>'Data shares'!C132</f>
        <v>MANAPPURAM</v>
      </c>
      <c r="B136" s="144">
        <f>VLOOKUP($A136,'Data shares'!$C:$FA,7)</f>
        <v>266.10000000000002</v>
      </c>
      <c r="C136" s="144">
        <f>VLOOKUP($A136,'Data shares'!$C:$FA,3)</f>
        <v>266.64999999999998</v>
      </c>
      <c r="D136" s="144">
        <f>VLOOKUP($A136,'Data shares'!$C:$FA,23)</f>
        <v>0.55000000000000004</v>
      </c>
      <c r="E136" s="145">
        <f>VLOOKUP($A136,'Data shares'!$C:$FA,26)*100</f>
        <v>0.21</v>
      </c>
      <c r="F136" s="144">
        <f>VLOOKUP($A136,'Data shares'!$C:$FA,24)</f>
        <v>0.7</v>
      </c>
      <c r="G136" s="144">
        <f>VLOOKUP($A136,'Data shares'!$C:$FA,25)</f>
        <v>-0.15</v>
      </c>
    </row>
    <row r="137" spans="1:7" x14ac:dyDescent="0.25">
      <c r="A137" s="101" t="str">
        <f>'Data shares'!C133</f>
        <v>MANKIND</v>
      </c>
      <c r="B137" s="144">
        <f>VLOOKUP($A137,'Data shares'!$C:$FA,7)</f>
        <v>2506.6</v>
      </c>
      <c r="C137" s="144">
        <f>VLOOKUP($A137,'Data shares'!$C:$FA,3)</f>
        <v>2512.9</v>
      </c>
      <c r="D137" s="144">
        <f>VLOOKUP($A137,'Data shares'!$C:$FA,23)</f>
        <v>6.3</v>
      </c>
      <c r="E137" s="145">
        <f>VLOOKUP($A137,'Data shares'!$C:$FA,26)*100</f>
        <v>0.25</v>
      </c>
      <c r="F137" s="144">
        <f>VLOOKUP($A137,'Data shares'!$C:$FA,24)</f>
        <v>7.2</v>
      </c>
      <c r="G137" s="144">
        <f>VLOOKUP($A137,'Data shares'!$C:$FA,25)</f>
        <v>-0.9</v>
      </c>
    </row>
    <row r="138" spans="1:7" x14ac:dyDescent="0.25">
      <c r="A138" s="101" t="str">
        <f>'Data shares'!C134</f>
        <v>MARICO</v>
      </c>
      <c r="B138" s="144">
        <f>VLOOKUP($A138,'Data shares'!$C:$FA,7)</f>
        <v>751.85</v>
      </c>
      <c r="C138" s="144">
        <f>VLOOKUP($A138,'Data shares'!$C:$FA,3)</f>
        <v>752.4</v>
      </c>
      <c r="D138" s="144">
        <f>VLOOKUP($A138,'Data shares'!$C:$FA,23)</f>
        <v>0.55000000000000004</v>
      </c>
      <c r="E138" s="145">
        <f>VLOOKUP($A138,'Data shares'!$C:$FA,26)*100</f>
        <v>6.9999999999999993E-2</v>
      </c>
      <c r="F138" s="144">
        <f>VLOOKUP($A138,'Data shares'!$C:$FA,24)</f>
        <v>-0.7</v>
      </c>
      <c r="G138" s="144">
        <f>VLOOKUP($A138,'Data shares'!$C:$FA,25)</f>
        <v>1.25</v>
      </c>
    </row>
    <row r="139" spans="1:7" x14ac:dyDescent="0.25">
      <c r="A139" s="101" t="str">
        <f>'Data shares'!C135</f>
        <v>MARUTI</v>
      </c>
      <c r="B139" s="144">
        <f>VLOOKUP($A139,'Data shares'!$C:$FA,7)</f>
        <v>14221</v>
      </c>
      <c r="C139" s="144">
        <f>VLOOKUP($A139,'Data shares'!$C:$FA,3)</f>
        <v>14221</v>
      </c>
      <c r="D139" s="144">
        <f>VLOOKUP($A139,'Data shares'!$C:$FA,23)</f>
        <v>0</v>
      </c>
      <c r="E139" s="145">
        <f>VLOOKUP($A139,'Data shares'!$C:$FA,26)*100</f>
        <v>0</v>
      </c>
      <c r="F139" s="144">
        <f>VLOOKUP($A139,'Data shares'!$C:$FA,24)</f>
        <v>-14</v>
      </c>
      <c r="G139" s="144">
        <f>VLOOKUP($A139,'Data shares'!$C:$FA,25)</f>
        <v>14</v>
      </c>
    </row>
    <row r="140" spans="1:7" x14ac:dyDescent="0.25">
      <c r="A140" s="101" t="str">
        <f>'Data shares'!C136</f>
        <v>MAXHEALTH</v>
      </c>
      <c r="B140" s="144">
        <f>VLOOKUP($A140,'Data shares'!$C:$FA,7)</f>
        <v>1225.5999999999999</v>
      </c>
      <c r="C140" s="144">
        <f>VLOOKUP($A140,'Data shares'!$C:$FA,3)</f>
        <v>1229.7</v>
      </c>
      <c r="D140" s="144">
        <f>VLOOKUP($A140,'Data shares'!$C:$FA,23)</f>
        <v>4.0999999999999996</v>
      </c>
      <c r="E140" s="145">
        <f>VLOOKUP($A140,'Data shares'!$C:$FA,26)*100</f>
        <v>0.33</v>
      </c>
      <c r="F140" s="144">
        <f>VLOOKUP($A140,'Data shares'!$C:$FA,24)</f>
        <v>5.2</v>
      </c>
      <c r="G140" s="144">
        <f>VLOOKUP($A140,'Data shares'!$C:$FA,25)</f>
        <v>-1.1000000000000001</v>
      </c>
    </row>
    <row r="141" spans="1:7" x14ac:dyDescent="0.25">
      <c r="A141" s="101" t="str">
        <f>'Data shares'!C137</f>
        <v>MAZDOCK</v>
      </c>
      <c r="B141" s="144">
        <f>VLOOKUP($A141,'Data shares'!$C:$FA,7)</f>
        <v>2772.9</v>
      </c>
      <c r="C141" s="144">
        <f>VLOOKUP($A141,'Data shares'!$C:$FA,3)</f>
        <v>2782.8</v>
      </c>
      <c r="D141" s="144">
        <f>VLOOKUP($A141,'Data shares'!$C:$FA,23)</f>
        <v>9.9</v>
      </c>
      <c r="E141" s="145">
        <f>VLOOKUP($A141,'Data shares'!$C:$FA,26)*100</f>
        <v>0.36</v>
      </c>
      <c r="F141" s="144">
        <f>VLOOKUP($A141,'Data shares'!$C:$FA,24)</f>
        <v>5.2</v>
      </c>
      <c r="G141" s="144">
        <f>VLOOKUP($A141,'Data shares'!$C:$FA,25)</f>
        <v>4.7</v>
      </c>
    </row>
    <row r="142" spans="1:7" x14ac:dyDescent="0.25">
      <c r="A142" s="101" t="str">
        <f>'Data shares'!C138</f>
        <v>MCX</v>
      </c>
      <c r="B142" s="144">
        <f>VLOOKUP($A142,'Data shares'!$C:$FA,7)</f>
        <v>8224</v>
      </c>
      <c r="C142" s="144">
        <f>VLOOKUP($A142,'Data shares'!$C:$FA,3)</f>
        <v>8248</v>
      </c>
      <c r="D142" s="144">
        <f>VLOOKUP($A142,'Data shares'!$C:$FA,23)</f>
        <v>24</v>
      </c>
      <c r="E142" s="145">
        <f>VLOOKUP($A142,'Data shares'!$C:$FA,26)*100</f>
        <v>0.28999999999999998</v>
      </c>
      <c r="F142" s="144">
        <f>VLOOKUP($A142,'Data shares'!$C:$FA,24)</f>
        <v>30</v>
      </c>
      <c r="G142" s="144">
        <f>VLOOKUP($A142,'Data shares'!$C:$FA,25)</f>
        <v>-6</v>
      </c>
    </row>
    <row r="143" spans="1:7" x14ac:dyDescent="0.25">
      <c r="A143" s="101" t="str">
        <f>'Data shares'!C139</f>
        <v>MFSL</v>
      </c>
      <c r="B143" s="144">
        <f>VLOOKUP($A143,'Data shares'!$C:$FA,7)</f>
        <v>1643.6</v>
      </c>
      <c r="C143" s="144">
        <f>VLOOKUP($A143,'Data shares'!$C:$FA,3)</f>
        <v>1645.1</v>
      </c>
      <c r="D143" s="144">
        <f>VLOOKUP($A143,'Data shares'!$C:$FA,23)</f>
        <v>1.5</v>
      </c>
      <c r="E143" s="145">
        <f>VLOOKUP($A143,'Data shares'!$C:$FA,26)*100</f>
        <v>0.09</v>
      </c>
      <c r="F143" s="144">
        <f>VLOOKUP($A143,'Data shares'!$C:$FA,24)</f>
        <v>2.1</v>
      </c>
      <c r="G143" s="144">
        <f>VLOOKUP($A143,'Data shares'!$C:$FA,25)</f>
        <v>-0.6</v>
      </c>
    </row>
    <row r="144" spans="1:7" x14ac:dyDescent="0.25">
      <c r="A144" s="101" t="str">
        <f>'Data shares'!C140</f>
        <v>MIDCPNIFTY</v>
      </c>
      <c r="B144" s="144">
        <f>VLOOKUP($A144,'Data shares'!$C:$FA,7)</f>
        <v>12999.8</v>
      </c>
      <c r="C144" s="144">
        <f>VLOOKUP($A144,'Data shares'!$C:$FA,3)</f>
        <v>13023.85</v>
      </c>
      <c r="D144" s="144">
        <f>VLOOKUP($A144,'Data shares'!$C:$FA,23)</f>
        <v>24.05</v>
      </c>
      <c r="E144" s="145">
        <f>VLOOKUP($A144,'Data shares'!$C:$FA,26)*100</f>
        <v>0.19</v>
      </c>
      <c r="F144" s="144">
        <f>VLOOKUP($A144,'Data shares'!$C:$FA,24)</f>
        <v>50</v>
      </c>
      <c r="G144" s="144">
        <f>VLOOKUP($A144,'Data shares'!$C:$FA,25)</f>
        <v>-25.95</v>
      </c>
    </row>
    <row r="145" spans="1:7" x14ac:dyDescent="0.25">
      <c r="A145" s="101" t="str">
        <f>'Data shares'!C141</f>
        <v>MOTHERSON</v>
      </c>
      <c r="B145" s="144">
        <f>VLOOKUP($A145,'Data shares'!$C:$FA,7)</f>
        <v>97.97</v>
      </c>
      <c r="C145" s="144">
        <f>VLOOKUP($A145,'Data shares'!$C:$FA,3)</f>
        <v>97.99</v>
      </c>
      <c r="D145" s="144">
        <f>VLOOKUP($A145,'Data shares'!$C:$FA,23)</f>
        <v>0.02</v>
      </c>
      <c r="E145" s="145">
        <f>VLOOKUP($A145,'Data shares'!$C:$FA,26)*100</f>
        <v>0.02</v>
      </c>
      <c r="F145" s="144">
        <f>VLOOKUP($A145,'Data shares'!$C:$FA,24)</f>
        <v>0.22</v>
      </c>
      <c r="G145" s="144">
        <f>VLOOKUP($A145,'Data shares'!$C:$FA,25)</f>
        <v>-0.2</v>
      </c>
    </row>
    <row r="146" spans="1:7" x14ac:dyDescent="0.25">
      <c r="A146" s="101" t="str">
        <f>'Data shares'!C142</f>
        <v>MPHASIS</v>
      </c>
      <c r="B146" s="144">
        <f>VLOOKUP($A146,'Data shares'!$C:$FA,7)</f>
        <v>2835.5</v>
      </c>
      <c r="C146" s="144">
        <f>VLOOKUP($A146,'Data shares'!$C:$FA,3)</f>
        <v>2838.9</v>
      </c>
      <c r="D146" s="144">
        <f>VLOOKUP($A146,'Data shares'!$C:$FA,23)</f>
        <v>3.4</v>
      </c>
      <c r="E146" s="145">
        <f>VLOOKUP($A146,'Data shares'!$C:$FA,26)*100</f>
        <v>0.12</v>
      </c>
      <c r="F146" s="144">
        <f>VLOOKUP($A146,'Data shares'!$C:$FA,24)</f>
        <v>3.1</v>
      </c>
      <c r="G146" s="144">
        <f>VLOOKUP($A146,'Data shares'!$C:$FA,25)</f>
        <v>0.3</v>
      </c>
    </row>
    <row r="147" spans="1:7" x14ac:dyDescent="0.25">
      <c r="A147" s="101" t="str">
        <f>'Data shares'!C143</f>
        <v>MUTHOOTFIN</v>
      </c>
      <c r="B147" s="144">
        <f>VLOOKUP($A147,'Data shares'!$C:$FA,7)</f>
        <v>2683.9</v>
      </c>
      <c r="C147" s="144">
        <f>VLOOKUP($A147,'Data shares'!$C:$FA,3)</f>
        <v>2687.5</v>
      </c>
      <c r="D147" s="144">
        <f>VLOOKUP($A147,'Data shares'!$C:$FA,23)</f>
        <v>3.6</v>
      </c>
      <c r="E147" s="145">
        <f>VLOOKUP($A147,'Data shares'!$C:$FA,26)*100</f>
        <v>0.13</v>
      </c>
      <c r="F147" s="144">
        <f>VLOOKUP($A147,'Data shares'!$C:$FA,24)</f>
        <v>2.8</v>
      </c>
      <c r="G147" s="144">
        <f>VLOOKUP($A147,'Data shares'!$C:$FA,25)</f>
        <v>0.8</v>
      </c>
    </row>
    <row r="148" spans="1:7" x14ac:dyDescent="0.25">
      <c r="A148" s="101" t="str">
        <f>'Data shares'!C144</f>
        <v>NATIONALUM</v>
      </c>
      <c r="B148" s="144">
        <f>VLOOKUP($A148,'Data shares'!$C:$FA,7)</f>
        <v>192.22</v>
      </c>
      <c r="C148" s="144">
        <f>VLOOKUP($A148,'Data shares'!$C:$FA,3)</f>
        <v>192.3</v>
      </c>
      <c r="D148" s="144">
        <f>VLOOKUP($A148,'Data shares'!$C:$FA,23)</f>
        <v>0.08</v>
      </c>
      <c r="E148" s="145">
        <f>VLOOKUP($A148,'Data shares'!$C:$FA,26)*100</f>
        <v>0.04</v>
      </c>
      <c r="F148" s="144">
        <f>VLOOKUP($A148,'Data shares'!$C:$FA,24)</f>
        <v>0.57999999999999996</v>
      </c>
      <c r="G148" s="144">
        <f>VLOOKUP($A148,'Data shares'!$C:$FA,25)</f>
        <v>-0.5</v>
      </c>
    </row>
    <row r="149" spans="1:7" x14ac:dyDescent="0.25">
      <c r="A149" s="101" t="str">
        <f>'Data shares'!C145</f>
        <v>NAUKRI</v>
      </c>
      <c r="B149" s="144">
        <f>VLOOKUP($A149,'Data shares'!$C:$FA,7)</f>
        <v>1395.5</v>
      </c>
      <c r="C149" s="144">
        <f>VLOOKUP($A149,'Data shares'!$C:$FA,3)</f>
        <v>1400.1</v>
      </c>
      <c r="D149" s="144">
        <f>VLOOKUP($A149,'Data shares'!$C:$FA,23)</f>
        <v>4.5999999999999996</v>
      </c>
      <c r="E149" s="145">
        <f>VLOOKUP($A149,'Data shares'!$C:$FA,26)*100</f>
        <v>0.33</v>
      </c>
      <c r="F149" s="144">
        <f>VLOOKUP($A149,'Data shares'!$C:$FA,24)</f>
        <v>3</v>
      </c>
      <c r="G149" s="144">
        <f>VLOOKUP($A149,'Data shares'!$C:$FA,25)</f>
        <v>1.6</v>
      </c>
    </row>
    <row r="150" spans="1:7" x14ac:dyDescent="0.25">
      <c r="A150" s="101" t="str">
        <f>'Data shares'!C146</f>
        <v>NBCC</v>
      </c>
      <c r="B150" s="144">
        <f>VLOOKUP($A150,'Data shares'!$C:$FA,7)</f>
        <v>105.39</v>
      </c>
      <c r="C150" s="144">
        <f>VLOOKUP($A150,'Data shares'!$C:$FA,3)</f>
        <v>105.58</v>
      </c>
      <c r="D150" s="144">
        <f>VLOOKUP($A150,'Data shares'!$C:$FA,23)</f>
        <v>0.19</v>
      </c>
      <c r="E150" s="145">
        <f>VLOOKUP($A150,'Data shares'!$C:$FA,26)*100</f>
        <v>0.18</v>
      </c>
      <c r="F150" s="144">
        <f>VLOOKUP($A150,'Data shares'!$C:$FA,24)</f>
        <v>0.28999999999999998</v>
      </c>
      <c r="G150" s="144">
        <f>VLOOKUP($A150,'Data shares'!$C:$FA,25)</f>
        <v>-0.1</v>
      </c>
    </row>
    <row r="151" spans="1:7" x14ac:dyDescent="0.25">
      <c r="A151" s="101" t="str">
        <f>'Data shares'!C147</f>
        <v>NCC</v>
      </c>
      <c r="B151" s="144">
        <f>VLOOKUP($A151,'Data shares'!$C:$FA,7)</f>
        <v>220.84</v>
      </c>
      <c r="C151" s="144">
        <f>VLOOKUP($A151,'Data shares'!$C:$FA,3)</f>
        <v>221.33</v>
      </c>
      <c r="D151" s="144">
        <f>VLOOKUP($A151,'Data shares'!$C:$FA,23)</f>
        <v>0.49</v>
      </c>
      <c r="E151" s="145">
        <f>VLOOKUP($A151,'Data shares'!$C:$FA,26)*100</f>
        <v>0.22</v>
      </c>
      <c r="F151" s="144">
        <f>VLOOKUP($A151,'Data shares'!$C:$FA,24)</f>
        <v>0.75</v>
      </c>
      <c r="G151" s="144">
        <f>VLOOKUP($A151,'Data shares'!$C:$FA,25)</f>
        <v>-0.26</v>
      </c>
    </row>
    <row r="152" spans="1:7" x14ac:dyDescent="0.25">
      <c r="A152" s="101" t="str">
        <f>'Data shares'!C148</f>
        <v>NESTLEIND</v>
      </c>
      <c r="B152" s="144">
        <f>VLOOKUP($A152,'Data shares'!$C:$FA,7)</f>
        <v>1190.3</v>
      </c>
      <c r="C152" s="144">
        <f>VLOOKUP($A152,'Data shares'!$C:$FA,3)</f>
        <v>1191.3</v>
      </c>
      <c r="D152" s="144">
        <f>VLOOKUP($A152,'Data shares'!$C:$FA,23)</f>
        <v>1</v>
      </c>
      <c r="E152" s="145">
        <f>VLOOKUP($A152,'Data shares'!$C:$FA,26)*100</f>
        <v>0.08</v>
      </c>
      <c r="F152" s="144">
        <f>VLOOKUP($A152,'Data shares'!$C:$FA,24)</f>
        <v>2.1</v>
      </c>
      <c r="G152" s="144">
        <f>VLOOKUP($A152,'Data shares'!$C:$FA,25)</f>
        <v>-1.1000000000000001</v>
      </c>
    </row>
    <row r="153" spans="1:7" x14ac:dyDescent="0.25">
      <c r="A153" s="101" t="str">
        <f>'Data shares'!C149</f>
        <v>NHPC</v>
      </c>
      <c r="B153" s="144">
        <f>VLOOKUP($A153,'Data shares'!$C:$FA,7)</f>
        <v>82.76</v>
      </c>
      <c r="C153" s="144">
        <f>VLOOKUP($A153,'Data shares'!$C:$FA,3)</f>
        <v>83.09</v>
      </c>
      <c r="D153" s="144">
        <f>VLOOKUP($A153,'Data shares'!$C:$FA,23)</f>
        <v>0.33</v>
      </c>
      <c r="E153" s="145">
        <f>VLOOKUP($A153,'Data shares'!$C:$FA,26)*100</f>
        <v>0.4</v>
      </c>
      <c r="F153" s="144">
        <f>VLOOKUP($A153,'Data shares'!$C:$FA,24)</f>
        <v>0.22</v>
      </c>
      <c r="G153" s="144">
        <f>VLOOKUP($A153,'Data shares'!$C:$FA,25)</f>
        <v>0.11</v>
      </c>
    </row>
    <row r="154" spans="1:7" x14ac:dyDescent="0.25">
      <c r="A154" s="101" t="str">
        <f>'Data shares'!C150</f>
        <v>NIFTY</v>
      </c>
      <c r="B154" s="144">
        <f>VLOOKUP($A154,'Data shares'!$C:$FA,7)</f>
        <v>25050.55</v>
      </c>
      <c r="C154" s="144">
        <f>VLOOKUP($A154,'Data shares'!$C:$FA,3)</f>
        <v>25083.3</v>
      </c>
      <c r="D154" s="144">
        <f>VLOOKUP($A154,'Data shares'!$C:$FA,23)</f>
        <v>32.75</v>
      </c>
      <c r="E154" s="145">
        <f>VLOOKUP($A154,'Data shares'!$C:$FA,26)*100</f>
        <v>0.13</v>
      </c>
      <c r="F154" s="144">
        <f>VLOOKUP($A154,'Data shares'!$C:$FA,24)</f>
        <v>52.85</v>
      </c>
      <c r="G154" s="144">
        <f>VLOOKUP($A154,'Data shares'!$C:$FA,25)</f>
        <v>-20.100000000000001</v>
      </c>
    </row>
    <row r="155" spans="1:7" x14ac:dyDescent="0.25">
      <c r="A155" s="101" t="str">
        <f>'Data shares'!C151</f>
        <v>NIFTYNXT50</v>
      </c>
      <c r="B155" s="144">
        <f>VLOOKUP($A155,'Data shares'!$C:$FA,7)</f>
        <v>68164.3</v>
      </c>
      <c r="C155" s="144">
        <f>VLOOKUP($A155,'Data shares'!$C:$FA,3)</f>
        <v>68205</v>
      </c>
      <c r="D155" s="144">
        <f>VLOOKUP($A155,'Data shares'!$C:$FA,23)</f>
        <v>40.700000000000003</v>
      </c>
      <c r="E155" s="145">
        <f>VLOOKUP($A155,'Data shares'!$C:$FA,26)*100</f>
        <v>0.06</v>
      </c>
      <c r="F155" s="144">
        <f>VLOOKUP($A155,'Data shares'!$C:$FA,24)</f>
        <v>64.150000000000006</v>
      </c>
      <c r="G155" s="144">
        <f>VLOOKUP($A155,'Data shares'!$C:$FA,25)</f>
        <v>-23.45</v>
      </c>
    </row>
    <row r="156" spans="1:7" x14ac:dyDescent="0.25">
      <c r="A156" s="101" t="str">
        <f>'Data shares'!C152</f>
        <v>NMDC</v>
      </c>
      <c r="B156" s="144">
        <f>VLOOKUP($A156,'Data shares'!$C:$FA,7)</f>
        <v>71.819999999999993</v>
      </c>
      <c r="C156" s="144">
        <f>VLOOKUP($A156,'Data shares'!$C:$FA,3)</f>
        <v>72.12</v>
      </c>
      <c r="D156" s="144">
        <f>VLOOKUP($A156,'Data shares'!$C:$FA,23)</f>
        <v>0.3</v>
      </c>
      <c r="E156" s="145">
        <f>VLOOKUP($A156,'Data shares'!$C:$FA,26)*100</f>
        <v>0.42</v>
      </c>
      <c r="F156" s="144">
        <f>VLOOKUP($A156,'Data shares'!$C:$FA,24)</f>
        <v>0.2</v>
      </c>
      <c r="G156" s="144">
        <f>VLOOKUP($A156,'Data shares'!$C:$FA,25)</f>
        <v>0.1</v>
      </c>
    </row>
    <row r="157" spans="1:7" x14ac:dyDescent="0.25">
      <c r="A157" s="101" t="str">
        <f>'Data shares'!C153</f>
        <v>NTPC</v>
      </c>
      <c r="B157" s="144">
        <f>VLOOKUP($A157,'Data shares'!$C:$FA,7)</f>
        <v>342</v>
      </c>
      <c r="C157" s="144">
        <f>VLOOKUP($A157,'Data shares'!$C:$FA,3)</f>
        <v>342.15</v>
      </c>
      <c r="D157" s="144">
        <f>VLOOKUP($A157,'Data shares'!$C:$FA,23)</f>
        <v>0.15</v>
      </c>
      <c r="E157" s="145">
        <f>VLOOKUP($A157,'Data shares'!$C:$FA,26)*100</f>
        <v>0.04</v>
      </c>
      <c r="F157" s="144">
        <f>VLOOKUP($A157,'Data shares'!$C:$FA,24)</f>
        <v>0.9</v>
      </c>
      <c r="G157" s="144">
        <f>VLOOKUP($A157,'Data shares'!$C:$FA,25)</f>
        <v>-0.75</v>
      </c>
    </row>
    <row r="158" spans="1:7" x14ac:dyDescent="0.25">
      <c r="A158" s="101" t="str">
        <f>'Data shares'!C154</f>
        <v>NUVAMA</v>
      </c>
      <c r="B158" s="144">
        <f>VLOOKUP($A158,'Data shares'!$C:$FA,7)</f>
        <v>6854.5</v>
      </c>
      <c r="C158" s="144">
        <f>VLOOKUP($A158,'Data shares'!$C:$FA,3)</f>
        <v>6857</v>
      </c>
      <c r="D158" s="144">
        <f>VLOOKUP($A158,'Data shares'!$C:$FA,23)</f>
        <v>2.5</v>
      </c>
      <c r="E158" s="145">
        <f>VLOOKUP($A158,'Data shares'!$C:$FA,26)*100</f>
        <v>0.04</v>
      </c>
      <c r="F158" s="144">
        <f>VLOOKUP($A158,'Data shares'!$C:$FA,24)</f>
        <v>6.5</v>
      </c>
      <c r="G158" s="144">
        <f>VLOOKUP($A158,'Data shares'!$C:$FA,25)</f>
        <v>-4</v>
      </c>
    </row>
    <row r="159" spans="1:7" x14ac:dyDescent="0.25">
      <c r="A159" s="101" t="str">
        <f>'Data shares'!C155</f>
        <v>NYKAA</v>
      </c>
      <c r="B159" s="144">
        <f>VLOOKUP($A159,'Data shares'!$C:$FA,7)</f>
        <v>225.18</v>
      </c>
      <c r="C159" s="144">
        <f>VLOOKUP($A159,'Data shares'!$C:$FA,3)</f>
        <v>224.49</v>
      </c>
      <c r="D159" s="144">
        <f>VLOOKUP($A159,'Data shares'!$C:$FA,23)</f>
        <v>-0.69</v>
      </c>
      <c r="E159" s="145">
        <f>VLOOKUP($A159,'Data shares'!$C:$FA,26)*100</f>
        <v>-0.31</v>
      </c>
      <c r="F159" s="144">
        <f>VLOOKUP($A159,'Data shares'!$C:$FA,24)</f>
        <v>-1.01</v>
      </c>
      <c r="G159" s="144">
        <f>VLOOKUP($A159,'Data shares'!$C:$FA,25)</f>
        <v>0.32</v>
      </c>
    </row>
    <row r="160" spans="1:7" x14ac:dyDescent="0.25">
      <c r="A160" s="101" t="str">
        <f>'Data shares'!C156</f>
        <v>OBEROIRLTY</v>
      </c>
      <c r="B160" s="144">
        <f>VLOOKUP($A160,'Data shares'!$C:$FA,7)</f>
        <v>1656.9</v>
      </c>
      <c r="C160" s="144">
        <f>VLOOKUP($A160,'Data shares'!$C:$FA,3)</f>
        <v>1660.9</v>
      </c>
      <c r="D160" s="144">
        <f>VLOOKUP($A160,'Data shares'!$C:$FA,23)</f>
        <v>4</v>
      </c>
      <c r="E160" s="145">
        <f>VLOOKUP($A160,'Data shares'!$C:$FA,26)*100</f>
        <v>0.24</v>
      </c>
      <c r="F160" s="144">
        <f>VLOOKUP($A160,'Data shares'!$C:$FA,24)</f>
        <v>2.7</v>
      </c>
      <c r="G160" s="144">
        <f>VLOOKUP($A160,'Data shares'!$C:$FA,25)</f>
        <v>1.3</v>
      </c>
    </row>
    <row r="161" spans="1:7" x14ac:dyDescent="0.25">
      <c r="A161" s="101" t="str">
        <f>'Data shares'!C157</f>
        <v>OFSS</v>
      </c>
      <c r="B161" s="144">
        <f>VLOOKUP($A161,'Data shares'!$C:$FA,7)</f>
        <v>8763</v>
      </c>
      <c r="C161" s="144">
        <f>VLOOKUP($A161,'Data shares'!$C:$FA,3)</f>
        <v>8791</v>
      </c>
      <c r="D161" s="144">
        <f>VLOOKUP($A161,'Data shares'!$C:$FA,23)</f>
        <v>28</v>
      </c>
      <c r="E161" s="145">
        <f>VLOOKUP($A161,'Data shares'!$C:$FA,26)*100</f>
        <v>0.32</v>
      </c>
      <c r="F161" s="144">
        <f>VLOOKUP($A161,'Data shares'!$C:$FA,24)</f>
        <v>35.5</v>
      </c>
      <c r="G161" s="144">
        <f>VLOOKUP($A161,'Data shares'!$C:$FA,25)</f>
        <v>-7.5</v>
      </c>
    </row>
    <row r="162" spans="1:7" x14ac:dyDescent="0.25">
      <c r="A162" s="101" t="str">
        <f>'Data shares'!C158</f>
        <v>OIL</v>
      </c>
      <c r="B162" s="144">
        <f>VLOOKUP($A162,'Data shares'!$C:$FA,7)</f>
        <v>408</v>
      </c>
      <c r="C162" s="144">
        <f>VLOOKUP($A162,'Data shares'!$C:$FA,3)</f>
        <v>407.65</v>
      </c>
      <c r="D162" s="144">
        <f>VLOOKUP($A162,'Data shares'!$C:$FA,23)</f>
        <v>-0.35</v>
      </c>
      <c r="E162" s="145">
        <f>VLOOKUP($A162,'Data shares'!$C:$FA,26)*100</f>
        <v>-0.09</v>
      </c>
      <c r="F162" s="144">
        <f>VLOOKUP($A162,'Data shares'!$C:$FA,24)</f>
        <v>0.3</v>
      </c>
      <c r="G162" s="144">
        <f>VLOOKUP($A162,'Data shares'!$C:$FA,25)</f>
        <v>-0.65</v>
      </c>
    </row>
    <row r="163" spans="1:7" x14ac:dyDescent="0.25">
      <c r="A163" s="101" t="str">
        <f>'Data shares'!C159</f>
        <v>ONGC</v>
      </c>
      <c r="B163" s="144">
        <f>VLOOKUP($A163,'Data shares'!$C:$FA,7)</f>
        <v>237.93</v>
      </c>
      <c r="C163" s="144">
        <f>VLOOKUP($A163,'Data shares'!$C:$FA,3)</f>
        <v>238.57</v>
      </c>
      <c r="D163" s="144">
        <f>VLOOKUP($A163,'Data shares'!$C:$FA,23)</f>
        <v>0.64</v>
      </c>
      <c r="E163" s="145">
        <f>VLOOKUP($A163,'Data shares'!$C:$FA,26)*100</f>
        <v>0.27</v>
      </c>
      <c r="F163" s="144">
        <f>VLOOKUP($A163,'Data shares'!$C:$FA,24)</f>
        <v>0.73</v>
      </c>
      <c r="G163" s="144">
        <f>VLOOKUP($A163,'Data shares'!$C:$FA,25)</f>
        <v>-0.09</v>
      </c>
    </row>
    <row r="164" spans="1:7" x14ac:dyDescent="0.25">
      <c r="A164" s="101" t="str">
        <f>'Data shares'!C160</f>
        <v>PAGEIND</v>
      </c>
      <c r="B164" s="144">
        <f>VLOOKUP($A164,'Data shares'!$C:$FA,7)</f>
        <v>45385</v>
      </c>
      <c r="C164" s="144">
        <f>VLOOKUP($A164,'Data shares'!$C:$FA,3)</f>
        <v>45485</v>
      </c>
      <c r="D164" s="144">
        <f>VLOOKUP($A164,'Data shares'!$C:$FA,23)</f>
        <v>100</v>
      </c>
      <c r="E164" s="145">
        <f>VLOOKUP($A164,'Data shares'!$C:$FA,26)*100</f>
        <v>0.22</v>
      </c>
      <c r="F164" s="144">
        <f>VLOOKUP($A164,'Data shares'!$C:$FA,24)</f>
        <v>80</v>
      </c>
      <c r="G164" s="144">
        <f>VLOOKUP($A164,'Data shares'!$C:$FA,25)</f>
        <v>20</v>
      </c>
    </row>
    <row r="165" spans="1:7" x14ac:dyDescent="0.25">
      <c r="A165" s="101" t="str">
        <f>'Data shares'!C161</f>
        <v>PATANJALI</v>
      </c>
      <c r="B165" s="144">
        <f>VLOOKUP($A165,'Data shares'!$C:$FA,7)</f>
        <v>1813.8</v>
      </c>
      <c r="C165" s="144">
        <f>VLOOKUP($A165,'Data shares'!$C:$FA,3)</f>
        <v>1818.1</v>
      </c>
      <c r="D165" s="144">
        <f>VLOOKUP($A165,'Data shares'!$C:$FA,23)</f>
        <v>4.3</v>
      </c>
      <c r="E165" s="145">
        <f>VLOOKUP($A165,'Data shares'!$C:$FA,26)*100</f>
        <v>0.24</v>
      </c>
      <c r="F165" s="144">
        <f>VLOOKUP($A165,'Data shares'!$C:$FA,24)</f>
        <v>6.6</v>
      </c>
      <c r="G165" s="144">
        <f>VLOOKUP($A165,'Data shares'!$C:$FA,25)</f>
        <v>-2.2999999999999998</v>
      </c>
    </row>
    <row r="166" spans="1:7" x14ac:dyDescent="0.25">
      <c r="A166" s="101" t="str">
        <f>'Data shares'!C162</f>
        <v>PAYTM</v>
      </c>
      <c r="B166" s="144">
        <f>VLOOKUP($A166,'Data shares'!$C:$FA,7)</f>
        <v>1248</v>
      </c>
      <c r="C166" s="144">
        <f>VLOOKUP($A166,'Data shares'!$C:$FA,3)</f>
        <v>1248.0999999999999</v>
      </c>
      <c r="D166" s="144">
        <f>VLOOKUP($A166,'Data shares'!$C:$FA,23)</f>
        <v>0.1</v>
      </c>
      <c r="E166" s="145">
        <f>VLOOKUP($A166,'Data shares'!$C:$FA,26)*100</f>
        <v>0.01</v>
      </c>
      <c r="F166" s="144">
        <f>VLOOKUP($A166,'Data shares'!$C:$FA,24)</f>
        <v>3.8</v>
      </c>
      <c r="G166" s="144">
        <f>VLOOKUP($A166,'Data shares'!$C:$FA,25)</f>
        <v>-3.7</v>
      </c>
    </row>
    <row r="167" spans="1:7" x14ac:dyDescent="0.25">
      <c r="A167" s="101" t="str">
        <f>'Data shares'!C163</f>
        <v>PERSISTENT</v>
      </c>
      <c r="B167" s="144">
        <f>VLOOKUP($A167,'Data shares'!$C:$FA,7)</f>
        <v>5345</v>
      </c>
      <c r="C167" s="144">
        <f>VLOOKUP($A167,'Data shares'!$C:$FA,3)</f>
        <v>5357.5</v>
      </c>
      <c r="D167" s="144">
        <f>VLOOKUP($A167,'Data shares'!$C:$FA,23)</f>
        <v>12.5</v>
      </c>
      <c r="E167" s="145">
        <f>VLOOKUP($A167,'Data shares'!$C:$FA,26)*100</f>
        <v>0.22999999999999998</v>
      </c>
      <c r="F167" s="144">
        <f>VLOOKUP($A167,'Data shares'!$C:$FA,24)</f>
        <v>20.5</v>
      </c>
      <c r="G167" s="144">
        <f>VLOOKUP($A167,'Data shares'!$C:$FA,25)</f>
        <v>-8</v>
      </c>
    </row>
    <row r="168" spans="1:7" s="175" customFormat="1" x14ac:dyDescent="0.25">
      <c r="A168" s="101" t="str">
        <f>'Data shares'!C164</f>
        <v>PETRONET</v>
      </c>
      <c r="B168" s="144">
        <f>VLOOKUP($A168,'Data shares'!$C:$FA,7)</f>
        <v>280.14999999999998</v>
      </c>
      <c r="C168" s="144">
        <f>VLOOKUP($A168,'Data shares'!$C:$FA,3)</f>
        <v>280.55</v>
      </c>
      <c r="D168" s="144">
        <f>VLOOKUP($A168,'Data shares'!$C:$FA,23)</f>
        <v>0.4</v>
      </c>
      <c r="E168" s="145">
        <f>VLOOKUP($A168,'Data shares'!$C:$FA,26)*100</f>
        <v>0.13999999999999999</v>
      </c>
      <c r="F168" s="144">
        <f>VLOOKUP($A168,'Data shares'!$C:$FA,24)</f>
        <v>0.5</v>
      </c>
      <c r="G168" s="144">
        <f>VLOOKUP($A168,'Data shares'!$C:$FA,25)</f>
        <v>-0.1</v>
      </c>
    </row>
    <row r="169" spans="1:7" x14ac:dyDescent="0.25">
      <c r="A169" s="101" t="str">
        <f>'Data shares'!C165</f>
        <v>PFC</v>
      </c>
      <c r="B169" s="144">
        <f>VLOOKUP($A169,'Data shares'!$C:$FA,7)</f>
        <v>403.4</v>
      </c>
      <c r="C169" s="144">
        <f>VLOOKUP($A169,'Data shares'!$C:$FA,3)</f>
        <v>404.2</v>
      </c>
      <c r="D169" s="144">
        <f>VLOOKUP($A169,'Data shares'!$C:$FA,23)</f>
        <v>0.8</v>
      </c>
      <c r="E169" s="145">
        <f>VLOOKUP($A169,'Data shares'!$C:$FA,26)*100</f>
        <v>0.2</v>
      </c>
      <c r="F169" s="144">
        <f>VLOOKUP($A169,'Data shares'!$C:$FA,24)</f>
        <v>1.4</v>
      </c>
      <c r="G169" s="144">
        <f>VLOOKUP($A169,'Data shares'!$C:$FA,25)</f>
        <v>-0.6</v>
      </c>
    </row>
    <row r="170" spans="1:7" x14ac:dyDescent="0.25">
      <c r="A170" s="101" t="str">
        <f>'Data shares'!C166</f>
        <v>PGEL</v>
      </c>
      <c r="B170" s="144">
        <f>VLOOKUP($A170,'Data shares'!$C:$FA,7)</f>
        <v>536.6</v>
      </c>
      <c r="C170" s="144">
        <f>VLOOKUP($A170,'Data shares'!$C:$FA,3)</f>
        <v>536.70000000000005</v>
      </c>
      <c r="D170" s="144">
        <f>VLOOKUP($A170,'Data shares'!$C:$FA,23)</f>
        <v>0.1</v>
      </c>
      <c r="E170" s="145">
        <f>VLOOKUP($A170,'Data shares'!$C:$FA,26)*100</f>
        <v>0.02</v>
      </c>
      <c r="F170" s="144">
        <f>VLOOKUP($A170,'Data shares'!$C:$FA,24)</f>
        <v>1.75</v>
      </c>
      <c r="G170" s="144">
        <f>VLOOKUP($A170,'Data shares'!$C:$FA,25)</f>
        <v>-1.65</v>
      </c>
    </row>
    <row r="171" spans="1:7" x14ac:dyDescent="0.25">
      <c r="A171" s="101" t="str">
        <f>'Data shares'!C167</f>
        <v>PHOENIXLTD</v>
      </c>
      <c r="B171" s="144">
        <f>VLOOKUP($A171,'Data shares'!$C:$FA,7)</f>
        <v>1563.5</v>
      </c>
      <c r="C171" s="144">
        <f>VLOOKUP($A171,'Data shares'!$C:$FA,3)</f>
        <v>1563.5</v>
      </c>
      <c r="D171" s="144">
        <f>VLOOKUP($A171,'Data shares'!$C:$FA,23)</f>
        <v>0</v>
      </c>
      <c r="E171" s="145">
        <f>VLOOKUP($A171,'Data shares'!$C:$FA,26)*100</f>
        <v>0</v>
      </c>
      <c r="F171" s="144">
        <f>VLOOKUP($A171,'Data shares'!$C:$FA,24)</f>
        <v>1.9</v>
      </c>
      <c r="G171" s="144">
        <f>VLOOKUP($A171,'Data shares'!$C:$FA,25)</f>
        <v>-1.9</v>
      </c>
    </row>
    <row r="172" spans="1:7" x14ac:dyDescent="0.25">
      <c r="A172" s="101" t="str">
        <f>'Data shares'!C168</f>
        <v>PIDILITIND</v>
      </c>
      <c r="B172" s="144">
        <f>VLOOKUP($A172,'Data shares'!$C:$FA,7)</f>
        <v>3084.6</v>
      </c>
      <c r="C172" s="144">
        <f>VLOOKUP($A172,'Data shares'!$C:$FA,3)</f>
        <v>3090.4</v>
      </c>
      <c r="D172" s="144">
        <f>VLOOKUP($A172,'Data shares'!$C:$FA,23)</f>
        <v>5.8</v>
      </c>
      <c r="E172" s="145">
        <f>VLOOKUP($A172,'Data shares'!$C:$FA,26)*100</f>
        <v>0.19</v>
      </c>
      <c r="F172" s="144">
        <f>VLOOKUP($A172,'Data shares'!$C:$FA,24)</f>
        <v>6.5</v>
      </c>
      <c r="G172" s="144">
        <f>VLOOKUP($A172,'Data shares'!$C:$FA,25)</f>
        <v>-0.7</v>
      </c>
    </row>
    <row r="173" spans="1:7" x14ac:dyDescent="0.25">
      <c r="A173" s="101" t="str">
        <f>'Data shares'!C169</f>
        <v>PIIND</v>
      </c>
      <c r="B173" s="144">
        <f>VLOOKUP($A173,'Data shares'!$C:$FA,7)</f>
        <v>3796.8</v>
      </c>
      <c r="C173" s="144">
        <f>VLOOKUP($A173,'Data shares'!$C:$FA,3)</f>
        <v>3808.8</v>
      </c>
      <c r="D173" s="144">
        <f>VLOOKUP($A173,'Data shares'!$C:$FA,23)</f>
        <v>12</v>
      </c>
      <c r="E173" s="145">
        <f>VLOOKUP($A173,'Data shares'!$C:$FA,26)*100</f>
        <v>0.32</v>
      </c>
      <c r="F173" s="144">
        <f>VLOOKUP($A173,'Data shares'!$C:$FA,24)</f>
        <v>16.5</v>
      </c>
      <c r="G173" s="144">
        <f>VLOOKUP($A173,'Data shares'!$C:$FA,25)</f>
        <v>-4.5</v>
      </c>
    </row>
    <row r="174" spans="1:7" x14ac:dyDescent="0.25">
      <c r="A174" s="101" t="str">
        <f>'Data shares'!C170</f>
        <v>PNB</v>
      </c>
      <c r="B174" s="144">
        <f>VLOOKUP($A174,'Data shares'!$C:$FA,7)</f>
        <v>107.11</v>
      </c>
      <c r="C174" s="144">
        <f>VLOOKUP($A174,'Data shares'!$C:$FA,3)</f>
        <v>107.25</v>
      </c>
      <c r="D174" s="144">
        <f>VLOOKUP($A174,'Data shares'!$C:$FA,23)</f>
        <v>0.14000000000000001</v>
      </c>
      <c r="E174" s="145">
        <f>VLOOKUP($A174,'Data shares'!$C:$FA,26)*100</f>
        <v>0.13</v>
      </c>
      <c r="F174" s="144">
        <f>VLOOKUP($A174,'Data shares'!$C:$FA,24)</f>
        <v>0.24</v>
      </c>
      <c r="G174" s="144">
        <f>VLOOKUP($A174,'Data shares'!$C:$FA,25)</f>
        <v>-0.1</v>
      </c>
    </row>
    <row r="175" spans="1:7" x14ac:dyDescent="0.25">
      <c r="A175" s="101" t="str">
        <f>'Data shares'!C171</f>
        <v>PNBHOUSING</v>
      </c>
      <c r="B175" s="144">
        <f>VLOOKUP($A175,'Data shares'!$C:$FA,7)</f>
        <v>808.45</v>
      </c>
      <c r="C175" s="144">
        <f>VLOOKUP($A175,'Data shares'!$C:$FA,3)</f>
        <v>811.85</v>
      </c>
      <c r="D175" s="144">
        <f>VLOOKUP($A175,'Data shares'!$C:$FA,23)</f>
        <v>3.4</v>
      </c>
      <c r="E175" s="145">
        <f>VLOOKUP($A175,'Data shares'!$C:$FA,26)*100</f>
        <v>0.42</v>
      </c>
      <c r="F175" s="144">
        <f>VLOOKUP($A175,'Data shares'!$C:$FA,24)</f>
        <v>3.15</v>
      </c>
      <c r="G175" s="144">
        <f>VLOOKUP($A175,'Data shares'!$C:$FA,25)</f>
        <v>0.25</v>
      </c>
    </row>
    <row r="176" spans="1:7" x14ac:dyDescent="0.25">
      <c r="A176" s="101" t="str">
        <f>'Data shares'!C172</f>
        <v>POLICYBZR</v>
      </c>
      <c r="B176" s="144">
        <f>VLOOKUP($A176,'Data shares'!$C:$FA,7)</f>
        <v>1921.8</v>
      </c>
      <c r="C176" s="144">
        <f>VLOOKUP($A176,'Data shares'!$C:$FA,3)</f>
        <v>1921.4</v>
      </c>
      <c r="D176" s="144">
        <f>VLOOKUP($A176,'Data shares'!$C:$FA,23)</f>
        <v>-0.4</v>
      </c>
      <c r="E176" s="145">
        <f>VLOOKUP($A176,'Data shares'!$C:$FA,26)*100</f>
        <v>-0.02</v>
      </c>
      <c r="F176" s="144">
        <f>VLOOKUP($A176,'Data shares'!$C:$FA,24)</f>
        <v>0.7</v>
      </c>
      <c r="G176" s="144">
        <f>VLOOKUP($A176,'Data shares'!$C:$FA,25)</f>
        <v>-1.1000000000000001</v>
      </c>
    </row>
    <row r="177" spans="1:7" x14ac:dyDescent="0.25">
      <c r="A177" s="101" t="str">
        <f>'Data shares'!C173</f>
        <v>POLYCAB</v>
      </c>
      <c r="B177" s="144">
        <f>VLOOKUP($A177,'Data shares'!$C:$FA,7)</f>
        <v>7158</v>
      </c>
      <c r="C177" s="144">
        <f>VLOOKUP($A177,'Data shares'!$C:$FA,3)</f>
        <v>7166.5</v>
      </c>
      <c r="D177" s="144">
        <f>VLOOKUP($A177,'Data shares'!$C:$FA,23)</f>
        <v>8.5</v>
      </c>
      <c r="E177" s="145">
        <f>VLOOKUP($A177,'Data shares'!$C:$FA,26)*100</f>
        <v>0.12</v>
      </c>
      <c r="F177" s="144">
        <f>VLOOKUP($A177,'Data shares'!$C:$FA,24)</f>
        <v>15</v>
      </c>
      <c r="G177" s="144">
        <f>VLOOKUP($A177,'Data shares'!$C:$FA,25)</f>
        <v>-6.5</v>
      </c>
    </row>
    <row r="178" spans="1:7" x14ac:dyDescent="0.25">
      <c r="A178" s="101" t="str">
        <f>'Data shares'!C174</f>
        <v>POONAWALLA</v>
      </c>
      <c r="B178" s="144">
        <f>VLOOKUP($A178,'Data shares'!$C:$FA,7)</f>
        <v>462.8</v>
      </c>
      <c r="C178" s="144">
        <f>VLOOKUP($A178,'Data shares'!$C:$FA,3)</f>
        <v>464.8</v>
      </c>
      <c r="D178" s="144">
        <f>VLOOKUP($A178,'Data shares'!$C:$FA,23)</f>
        <v>2</v>
      </c>
      <c r="E178" s="145">
        <f>VLOOKUP($A178,'Data shares'!$C:$FA,26)*100</f>
        <v>0.43</v>
      </c>
      <c r="F178" s="144">
        <f>VLOOKUP($A178,'Data shares'!$C:$FA,24)</f>
        <v>1.6</v>
      </c>
      <c r="G178" s="144">
        <f>VLOOKUP($A178,'Data shares'!$C:$FA,25)</f>
        <v>0.4</v>
      </c>
    </row>
    <row r="179" spans="1:7" x14ac:dyDescent="0.25">
      <c r="A179" s="101" t="str">
        <f>'Data shares'!C175</f>
        <v>POWERGRID</v>
      </c>
      <c r="B179" s="144">
        <f>VLOOKUP($A179,'Data shares'!$C:$FA,7)</f>
        <v>288.39999999999998</v>
      </c>
      <c r="C179" s="144">
        <f>VLOOKUP($A179,'Data shares'!$C:$FA,3)</f>
        <v>288.60000000000002</v>
      </c>
      <c r="D179" s="144">
        <f>VLOOKUP($A179,'Data shares'!$C:$FA,23)</f>
        <v>0.2</v>
      </c>
      <c r="E179" s="145">
        <f>VLOOKUP($A179,'Data shares'!$C:$FA,26)*100</f>
        <v>6.9999999999999993E-2</v>
      </c>
      <c r="F179" s="144">
        <f>VLOOKUP($A179,'Data shares'!$C:$FA,24)</f>
        <v>0.45</v>
      </c>
      <c r="G179" s="144">
        <f>VLOOKUP($A179,'Data shares'!$C:$FA,25)</f>
        <v>-0.25</v>
      </c>
    </row>
    <row r="180" spans="1:7" x14ac:dyDescent="0.25">
      <c r="A180" s="101" t="str">
        <f>'Data shares'!C176</f>
        <v>PPLPHARMA</v>
      </c>
      <c r="B180" s="144">
        <f>VLOOKUP($A180,'Data shares'!$C:$FA,7)</f>
        <v>191.79</v>
      </c>
      <c r="C180" s="144">
        <f>VLOOKUP($A180,'Data shares'!$C:$FA,3)</f>
        <v>192.09</v>
      </c>
      <c r="D180" s="144">
        <f>VLOOKUP($A180,'Data shares'!$C:$FA,23)</f>
        <v>0.3</v>
      </c>
      <c r="E180" s="145">
        <f>VLOOKUP($A180,'Data shares'!$C:$FA,26)*100</f>
        <v>0.16</v>
      </c>
      <c r="F180" s="144">
        <f>VLOOKUP($A180,'Data shares'!$C:$FA,24)</f>
        <v>0.89</v>
      </c>
      <c r="G180" s="144">
        <f>VLOOKUP($A180,'Data shares'!$C:$FA,25)</f>
        <v>-0.59</v>
      </c>
    </row>
    <row r="181" spans="1:7" x14ac:dyDescent="0.25">
      <c r="A181" s="101" t="str">
        <f>'Data shares'!C177</f>
        <v>PRESTIGE</v>
      </c>
      <c r="B181" s="144">
        <f>VLOOKUP($A181,'Data shares'!$C:$FA,7)</f>
        <v>1626.6</v>
      </c>
      <c r="C181" s="144">
        <f>VLOOKUP($A181,'Data shares'!$C:$FA,3)</f>
        <v>1632.7</v>
      </c>
      <c r="D181" s="144">
        <f>VLOOKUP($A181,'Data shares'!$C:$FA,23)</f>
        <v>6.1</v>
      </c>
      <c r="E181" s="145">
        <f>VLOOKUP($A181,'Data shares'!$C:$FA,26)*100</f>
        <v>0.38</v>
      </c>
      <c r="F181" s="144">
        <f>VLOOKUP($A181,'Data shares'!$C:$FA,24)</f>
        <v>1.2</v>
      </c>
      <c r="G181" s="144">
        <f>VLOOKUP($A181,'Data shares'!$C:$FA,25)</f>
        <v>4.9000000000000004</v>
      </c>
    </row>
    <row r="182" spans="1:7" x14ac:dyDescent="0.25">
      <c r="A182" s="101" t="str">
        <f>'Data shares'!C178</f>
        <v>RBLBANK</v>
      </c>
      <c r="B182" s="144">
        <f>VLOOKUP($A182,'Data shares'!$C:$FA,7)</f>
        <v>256.60000000000002</v>
      </c>
      <c r="C182" s="144">
        <f>VLOOKUP($A182,'Data shares'!$C:$FA,3)</f>
        <v>256.85000000000002</v>
      </c>
      <c r="D182" s="144">
        <f>VLOOKUP($A182,'Data shares'!$C:$FA,23)</f>
        <v>0.25</v>
      </c>
      <c r="E182" s="145">
        <f>VLOOKUP($A182,'Data shares'!$C:$FA,26)*100</f>
        <v>0.1</v>
      </c>
      <c r="F182" s="144">
        <f>VLOOKUP($A182,'Data shares'!$C:$FA,24)</f>
        <v>0.2</v>
      </c>
      <c r="G182" s="144">
        <f>VLOOKUP($A182,'Data shares'!$C:$FA,25)</f>
        <v>0.05</v>
      </c>
    </row>
    <row r="183" spans="1:7" x14ac:dyDescent="0.25">
      <c r="A183" s="101" t="str">
        <f>'Data shares'!C179</f>
        <v>RECLTD</v>
      </c>
      <c r="B183" s="144">
        <f>VLOOKUP($A183,'Data shares'!$C:$FA,7)</f>
        <v>380.85</v>
      </c>
      <c r="C183" s="144">
        <f>VLOOKUP($A183,'Data shares'!$C:$FA,3)</f>
        <v>381.9</v>
      </c>
      <c r="D183" s="144">
        <f>VLOOKUP($A183,'Data shares'!$C:$FA,23)</f>
        <v>1.05</v>
      </c>
      <c r="E183" s="145">
        <f>VLOOKUP($A183,'Data shares'!$C:$FA,26)*100</f>
        <v>0.27999999999999997</v>
      </c>
      <c r="F183" s="144">
        <f>VLOOKUP($A183,'Data shares'!$C:$FA,24)</f>
        <v>0.65</v>
      </c>
      <c r="G183" s="144">
        <f>VLOOKUP($A183,'Data shares'!$C:$FA,25)</f>
        <v>0.4</v>
      </c>
    </row>
    <row r="184" spans="1:7" x14ac:dyDescent="0.25">
      <c r="A184" s="101" t="str">
        <f>'Data shares'!C180</f>
        <v>RELIANCE</v>
      </c>
      <c r="B184" s="144">
        <f>VLOOKUP($A184,'Data shares'!$C:$FA,7)</f>
        <v>1413</v>
      </c>
      <c r="C184" s="144">
        <f>VLOOKUP($A184,'Data shares'!$C:$FA,3)</f>
        <v>1415.5</v>
      </c>
      <c r="D184" s="144">
        <f>VLOOKUP($A184,'Data shares'!$C:$FA,23)</f>
        <v>2.5</v>
      </c>
      <c r="E184" s="145">
        <f>VLOOKUP($A184,'Data shares'!$C:$FA,26)*100</f>
        <v>0.18</v>
      </c>
      <c r="F184" s="144">
        <f>VLOOKUP($A184,'Data shares'!$C:$FA,24)</f>
        <v>1.1000000000000001</v>
      </c>
      <c r="G184" s="144">
        <f>VLOOKUP($A184,'Data shares'!$C:$FA,25)</f>
        <v>1.4</v>
      </c>
    </row>
    <row r="185" spans="1:7" x14ac:dyDescent="0.25">
      <c r="A185" s="101" t="str">
        <f>'Data shares'!C181</f>
        <v>RVNL</v>
      </c>
      <c r="B185" s="144">
        <f>VLOOKUP($A185,'Data shares'!$C:$FA,7)</f>
        <v>330.8</v>
      </c>
      <c r="C185" s="144">
        <f>VLOOKUP($A185,'Data shares'!$C:$FA,3)</f>
        <v>325.05</v>
      </c>
      <c r="D185" s="144">
        <f>VLOOKUP($A185,'Data shares'!$C:$FA,23)</f>
        <v>-5.75</v>
      </c>
      <c r="E185" s="145">
        <f>VLOOKUP($A185,'Data shares'!$C:$FA,26)*100</f>
        <v>-1.7399999999999998</v>
      </c>
      <c r="F185" s="144">
        <f>VLOOKUP($A185,'Data shares'!$C:$FA,24)</f>
        <v>-2</v>
      </c>
      <c r="G185" s="144">
        <f>VLOOKUP($A185,'Data shares'!$C:$FA,25)</f>
        <v>-3.75</v>
      </c>
    </row>
    <row r="186" spans="1:7" x14ac:dyDescent="0.25">
      <c r="A186" s="101" t="str">
        <f>'Data shares'!C182</f>
        <v>SAIL</v>
      </c>
      <c r="B186" s="144">
        <f>VLOOKUP($A186,'Data shares'!$C:$FA,7)</f>
        <v>124.09</v>
      </c>
      <c r="C186" s="144">
        <f>VLOOKUP($A186,'Data shares'!$C:$FA,3)</f>
        <v>124.38</v>
      </c>
      <c r="D186" s="144">
        <f>VLOOKUP($A186,'Data shares'!$C:$FA,23)</f>
        <v>0.28999999999999998</v>
      </c>
      <c r="E186" s="145">
        <f>VLOOKUP($A186,'Data shares'!$C:$FA,26)*100</f>
        <v>0.22999999999999998</v>
      </c>
      <c r="F186" s="144">
        <f>VLOOKUP($A186,'Data shares'!$C:$FA,24)</f>
        <v>0.02</v>
      </c>
      <c r="G186" s="144">
        <f>VLOOKUP($A186,'Data shares'!$C:$FA,25)</f>
        <v>0.27</v>
      </c>
    </row>
    <row r="187" spans="1:7" x14ac:dyDescent="0.25">
      <c r="A187" s="101" t="str">
        <f>'Data shares'!C183</f>
        <v>SBICARD</v>
      </c>
      <c r="B187" s="144">
        <f>VLOOKUP($A187,'Data shares'!$C:$FA,7)</f>
        <v>818.1</v>
      </c>
      <c r="C187" s="144">
        <f>VLOOKUP($A187,'Data shares'!$C:$FA,3)</f>
        <v>816.05</v>
      </c>
      <c r="D187" s="144">
        <f>VLOOKUP($A187,'Data shares'!$C:$FA,23)</f>
        <v>-2.0499999999999998</v>
      </c>
      <c r="E187" s="145">
        <f>VLOOKUP($A187,'Data shares'!$C:$FA,26)*100</f>
        <v>-0.25</v>
      </c>
      <c r="F187" s="144">
        <f>VLOOKUP($A187,'Data shares'!$C:$FA,24)</f>
        <v>-1</v>
      </c>
      <c r="G187" s="144">
        <f>VLOOKUP($A187,'Data shares'!$C:$FA,25)</f>
        <v>-1.05</v>
      </c>
    </row>
    <row r="188" spans="1:7" x14ac:dyDescent="0.25">
      <c r="A188" s="101" t="str">
        <f>'Data shares'!C184</f>
        <v>SBILIFE</v>
      </c>
      <c r="B188" s="144">
        <f>VLOOKUP($A188,'Data shares'!$C:$FA,7)</f>
        <v>1858.5</v>
      </c>
      <c r="C188" s="144">
        <f>VLOOKUP($A188,'Data shares'!$C:$FA,3)</f>
        <v>1861.7</v>
      </c>
      <c r="D188" s="144">
        <f>VLOOKUP($A188,'Data shares'!$C:$FA,23)</f>
        <v>3.2</v>
      </c>
      <c r="E188" s="145">
        <f>VLOOKUP($A188,'Data shares'!$C:$FA,26)*100</f>
        <v>0.16999999999999998</v>
      </c>
      <c r="F188" s="144">
        <f>VLOOKUP($A188,'Data shares'!$C:$FA,24)</f>
        <v>4.3</v>
      </c>
      <c r="G188" s="144">
        <f>VLOOKUP($A188,'Data shares'!$C:$FA,25)</f>
        <v>-1.1000000000000001</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shares'!C224</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27" activePane="bottomLeft" state="frozen"/>
      <selection pane="bottomLeft" activeCell="B155" sqref="B15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28.35</v>
      </c>
      <c r="C7" s="50">
        <f>VLOOKUP($A7,'Data shares'!$C:$FM,110)</f>
        <v>28.2</v>
      </c>
      <c r="D7" s="50">
        <f>VLOOKUP($A7,'Data shares'!$C:$FM,114)</f>
        <v>28.8</v>
      </c>
      <c r="E7" s="50">
        <f>VLOOKUP($A7,'Data shares'!$C:$FM,106)</f>
        <v>48.51</v>
      </c>
      <c r="F7" s="50">
        <f>VLOOKUP($A7,'Data shares'!$C:$FM,108)</f>
        <v>-20.16</v>
      </c>
      <c r="G7" s="50">
        <f t="shared" ref="G7:G38" si="0">B7/E7</f>
        <v>0.5844155844155845</v>
      </c>
    </row>
    <row r="8" spans="1:7" x14ac:dyDescent="0.25">
      <c r="A8" s="49" t="str">
        <f>'Data shares'!C3</f>
        <v>ABB</v>
      </c>
      <c r="B8" s="50">
        <f>VLOOKUP($A8,'Data shares'!$C:$FM,102)</f>
        <v>30.48</v>
      </c>
      <c r="C8" s="50">
        <f>VLOOKUP($A8,'Data shares'!$C:$FM,110)</f>
        <v>30.75</v>
      </c>
      <c r="D8" s="50">
        <f>VLOOKUP($A8,'Data shares'!$C:$FM,114)</f>
        <v>29.56</v>
      </c>
      <c r="E8" s="50">
        <f>VLOOKUP($A8,'Data shares'!$C:$FM,106)</f>
        <v>39.49</v>
      </c>
      <c r="F8" s="50">
        <f>VLOOKUP($A8,'Data shares'!$C:$FM,108)</f>
        <v>-9.01</v>
      </c>
      <c r="G8" s="50">
        <f t="shared" si="0"/>
        <v>0.77184097239807548</v>
      </c>
    </row>
    <row r="9" spans="1:7" x14ac:dyDescent="0.25">
      <c r="A9" s="49" t="str">
        <f>'Data shares'!C4</f>
        <v>ABCAPITAL</v>
      </c>
      <c r="B9" s="50">
        <f>VLOOKUP($A9,'Data shares'!$C:$FM,102)</f>
        <v>31.38</v>
      </c>
      <c r="C9" s="50">
        <f>VLOOKUP($A9,'Data shares'!$C:$FM,110)</f>
        <v>31.43</v>
      </c>
      <c r="D9" s="50">
        <f>VLOOKUP($A9,'Data shares'!$C:$FM,114)</f>
        <v>31.27</v>
      </c>
      <c r="E9" s="50">
        <f>VLOOKUP($A9,'Data shares'!$C:$FM,106)</f>
        <v>42.11</v>
      </c>
      <c r="F9" s="50">
        <f>VLOOKUP($A9,'Data shares'!$C:$FM,108)</f>
        <v>-10.73</v>
      </c>
      <c r="G9" s="50">
        <f t="shared" si="0"/>
        <v>0.74519116599382573</v>
      </c>
    </row>
    <row r="10" spans="1:7" x14ac:dyDescent="0.25">
      <c r="A10" s="49" t="str">
        <f>'Data shares'!C5</f>
        <v>ABFRL</v>
      </c>
      <c r="B10" s="50">
        <f>VLOOKUP($A10,'Data shares'!$C:$FM,102)</f>
        <v>33.979999999999997</v>
      </c>
      <c r="C10" s="50">
        <f>VLOOKUP($A10,'Data shares'!$C:$FM,110)</f>
        <v>34.31</v>
      </c>
      <c r="D10" s="50">
        <f>VLOOKUP($A10,'Data shares'!$C:$FM,114)</f>
        <v>31.72</v>
      </c>
      <c r="E10" s="50">
        <f>VLOOKUP($A10,'Data shares'!$C:$FM,106)</f>
        <v>42.8</v>
      </c>
      <c r="F10" s="50">
        <f>VLOOKUP($A10,'Data shares'!$C:$FM,108)</f>
        <v>-8.82</v>
      </c>
      <c r="G10" s="50">
        <f t="shared" si="0"/>
        <v>0.79392523364485978</v>
      </c>
    </row>
    <row r="11" spans="1:7" x14ac:dyDescent="0.25">
      <c r="A11" s="49" t="str">
        <f>'Data shares'!C6</f>
        <v>ADANIENSOL</v>
      </c>
      <c r="B11" s="50">
        <f>VLOOKUP($A11,'Data shares'!$C:$FM,102)</f>
        <v>27.14</v>
      </c>
      <c r="C11" s="50">
        <f>VLOOKUP($A11,'Data shares'!$C:$FM,110)</f>
        <v>27.04</v>
      </c>
      <c r="D11" s="50">
        <f>VLOOKUP($A11,'Data shares'!$C:$FM,114)</f>
        <v>27.3</v>
      </c>
      <c r="E11" s="50">
        <f>VLOOKUP($A11,'Data shares'!$C:$FM,106)</f>
        <v>58.99</v>
      </c>
      <c r="F11" s="50">
        <f>VLOOKUP($A11,'Data shares'!$C:$FM,108)</f>
        <v>-31.85</v>
      </c>
      <c r="G11" s="50">
        <f t="shared" si="0"/>
        <v>0.46007797931852856</v>
      </c>
    </row>
    <row r="12" spans="1:7" x14ac:dyDescent="0.25">
      <c r="A12" s="49" t="str">
        <f>'Data shares'!C7</f>
        <v>ADANIENT</v>
      </c>
      <c r="B12" s="50">
        <f>VLOOKUP($A12,'Data shares'!$C:$FM,102)</f>
        <v>29.72</v>
      </c>
      <c r="C12" s="50">
        <f>VLOOKUP($A12,'Data shares'!$C:$FM,110)</f>
        <v>28.62</v>
      </c>
      <c r="D12" s="50">
        <f>VLOOKUP($A12,'Data shares'!$C:$FM,114)</f>
        <v>31.81</v>
      </c>
      <c r="E12" s="50">
        <f>VLOOKUP($A12,'Data shares'!$C:$FM,106)</f>
        <v>52.58</v>
      </c>
      <c r="F12" s="50">
        <f>VLOOKUP($A12,'Data shares'!$C:$FM,108)</f>
        <v>-22.86</v>
      </c>
      <c r="G12" s="50">
        <f t="shared" si="0"/>
        <v>0.56523392925066562</v>
      </c>
    </row>
    <row r="13" spans="1:7" x14ac:dyDescent="0.25">
      <c r="A13" s="49" t="str">
        <f>'Data shares'!C8</f>
        <v>ADANIGREEN</v>
      </c>
      <c r="B13" s="50">
        <f>VLOOKUP($A13,'Data shares'!$C:$FM,102)</f>
        <v>34.61</v>
      </c>
      <c r="C13" s="50">
        <f>VLOOKUP($A13,'Data shares'!$C:$FM,110)</f>
        <v>34.299999999999997</v>
      </c>
      <c r="D13" s="50">
        <f>VLOOKUP($A13,'Data shares'!$C:$FM,114)</f>
        <v>35.17</v>
      </c>
      <c r="E13" s="50">
        <f>VLOOKUP($A13,'Data shares'!$C:$FM,106)</f>
        <v>60.64</v>
      </c>
      <c r="F13" s="50">
        <f>VLOOKUP($A13,'Data shares'!$C:$FM,108)</f>
        <v>-26.03</v>
      </c>
      <c r="G13" s="50">
        <f t="shared" si="0"/>
        <v>0.57074538258575191</v>
      </c>
    </row>
    <row r="14" spans="1:7" x14ac:dyDescent="0.25">
      <c r="A14" s="49" t="str">
        <f>'Data shares'!C9</f>
        <v>ADANIPORTS</v>
      </c>
      <c r="B14" s="50">
        <f>VLOOKUP($A14,'Data shares'!$C:$FM,102)</f>
        <v>23.65</v>
      </c>
      <c r="C14" s="50">
        <f>VLOOKUP($A14,'Data shares'!$C:$FM,110)</f>
        <v>23.61</v>
      </c>
      <c r="D14" s="50">
        <f>VLOOKUP($A14,'Data shares'!$C:$FM,114)</f>
        <v>23.71</v>
      </c>
      <c r="E14" s="50">
        <f>VLOOKUP($A14,'Data shares'!$C:$FM,106)</f>
        <v>41.98</v>
      </c>
      <c r="F14" s="50">
        <f>VLOOKUP($A14,'Data shares'!$C:$FM,108)</f>
        <v>-18.329999999999998</v>
      </c>
      <c r="G14" s="50">
        <f t="shared" si="0"/>
        <v>0.56336350643163413</v>
      </c>
    </row>
    <row r="15" spans="1:7" x14ac:dyDescent="0.25">
      <c r="A15" s="49" t="str">
        <f>'Data shares'!C10</f>
        <v>ALKEM</v>
      </c>
      <c r="B15" s="50">
        <f>VLOOKUP($A15,'Data shares'!$C:$FM,102)</f>
        <v>25.35</v>
      </c>
      <c r="C15" s="50">
        <f>VLOOKUP($A15,'Data shares'!$C:$FM,110)</f>
        <v>24.91</v>
      </c>
      <c r="D15" s="50">
        <f>VLOOKUP($A15,'Data shares'!$C:$FM,114)</f>
        <v>26.86</v>
      </c>
      <c r="E15" s="50">
        <f>VLOOKUP($A15,'Data shares'!$C:$FM,106)</f>
        <v>30.02</v>
      </c>
      <c r="F15" s="50">
        <f>VLOOKUP($A15,'Data shares'!$C:$FM,108)</f>
        <v>-4.67</v>
      </c>
      <c r="G15" s="50">
        <f t="shared" si="0"/>
        <v>0.84443704197201874</v>
      </c>
    </row>
    <row r="16" spans="1:7" x14ac:dyDescent="0.25">
      <c r="A16" s="49" t="str">
        <f>'Data shares'!C11</f>
        <v>AMBER</v>
      </c>
      <c r="B16" s="50">
        <f>VLOOKUP($A16,'Data shares'!$C:$FM,102)</f>
        <v>37.15</v>
      </c>
      <c r="C16" s="50">
        <f>VLOOKUP($A16,'Data shares'!$C:$FM,110)</f>
        <v>36.950000000000003</v>
      </c>
      <c r="D16" s="50">
        <f>VLOOKUP($A16,'Data shares'!$C:$FM,114)</f>
        <v>37.479999999999997</v>
      </c>
      <c r="E16" s="50">
        <f>VLOOKUP($A16,'Data shares'!$C:$FM,106)</f>
        <v>58.11</v>
      </c>
      <c r="F16" s="50">
        <f>VLOOKUP($A16,'Data shares'!$C:$FM,108)</f>
        <v>-20.96</v>
      </c>
      <c r="G16" s="50">
        <f t="shared" si="0"/>
        <v>0.63930476682154536</v>
      </c>
    </row>
    <row r="17" spans="1:7" x14ac:dyDescent="0.25">
      <c r="A17" s="49" t="str">
        <f>'Data shares'!C12</f>
        <v>AMBUJACEM</v>
      </c>
      <c r="B17" s="50">
        <f>VLOOKUP($A17,'Data shares'!$C:$FM,102)</f>
        <v>23.65</v>
      </c>
      <c r="C17" s="50">
        <f>VLOOKUP($A17,'Data shares'!$C:$FM,110)</f>
        <v>24.34</v>
      </c>
      <c r="D17" s="50">
        <f>VLOOKUP($A17,'Data shares'!$C:$FM,114)</f>
        <v>21.96</v>
      </c>
      <c r="E17" s="50">
        <f>VLOOKUP($A17,'Data shares'!$C:$FM,106)</f>
        <v>36.32</v>
      </c>
      <c r="F17" s="50">
        <f>VLOOKUP($A17,'Data shares'!$C:$FM,108)</f>
        <v>-12.67</v>
      </c>
      <c r="G17" s="50">
        <f t="shared" si="0"/>
        <v>0.65115638766519823</v>
      </c>
    </row>
    <row r="18" spans="1:7" x14ac:dyDescent="0.25">
      <c r="A18" s="49" t="str">
        <f>'Data shares'!C13</f>
        <v>ANGELONE</v>
      </c>
      <c r="B18" s="50">
        <f>VLOOKUP($A18,'Data shares'!$C:$FM,102)</f>
        <v>38.299999999999997</v>
      </c>
      <c r="C18" s="50">
        <f>VLOOKUP($A18,'Data shares'!$C:$FM,110)</f>
        <v>36.56</v>
      </c>
      <c r="D18" s="50">
        <f>VLOOKUP($A18,'Data shares'!$C:$FM,114)</f>
        <v>41.41</v>
      </c>
      <c r="E18" s="50">
        <f>VLOOKUP($A18,'Data shares'!$C:$FM,106)</f>
        <v>57.83</v>
      </c>
      <c r="F18" s="50">
        <f>VLOOKUP($A18,'Data shares'!$C:$FM,108)</f>
        <v>-19.53</v>
      </c>
      <c r="G18" s="50">
        <f t="shared" si="0"/>
        <v>0.66228601072107895</v>
      </c>
    </row>
    <row r="19" spans="1:7" x14ac:dyDescent="0.25">
      <c r="A19" s="49" t="str">
        <f>'Data shares'!C14</f>
        <v>APLAPOLLO</v>
      </c>
      <c r="B19" s="50">
        <f>VLOOKUP($A19,'Data shares'!$C:$FM,102)</f>
        <v>23.3</v>
      </c>
      <c r="C19" s="50">
        <f>VLOOKUP($A19,'Data shares'!$C:$FM,110)</f>
        <v>22.93</v>
      </c>
      <c r="D19" s="50">
        <f>VLOOKUP($A19,'Data shares'!$C:$FM,114)</f>
        <v>24.32</v>
      </c>
      <c r="E19" s="50">
        <f>VLOOKUP($A19,'Data shares'!$C:$FM,106)</f>
        <v>37.299999999999997</v>
      </c>
      <c r="F19" s="50">
        <f>VLOOKUP($A19,'Data shares'!$C:$FM,108)</f>
        <v>-14</v>
      </c>
      <c r="G19" s="50">
        <f t="shared" si="0"/>
        <v>0.62466487935656845</v>
      </c>
    </row>
    <row r="20" spans="1:7" x14ac:dyDescent="0.25">
      <c r="A20" s="49" t="str">
        <f>'Data shares'!C15</f>
        <v>APOLLOHOSP</v>
      </c>
      <c r="B20" s="50">
        <f>VLOOKUP($A20,'Data shares'!$C:$FM,102)</f>
        <v>20.79</v>
      </c>
      <c r="C20" s="50">
        <f>VLOOKUP($A20,'Data shares'!$C:$FM,110)</f>
        <v>19.649999999999999</v>
      </c>
      <c r="D20" s="50">
        <f>VLOOKUP($A20,'Data shares'!$C:$FM,114)</f>
        <v>22.58</v>
      </c>
      <c r="E20" s="50">
        <f>VLOOKUP($A20,'Data shares'!$C:$FM,106)</f>
        <v>28.05</v>
      </c>
      <c r="F20" s="50">
        <f>VLOOKUP($A20,'Data shares'!$C:$FM,108)</f>
        <v>-7.26</v>
      </c>
      <c r="G20" s="50">
        <f t="shared" si="0"/>
        <v>0.74117647058823521</v>
      </c>
    </row>
    <row r="21" spans="1:7" x14ac:dyDescent="0.25">
      <c r="A21" s="49" t="str">
        <f>'Data shares'!C16</f>
        <v>ASHOKLEY</v>
      </c>
      <c r="B21" s="50">
        <f>VLOOKUP($A21,'Data shares'!$C:$FM,102)</f>
        <v>30.28</v>
      </c>
      <c r="C21" s="50">
        <f>VLOOKUP($A21,'Data shares'!$C:$FM,110)</f>
        <v>29.7</v>
      </c>
      <c r="D21" s="50">
        <f>VLOOKUP($A21,'Data shares'!$C:$FM,114)</f>
        <v>31.14</v>
      </c>
      <c r="E21" s="50">
        <f>VLOOKUP($A21,'Data shares'!$C:$FM,106)</f>
        <v>36.43</v>
      </c>
      <c r="F21" s="50">
        <f>VLOOKUP($A21,'Data shares'!$C:$FM,108)</f>
        <v>-6.15</v>
      </c>
      <c r="G21" s="50">
        <f t="shared" si="0"/>
        <v>0.83118309085918207</v>
      </c>
    </row>
    <row r="22" spans="1:7" x14ac:dyDescent="0.25">
      <c r="A22" s="49" t="str">
        <f>'Data shares'!C17</f>
        <v>ASIANPAINT</v>
      </c>
      <c r="B22" s="50">
        <f>VLOOKUP($A22,'Data shares'!$C:$FM,102)</f>
        <v>18.87</v>
      </c>
      <c r="C22" s="50">
        <f>VLOOKUP($A22,'Data shares'!$C:$FM,110)</f>
        <v>18.78</v>
      </c>
      <c r="D22" s="50">
        <f>VLOOKUP($A22,'Data shares'!$C:$FM,114)</f>
        <v>19.03</v>
      </c>
      <c r="E22" s="50">
        <f>VLOOKUP($A22,'Data shares'!$C:$FM,106)</f>
        <v>24.11</v>
      </c>
      <c r="F22" s="50">
        <f>VLOOKUP($A22,'Data shares'!$C:$FM,108)</f>
        <v>-5.24</v>
      </c>
      <c r="G22" s="50">
        <f t="shared" si="0"/>
        <v>0.78266279552053097</v>
      </c>
    </row>
    <row r="23" spans="1:7" x14ac:dyDescent="0.25">
      <c r="A23" s="49" t="str">
        <f>'Data shares'!C18</f>
        <v>ASTRAL</v>
      </c>
      <c r="B23" s="50">
        <f>VLOOKUP($A23,'Data shares'!$C:$FM,102)</f>
        <v>26.53</v>
      </c>
      <c r="C23" s="50">
        <f>VLOOKUP($A23,'Data shares'!$C:$FM,110)</f>
        <v>25.64</v>
      </c>
      <c r="D23" s="50">
        <f>VLOOKUP($A23,'Data shares'!$C:$FM,114)</f>
        <v>28.94</v>
      </c>
      <c r="E23" s="50">
        <f>VLOOKUP($A23,'Data shares'!$C:$FM,106)</f>
        <v>35.06</v>
      </c>
      <c r="F23" s="50">
        <f>VLOOKUP($A23,'Data shares'!$C:$FM,108)</f>
        <v>-8.5299999999999994</v>
      </c>
      <c r="G23" s="50">
        <f t="shared" si="0"/>
        <v>0.75670279520821448</v>
      </c>
    </row>
    <row r="24" spans="1:7" x14ac:dyDescent="0.25">
      <c r="A24" s="49" t="str">
        <f>'Data shares'!C19</f>
        <v>ATGL</v>
      </c>
      <c r="B24" s="50">
        <f>VLOOKUP($A24,'Data shares'!$C:$FM,102)</f>
        <v>27.15</v>
      </c>
      <c r="C24" s="50">
        <f>VLOOKUP($A24,'Data shares'!$C:$FM,110)</f>
        <v>26.77</v>
      </c>
      <c r="D24" s="50">
        <f>VLOOKUP($A24,'Data shares'!$C:$FM,114)</f>
        <v>28.32</v>
      </c>
      <c r="E24" s="50">
        <f>VLOOKUP($A24,'Data shares'!$C:$FM,106)</f>
        <v>54.79</v>
      </c>
      <c r="F24" s="50">
        <f>VLOOKUP($A24,'Data shares'!$C:$FM,108)</f>
        <v>-27.64</v>
      </c>
      <c r="G24" s="50">
        <f t="shared" si="0"/>
        <v>0.49552838109144004</v>
      </c>
    </row>
    <row r="25" spans="1:7" x14ac:dyDescent="0.25">
      <c r="A25" s="49" t="str">
        <f>'Data shares'!C20</f>
        <v>AUBANK</v>
      </c>
      <c r="B25" s="50">
        <f>VLOOKUP($A25,'Data shares'!$C:$FM,102)</f>
        <v>25.94</v>
      </c>
      <c r="C25" s="50">
        <f>VLOOKUP($A25,'Data shares'!$C:$FM,110)</f>
        <v>26.2</v>
      </c>
      <c r="D25" s="50">
        <f>VLOOKUP($A25,'Data shares'!$C:$FM,114)</f>
        <v>25.42</v>
      </c>
      <c r="E25" s="50">
        <f>VLOOKUP($A25,'Data shares'!$C:$FM,106)</f>
        <v>37.61</v>
      </c>
      <c r="F25" s="50">
        <f>VLOOKUP($A25,'Data shares'!$C:$FM,108)</f>
        <v>-11.67</v>
      </c>
      <c r="G25" s="50">
        <f t="shared" si="0"/>
        <v>0.68971018346184532</v>
      </c>
    </row>
    <row r="26" spans="1:7" x14ac:dyDescent="0.25">
      <c r="A26" s="49" t="str">
        <f>'Data shares'!C21</f>
        <v>AUROPHARMA</v>
      </c>
      <c r="B26" s="50">
        <f>VLOOKUP($A26,'Data shares'!$C:$FM,102)</f>
        <v>35.82</v>
      </c>
      <c r="C26" s="50">
        <f>VLOOKUP($A26,'Data shares'!$C:$FM,110)</f>
        <v>36.9</v>
      </c>
      <c r="D26" s="50">
        <f>VLOOKUP($A26,'Data shares'!$C:$FM,114)</f>
        <v>34.06</v>
      </c>
      <c r="E26" s="50">
        <f>VLOOKUP($A26,'Data shares'!$C:$FM,106)</f>
        <v>35.75</v>
      </c>
      <c r="F26" s="50">
        <f>VLOOKUP($A26,'Data shares'!$C:$FM,108)</f>
        <v>7.0000000000000007E-2</v>
      </c>
      <c r="G26" s="50">
        <f t="shared" si="0"/>
        <v>1.0019580419580421</v>
      </c>
    </row>
    <row r="27" spans="1:7" x14ac:dyDescent="0.25">
      <c r="A27" s="49" t="str">
        <f>'Data shares'!C22</f>
        <v>AXISBANK</v>
      </c>
      <c r="B27" s="50">
        <f>VLOOKUP($A27,'Data shares'!$C:$FM,102)</f>
        <v>19.52</v>
      </c>
      <c r="C27" s="50">
        <f>VLOOKUP($A27,'Data shares'!$C:$FM,110)</f>
        <v>19.84</v>
      </c>
      <c r="D27" s="50">
        <f>VLOOKUP($A27,'Data shares'!$C:$FM,114)</f>
        <v>18.920000000000002</v>
      </c>
      <c r="E27" s="50">
        <f>VLOOKUP($A27,'Data shares'!$C:$FM,106)</f>
        <v>27.53</v>
      </c>
      <c r="F27" s="50">
        <f>VLOOKUP($A27,'Data shares'!$C:$FM,108)</f>
        <v>-8.01</v>
      </c>
      <c r="G27" s="50">
        <f t="shared" si="0"/>
        <v>0.70904467853250996</v>
      </c>
    </row>
    <row r="28" spans="1:7" x14ac:dyDescent="0.25">
      <c r="A28" s="49" t="str">
        <f>'Data shares'!C23</f>
        <v>BAJAJ-AUTO</v>
      </c>
      <c r="B28" s="50">
        <f>VLOOKUP($A28,'Data shares'!$C:$FM,102)</f>
        <v>25.01</v>
      </c>
      <c r="C28" s="50">
        <f>VLOOKUP($A28,'Data shares'!$C:$FM,110)</f>
        <v>24.61</v>
      </c>
      <c r="D28" s="50">
        <f>VLOOKUP($A28,'Data shares'!$C:$FM,114)</f>
        <v>25.77</v>
      </c>
      <c r="E28" s="50">
        <f>VLOOKUP($A28,'Data shares'!$C:$FM,106)</f>
        <v>31.72</v>
      </c>
      <c r="F28" s="50">
        <f>VLOOKUP($A28,'Data shares'!$C:$FM,108)</f>
        <v>-6.71</v>
      </c>
      <c r="G28" s="50">
        <f t="shared" si="0"/>
        <v>0.78846153846153855</v>
      </c>
    </row>
    <row r="29" spans="1:7" x14ac:dyDescent="0.25">
      <c r="A29" s="49" t="str">
        <f>'Data shares'!C24</f>
        <v>BAJAJFINSV</v>
      </c>
      <c r="B29" s="50">
        <f>VLOOKUP($A29,'Data shares'!$C:$FM,102)</f>
        <v>22.01</v>
      </c>
      <c r="C29" s="50">
        <f>VLOOKUP($A29,'Data shares'!$C:$FM,110)</f>
        <v>22.15</v>
      </c>
      <c r="D29" s="50">
        <f>VLOOKUP($A29,'Data shares'!$C:$FM,114)</f>
        <v>21.72</v>
      </c>
      <c r="E29" s="50">
        <f>VLOOKUP($A29,'Data shares'!$C:$FM,106)</f>
        <v>29.56</v>
      </c>
      <c r="F29" s="50">
        <f>VLOOKUP($A29,'Data shares'!$C:$FM,108)</f>
        <v>-7.55</v>
      </c>
      <c r="G29" s="50">
        <f t="shared" si="0"/>
        <v>0.74458728010825448</v>
      </c>
    </row>
    <row r="30" spans="1:7" x14ac:dyDescent="0.25">
      <c r="A30" s="49" t="str">
        <f>'Data shares'!C25</f>
        <v>BAJFINANCE</v>
      </c>
      <c r="B30" s="50">
        <f>VLOOKUP($A30,'Data shares'!$C:$FM,102)</f>
        <v>27.59</v>
      </c>
      <c r="C30" s="50">
        <f>VLOOKUP($A30,'Data shares'!$C:$FM,110)</f>
        <v>28.07</v>
      </c>
      <c r="D30" s="50">
        <f>VLOOKUP($A30,'Data shares'!$C:$FM,114)</f>
        <v>26.7</v>
      </c>
      <c r="E30" s="50">
        <f>VLOOKUP($A30,'Data shares'!$C:$FM,106)</f>
        <v>31.85</v>
      </c>
      <c r="F30" s="50">
        <f>VLOOKUP($A30,'Data shares'!$C:$FM,108)</f>
        <v>-4.26</v>
      </c>
      <c r="G30" s="50">
        <f t="shared" si="0"/>
        <v>0.86624803767660907</v>
      </c>
    </row>
    <row r="31" spans="1:7" x14ac:dyDescent="0.25">
      <c r="A31" s="49" t="str">
        <f>'Data shares'!C26</f>
        <v>BANDHANBNK</v>
      </c>
      <c r="B31" s="50">
        <f>VLOOKUP($A31,'Data shares'!$C:$FM,102)</f>
        <v>30.21</v>
      </c>
      <c r="C31" s="50">
        <f>VLOOKUP($A31,'Data shares'!$C:$FM,110)</f>
        <v>29.5</v>
      </c>
      <c r="D31" s="50">
        <f>VLOOKUP($A31,'Data shares'!$C:$FM,114)</f>
        <v>31.19</v>
      </c>
      <c r="E31" s="50">
        <f>VLOOKUP($A31,'Data shares'!$C:$FM,106)</f>
        <v>43.69</v>
      </c>
      <c r="F31" s="50">
        <f>VLOOKUP($A31,'Data shares'!$C:$FM,108)</f>
        <v>-13.48</v>
      </c>
      <c r="G31" s="50">
        <f t="shared" si="0"/>
        <v>0.69146257724879845</v>
      </c>
    </row>
    <row r="32" spans="1:7" x14ac:dyDescent="0.25">
      <c r="A32" s="49" t="str">
        <f>'Data shares'!C27</f>
        <v>BANKBARODA</v>
      </c>
      <c r="B32" s="50">
        <f>VLOOKUP($A32,'Data shares'!$C:$FM,102)</f>
        <v>24.82</v>
      </c>
      <c r="C32" s="50">
        <f>VLOOKUP($A32,'Data shares'!$C:$FM,110)</f>
        <v>25.07</v>
      </c>
      <c r="D32" s="50">
        <f>VLOOKUP($A32,'Data shares'!$C:$FM,114)</f>
        <v>24.4</v>
      </c>
      <c r="E32" s="50">
        <f>VLOOKUP($A32,'Data shares'!$C:$FM,106)</f>
        <v>37.549999999999997</v>
      </c>
      <c r="F32" s="50">
        <f>VLOOKUP($A32,'Data shares'!$C:$FM,108)</f>
        <v>-12.73</v>
      </c>
      <c r="G32" s="50">
        <f t="shared" si="0"/>
        <v>0.66098535286284954</v>
      </c>
    </row>
    <row r="33" spans="1:7" x14ac:dyDescent="0.25">
      <c r="A33" s="49" t="str">
        <f>'Data shares'!C28</f>
        <v>BANKINDIA</v>
      </c>
      <c r="B33" s="50">
        <f>VLOOKUP($A33,'Data shares'!$C:$FM,102)</f>
        <v>26.49</v>
      </c>
      <c r="C33" s="50">
        <f>VLOOKUP($A33,'Data shares'!$C:$FM,110)</f>
        <v>24.95</v>
      </c>
      <c r="D33" s="50">
        <f>VLOOKUP($A33,'Data shares'!$C:$FM,114)</f>
        <v>27.92</v>
      </c>
      <c r="E33" s="50">
        <f>VLOOKUP($A33,'Data shares'!$C:$FM,106)</f>
        <v>41.37</v>
      </c>
      <c r="F33" s="50">
        <f>VLOOKUP($A33,'Data shares'!$C:$FM,108)</f>
        <v>-14.88</v>
      </c>
      <c r="G33" s="50">
        <f t="shared" si="0"/>
        <v>0.64031907179115299</v>
      </c>
    </row>
    <row r="34" spans="1:7" x14ac:dyDescent="0.25">
      <c r="A34" s="49" t="str">
        <f>'Data shares'!C29</f>
        <v>BANKNIFTY</v>
      </c>
      <c r="B34" s="50">
        <f>VLOOKUP($A34,'Data shares'!$C:$FM,102)</f>
        <v>11.8</v>
      </c>
      <c r="C34" s="50">
        <f>VLOOKUP($A34,'Data shares'!$C:$FM,110)</f>
        <v>11.62</v>
      </c>
      <c r="D34" s="50">
        <f>VLOOKUP($A34,'Data shares'!$C:$FM,114)</f>
        <v>12</v>
      </c>
      <c r="E34" s="50">
        <f>VLOOKUP($A34,'Data shares'!$C:$FM,106)</f>
        <v>18.22</v>
      </c>
      <c r="F34" s="50">
        <f>VLOOKUP($A34,'Data shares'!$C:$FM,108)</f>
        <v>-6.42</v>
      </c>
      <c r="G34" s="50">
        <f t="shared" si="0"/>
        <v>0.64763995609220648</v>
      </c>
    </row>
    <row r="35" spans="1:7" x14ac:dyDescent="0.25">
      <c r="A35" s="49" t="str">
        <f>'Data shares'!C30</f>
        <v>BDL</v>
      </c>
      <c r="B35" s="50">
        <f>VLOOKUP($A35,'Data shares'!$C:$FM,102)</f>
        <v>41.42</v>
      </c>
      <c r="C35" s="50">
        <f>VLOOKUP($A35,'Data shares'!$C:$FM,110)</f>
        <v>42.51</v>
      </c>
      <c r="D35" s="50">
        <f>VLOOKUP($A35,'Data shares'!$C:$FM,114)</f>
        <v>39.42</v>
      </c>
      <c r="E35" s="50">
        <f>VLOOKUP($A35,'Data shares'!$C:$FM,106)</f>
        <v>55.75</v>
      </c>
      <c r="F35" s="50">
        <f>VLOOKUP($A35,'Data shares'!$C:$FM,108)</f>
        <v>-14.33</v>
      </c>
      <c r="G35" s="50">
        <f t="shared" si="0"/>
        <v>0.74295964125560543</v>
      </c>
    </row>
    <row r="36" spans="1:7" x14ac:dyDescent="0.25">
      <c r="A36" s="49" t="str">
        <f>'Data shares'!C31</f>
        <v>BEL</v>
      </c>
      <c r="B36" s="50">
        <f>VLOOKUP($A36,'Data shares'!$C:$FM,102)</f>
        <v>30.62</v>
      </c>
      <c r="C36" s="50">
        <f>VLOOKUP($A36,'Data shares'!$C:$FM,110)</f>
        <v>31.64</v>
      </c>
      <c r="D36" s="50">
        <f>VLOOKUP($A36,'Data shares'!$C:$FM,114)</f>
        <v>28.68</v>
      </c>
      <c r="E36" s="50">
        <f>VLOOKUP($A36,'Data shares'!$C:$FM,106)</f>
        <v>39.520000000000003</v>
      </c>
      <c r="F36" s="50">
        <f>VLOOKUP($A36,'Data shares'!$C:$FM,108)</f>
        <v>-8.9</v>
      </c>
      <c r="G36" s="50">
        <f t="shared" si="0"/>
        <v>0.7747975708502024</v>
      </c>
    </row>
    <row r="37" spans="1:7" x14ac:dyDescent="0.25">
      <c r="A37" s="49" t="str">
        <f>'Data shares'!C32</f>
        <v>BHARATFORG</v>
      </c>
      <c r="B37" s="50">
        <f>VLOOKUP($A37,'Data shares'!$C:$FM,102)</f>
        <v>29.12</v>
      </c>
      <c r="C37" s="50">
        <f>VLOOKUP($A37,'Data shares'!$C:$FM,110)</f>
        <v>29.33</v>
      </c>
      <c r="D37" s="50">
        <f>VLOOKUP($A37,'Data shares'!$C:$FM,114)</f>
        <v>28.78</v>
      </c>
      <c r="E37" s="50">
        <f>VLOOKUP($A37,'Data shares'!$C:$FM,106)</f>
        <v>39.51</v>
      </c>
      <c r="F37" s="50">
        <f>VLOOKUP($A37,'Data shares'!$C:$FM,108)</f>
        <v>-10.39</v>
      </c>
      <c r="G37" s="50">
        <f t="shared" si="0"/>
        <v>0.7370286003543407</v>
      </c>
    </row>
    <row r="38" spans="1:7" x14ac:dyDescent="0.25">
      <c r="A38" s="49" t="str">
        <f>'Data shares'!C33</f>
        <v>BHARTIARTL</v>
      </c>
      <c r="B38" s="50">
        <f>VLOOKUP($A38,'Data shares'!$C:$FM,102)</f>
        <v>17.23</v>
      </c>
      <c r="C38" s="50">
        <f>VLOOKUP($A38,'Data shares'!$C:$FM,110)</f>
        <v>17.27</v>
      </c>
      <c r="D38" s="50">
        <f>VLOOKUP($A38,'Data shares'!$C:$FM,114)</f>
        <v>17.13</v>
      </c>
      <c r="E38" s="50">
        <f>VLOOKUP($A38,'Data shares'!$C:$FM,106)</f>
        <v>26.23</v>
      </c>
      <c r="F38" s="50">
        <f>VLOOKUP($A38,'Data shares'!$C:$FM,108)</f>
        <v>-9</v>
      </c>
      <c r="G38" s="50">
        <f t="shared" si="0"/>
        <v>0.65688143347312233</v>
      </c>
    </row>
    <row r="39" spans="1:7" x14ac:dyDescent="0.25">
      <c r="A39" s="49" t="str">
        <f>'Data shares'!C34</f>
        <v>BHEL</v>
      </c>
      <c r="B39" s="50">
        <f>VLOOKUP($A39,'Data shares'!$C:$FM,102)</f>
        <v>31.47</v>
      </c>
      <c r="C39" s="50">
        <f>VLOOKUP($A39,'Data shares'!$C:$FM,110)</f>
        <v>31.86</v>
      </c>
      <c r="D39" s="50">
        <f>VLOOKUP($A39,'Data shares'!$C:$FM,114)</f>
        <v>30.69</v>
      </c>
      <c r="E39" s="50">
        <f>VLOOKUP($A39,'Data shares'!$C:$FM,106)</f>
        <v>48.85</v>
      </c>
      <c r="F39" s="50">
        <f>VLOOKUP($A39,'Data shares'!$C:$FM,108)</f>
        <v>-17.38</v>
      </c>
      <c r="G39" s="50">
        <f t="shared" ref="G39:G70" si="1">B39/E39</f>
        <v>0.64421699078812689</v>
      </c>
    </row>
    <row r="40" spans="1:7" x14ac:dyDescent="0.25">
      <c r="A40" s="49" t="str">
        <f>'Data shares'!C35</f>
        <v>BIOCON</v>
      </c>
      <c r="B40" s="50">
        <f>VLOOKUP($A40,'Data shares'!$C:$FM,102)</f>
        <v>32.43</v>
      </c>
      <c r="C40" s="50">
        <f>VLOOKUP($A40,'Data shares'!$C:$FM,110)</f>
        <v>33.75</v>
      </c>
      <c r="D40" s="50">
        <f>VLOOKUP($A40,'Data shares'!$C:$FM,114)</f>
        <v>30.43</v>
      </c>
      <c r="E40" s="50">
        <f>VLOOKUP($A40,'Data shares'!$C:$FM,106)</f>
        <v>41.39</v>
      </c>
      <c r="F40" s="50">
        <f>VLOOKUP($A40,'Data shares'!$C:$FM,108)</f>
        <v>-8.9600000000000009</v>
      </c>
      <c r="G40" s="50">
        <f t="shared" si="1"/>
        <v>0.78352258999758395</v>
      </c>
    </row>
    <row r="41" spans="1:7" x14ac:dyDescent="0.25">
      <c r="A41" s="49" t="str">
        <f>'Data shares'!C36</f>
        <v>BLUESTARCO</v>
      </c>
      <c r="B41" s="50">
        <f>VLOOKUP($A41,'Data shares'!$C:$FM,102)</f>
        <v>34</v>
      </c>
      <c r="C41" s="50">
        <f>VLOOKUP($A41,'Data shares'!$C:$FM,110)</f>
        <v>34.25</v>
      </c>
      <c r="D41" s="50">
        <f>VLOOKUP($A41,'Data shares'!$C:$FM,114)</f>
        <v>32.909999999999997</v>
      </c>
      <c r="E41" s="50">
        <f>VLOOKUP($A41,'Data shares'!$C:$FM,106)</f>
        <v>44.69</v>
      </c>
      <c r="F41" s="50">
        <f>VLOOKUP($A41,'Data shares'!$C:$FM,108)</f>
        <v>-10.69</v>
      </c>
      <c r="G41" s="50">
        <f t="shared" si="1"/>
        <v>0.76079659879167605</v>
      </c>
    </row>
    <row r="42" spans="1:7" x14ac:dyDescent="0.25">
      <c r="A42" s="49" t="str">
        <f>'Data shares'!C37</f>
        <v>BOSCHLTD</v>
      </c>
      <c r="B42" s="50">
        <f>VLOOKUP($A42,'Data shares'!$C:$FM,102)</f>
        <v>31.14</v>
      </c>
      <c r="C42" s="50">
        <f>VLOOKUP($A42,'Data shares'!$C:$FM,110)</f>
        <v>31.48</v>
      </c>
      <c r="D42" s="50">
        <f>VLOOKUP($A42,'Data shares'!$C:$FM,114)</f>
        <v>30.31</v>
      </c>
      <c r="E42" s="50">
        <f>VLOOKUP($A42,'Data shares'!$C:$FM,106)</f>
        <v>30.68</v>
      </c>
      <c r="F42" s="50">
        <f>VLOOKUP($A42,'Data shares'!$C:$FM,108)</f>
        <v>0.46</v>
      </c>
      <c r="G42" s="50">
        <f t="shared" si="1"/>
        <v>1.014993481095176</v>
      </c>
    </row>
    <row r="43" spans="1:7" x14ac:dyDescent="0.25">
      <c r="A43" s="49" t="str">
        <f>'Data shares'!C38</f>
        <v>BPCL</v>
      </c>
      <c r="B43" s="50">
        <f>VLOOKUP($A43,'Data shares'!$C:$FM,102)</f>
        <v>25.69</v>
      </c>
      <c r="C43" s="50">
        <f>VLOOKUP($A43,'Data shares'!$C:$FM,110)</f>
        <v>26.06</v>
      </c>
      <c r="D43" s="50">
        <f>VLOOKUP($A43,'Data shares'!$C:$FM,114)</f>
        <v>25.05</v>
      </c>
      <c r="E43" s="50">
        <f>VLOOKUP($A43,'Data shares'!$C:$FM,106)</f>
        <v>35.32</v>
      </c>
      <c r="F43" s="50">
        <f>VLOOKUP($A43,'Data shares'!$C:$FM,108)</f>
        <v>-9.6300000000000008</v>
      </c>
      <c r="G43" s="50">
        <f t="shared" si="1"/>
        <v>0.72734994337485848</v>
      </c>
    </row>
    <row r="44" spans="1:7" x14ac:dyDescent="0.25">
      <c r="A44" s="49" t="str">
        <f>'Data shares'!C39</f>
        <v>BRITANNIA</v>
      </c>
      <c r="B44" s="50">
        <f>VLOOKUP($A44,'Data shares'!$C:$FM,102)</f>
        <v>23.64</v>
      </c>
      <c r="C44" s="50">
        <f>VLOOKUP($A44,'Data shares'!$C:$FM,110)</f>
        <v>23.26</v>
      </c>
      <c r="D44" s="50">
        <f>VLOOKUP($A44,'Data shares'!$C:$FM,114)</f>
        <v>24.85</v>
      </c>
      <c r="E44" s="50">
        <f>VLOOKUP($A44,'Data shares'!$C:$FM,106)</f>
        <v>25.08</v>
      </c>
      <c r="F44" s="50">
        <f>VLOOKUP($A44,'Data shares'!$C:$FM,108)</f>
        <v>-1.44</v>
      </c>
      <c r="G44" s="50">
        <f t="shared" si="1"/>
        <v>0.9425837320574163</v>
      </c>
    </row>
    <row r="45" spans="1:7" x14ac:dyDescent="0.25">
      <c r="A45" s="49" t="str">
        <f>'Data shares'!C40</f>
        <v>BSE</v>
      </c>
      <c r="B45" s="50">
        <f>VLOOKUP($A45,'Data shares'!$C:$FM,102)</f>
        <v>42.52</v>
      </c>
      <c r="C45" s="50">
        <f>VLOOKUP($A45,'Data shares'!$C:$FM,110)</f>
        <v>40.479999999999997</v>
      </c>
      <c r="D45" s="50">
        <f>VLOOKUP($A45,'Data shares'!$C:$FM,114)</f>
        <v>45.47</v>
      </c>
      <c r="E45" s="50">
        <f>VLOOKUP($A45,'Data shares'!$C:$FM,106)</f>
        <v>65.88</v>
      </c>
      <c r="F45" s="50">
        <f>VLOOKUP($A45,'Data shares'!$C:$FM,108)</f>
        <v>-23.36</v>
      </c>
      <c r="G45" s="50">
        <f t="shared" si="1"/>
        <v>0.64541590771098978</v>
      </c>
    </row>
    <row r="46" spans="1:7" x14ac:dyDescent="0.25">
      <c r="A46" s="49" t="str">
        <f>'Data shares'!C41</f>
        <v>CAMS</v>
      </c>
      <c r="B46" s="50">
        <f>VLOOKUP($A46,'Data shares'!$C:$FM,102)</f>
        <v>31.42</v>
      </c>
      <c r="C46" s="50">
        <f>VLOOKUP($A46,'Data shares'!$C:$FM,110)</f>
        <v>32.159999999999997</v>
      </c>
      <c r="D46" s="50">
        <f>VLOOKUP($A46,'Data shares'!$C:$FM,114)</f>
        <v>29.52</v>
      </c>
      <c r="E46" s="50">
        <f>VLOOKUP($A46,'Data shares'!$C:$FM,106)</f>
        <v>45.11</v>
      </c>
      <c r="F46" s="50">
        <f>VLOOKUP($A46,'Data shares'!$C:$FM,108)</f>
        <v>-13.69</v>
      </c>
      <c r="G46" s="50">
        <f t="shared" si="1"/>
        <v>0.69651961870982049</v>
      </c>
    </row>
    <row r="47" spans="1:7" x14ac:dyDescent="0.25">
      <c r="A47" s="49" t="str">
        <f>'Data shares'!C42</f>
        <v>CANBK</v>
      </c>
      <c r="B47" s="50">
        <f>VLOOKUP($A47,'Data shares'!$C:$FM,102)</f>
        <v>24.27</v>
      </c>
      <c r="C47" s="50">
        <f>VLOOKUP($A47,'Data shares'!$C:$FM,110)</f>
        <v>23.88</v>
      </c>
      <c r="D47" s="50">
        <f>VLOOKUP($A47,'Data shares'!$C:$FM,114)</f>
        <v>24.84</v>
      </c>
      <c r="E47" s="50">
        <f>VLOOKUP($A47,'Data shares'!$C:$FM,106)</f>
        <v>38.979999999999997</v>
      </c>
      <c r="F47" s="50">
        <f>VLOOKUP($A47,'Data shares'!$C:$FM,108)</f>
        <v>-14.71</v>
      </c>
      <c r="G47" s="50">
        <f t="shared" si="1"/>
        <v>0.62262698819907647</v>
      </c>
    </row>
    <row r="48" spans="1:7" x14ac:dyDescent="0.25">
      <c r="A48" s="49" t="str">
        <f>'Data shares'!C43</f>
        <v>CDSL</v>
      </c>
      <c r="B48" s="50">
        <f>VLOOKUP($A48,'Data shares'!$C:$FM,102)</f>
        <v>31.89</v>
      </c>
      <c r="C48" s="50">
        <f>VLOOKUP($A48,'Data shares'!$C:$FM,110)</f>
        <v>31.98</v>
      </c>
      <c r="D48" s="50">
        <f>VLOOKUP($A48,'Data shares'!$C:$FM,114)</f>
        <v>31.7</v>
      </c>
      <c r="E48" s="50">
        <f>VLOOKUP($A48,'Data shares'!$C:$FM,106)</f>
        <v>50.58</v>
      </c>
      <c r="F48" s="50">
        <f>VLOOKUP($A48,'Data shares'!$C:$FM,108)</f>
        <v>-18.690000000000001</v>
      </c>
      <c r="G48" s="50">
        <f t="shared" si="1"/>
        <v>0.63048635824436539</v>
      </c>
    </row>
    <row r="49" spans="1:7" x14ac:dyDescent="0.25">
      <c r="A49" s="49" t="str">
        <f>'Data shares'!C44</f>
        <v>CESC</v>
      </c>
      <c r="B49" s="50">
        <f>VLOOKUP($A49,'Data shares'!$C:$FM,102)</f>
        <v>32.33</v>
      </c>
      <c r="C49" s="50">
        <f>VLOOKUP($A49,'Data shares'!$C:$FM,110)</f>
        <v>33.340000000000003</v>
      </c>
      <c r="D49" s="50">
        <f>VLOOKUP($A49,'Data shares'!$C:$FM,114)</f>
        <v>28.17</v>
      </c>
      <c r="E49" s="50">
        <f>VLOOKUP($A49,'Data shares'!$C:$FM,106)</f>
        <v>42.47</v>
      </c>
      <c r="F49" s="50">
        <f>VLOOKUP($A49,'Data shares'!$C:$FM,108)</f>
        <v>-10.14</v>
      </c>
      <c r="G49" s="50">
        <f t="shared" si="1"/>
        <v>0.76124323051565812</v>
      </c>
    </row>
    <row r="50" spans="1:7" x14ac:dyDescent="0.25">
      <c r="A50" s="49" t="str">
        <f>'Data shares'!C45</f>
        <v>CGPOWER</v>
      </c>
      <c r="B50" s="50">
        <f>VLOOKUP($A50,'Data shares'!$C:$FM,102)</f>
        <v>26.21</v>
      </c>
      <c r="C50" s="50">
        <f>VLOOKUP($A50,'Data shares'!$C:$FM,110)</f>
        <v>26.23</v>
      </c>
      <c r="D50" s="50">
        <f>VLOOKUP($A50,'Data shares'!$C:$FM,114)</f>
        <v>26.12</v>
      </c>
      <c r="E50" s="50">
        <f>VLOOKUP($A50,'Data shares'!$C:$FM,106)</f>
        <v>43.86</v>
      </c>
      <c r="F50" s="50">
        <f>VLOOKUP($A50,'Data shares'!$C:$FM,108)</f>
        <v>-17.649999999999999</v>
      </c>
      <c r="G50" s="50">
        <f t="shared" si="1"/>
        <v>0.59758321933424541</v>
      </c>
    </row>
    <row r="51" spans="1:7" x14ac:dyDescent="0.25">
      <c r="A51" s="49" t="str">
        <f>'Data shares'!C46</f>
        <v>CHOLAFIN</v>
      </c>
      <c r="B51" s="50">
        <f>VLOOKUP($A51,'Data shares'!$C:$FM,102)</f>
        <v>25.97</v>
      </c>
      <c r="C51" s="50">
        <f>VLOOKUP($A51,'Data shares'!$C:$FM,110)</f>
        <v>25.25</v>
      </c>
      <c r="D51" s="50">
        <f>VLOOKUP($A51,'Data shares'!$C:$FM,114)</f>
        <v>26.91</v>
      </c>
      <c r="E51" s="50">
        <f>VLOOKUP($A51,'Data shares'!$C:$FM,106)</f>
        <v>40.03</v>
      </c>
      <c r="F51" s="50">
        <f>VLOOKUP($A51,'Data shares'!$C:$FM,108)</f>
        <v>-14.06</v>
      </c>
      <c r="G51" s="50">
        <f t="shared" si="1"/>
        <v>0.64876342742942783</v>
      </c>
    </row>
    <row r="52" spans="1:7" x14ac:dyDescent="0.25">
      <c r="A52" s="49" t="str">
        <f>'Data shares'!C47</f>
        <v>CIPLA</v>
      </c>
      <c r="B52" s="50">
        <f>VLOOKUP($A52,'Data shares'!$C:$FM,102)</f>
        <v>21.02</v>
      </c>
      <c r="C52" s="50">
        <f>VLOOKUP($A52,'Data shares'!$C:$FM,110)</f>
        <v>20.07</v>
      </c>
      <c r="D52" s="50">
        <f>VLOOKUP($A52,'Data shares'!$C:$FM,114)</f>
        <v>22.11</v>
      </c>
      <c r="E52" s="50">
        <f>VLOOKUP($A52,'Data shares'!$C:$FM,106)</f>
        <v>27.2</v>
      </c>
      <c r="F52" s="50">
        <f>VLOOKUP($A52,'Data shares'!$C:$FM,108)</f>
        <v>-6.18</v>
      </c>
      <c r="G52" s="50">
        <f t="shared" si="1"/>
        <v>0.77279411764705885</v>
      </c>
    </row>
    <row r="53" spans="1:7" x14ac:dyDescent="0.25">
      <c r="A53" s="49" t="str">
        <f>'Data shares'!C48</f>
        <v>COALINDIA</v>
      </c>
      <c r="B53" s="50">
        <f>VLOOKUP($A53,'Data shares'!$C:$FM,102)</f>
        <v>18.149999999999999</v>
      </c>
      <c r="C53" s="50">
        <f>VLOOKUP($A53,'Data shares'!$C:$FM,110)</f>
        <v>18.14</v>
      </c>
      <c r="D53" s="50">
        <f>VLOOKUP($A53,'Data shares'!$C:$FM,114)</f>
        <v>18.16</v>
      </c>
      <c r="E53" s="50">
        <f>VLOOKUP($A53,'Data shares'!$C:$FM,106)</f>
        <v>30.86</v>
      </c>
      <c r="F53" s="50">
        <f>VLOOKUP($A53,'Data shares'!$C:$FM,108)</f>
        <v>-12.71</v>
      </c>
      <c r="G53" s="50">
        <f t="shared" si="1"/>
        <v>0.58813998703823711</v>
      </c>
    </row>
    <row r="54" spans="1:7" x14ac:dyDescent="0.25">
      <c r="A54" s="49" t="str">
        <f>'Data shares'!C49</f>
        <v>COFORGE</v>
      </c>
      <c r="B54" s="50">
        <f>VLOOKUP($A54,'Data shares'!$C:$FM,102)</f>
        <v>32.26</v>
      </c>
      <c r="C54" s="50">
        <f>VLOOKUP($A54,'Data shares'!$C:$FM,110)</f>
        <v>31.87</v>
      </c>
      <c r="D54" s="50">
        <f>VLOOKUP($A54,'Data shares'!$C:$FM,114)</f>
        <v>33.299999999999997</v>
      </c>
      <c r="E54" s="50">
        <f>VLOOKUP($A54,'Data shares'!$C:$FM,106)</f>
        <v>44.34</v>
      </c>
      <c r="F54" s="50">
        <f>VLOOKUP($A54,'Data shares'!$C:$FM,108)</f>
        <v>-12.08</v>
      </c>
      <c r="G54" s="50">
        <f t="shared" si="1"/>
        <v>0.72755976544880463</v>
      </c>
    </row>
    <row r="55" spans="1:7" x14ac:dyDescent="0.25">
      <c r="A55" s="49" t="str">
        <f>'Data shares'!C50</f>
        <v>COLPAL</v>
      </c>
      <c r="B55" s="50">
        <f>VLOOKUP($A55,'Data shares'!$C:$FM,102)</f>
        <v>22.65</v>
      </c>
      <c r="C55" s="50">
        <f>VLOOKUP($A55,'Data shares'!$C:$FM,110)</f>
        <v>22.35</v>
      </c>
      <c r="D55" s="50">
        <f>VLOOKUP($A55,'Data shares'!$C:$FM,114)</f>
        <v>23.67</v>
      </c>
      <c r="E55" s="50">
        <f>VLOOKUP($A55,'Data shares'!$C:$FM,106)</f>
        <v>29.04</v>
      </c>
      <c r="F55" s="50">
        <f>VLOOKUP($A55,'Data shares'!$C:$FM,108)</f>
        <v>-6.39</v>
      </c>
      <c r="G55" s="50">
        <f t="shared" si="1"/>
        <v>0.7799586776859504</v>
      </c>
    </row>
    <row r="56" spans="1:7" x14ac:dyDescent="0.25">
      <c r="A56" s="49" t="str">
        <f>'Data shares'!C51</f>
        <v>CONCOR</v>
      </c>
      <c r="B56" s="50">
        <f>VLOOKUP($A56,'Data shares'!$C:$FM,102)</f>
        <v>24.67</v>
      </c>
      <c r="C56" s="50">
        <f>VLOOKUP($A56,'Data shares'!$C:$FM,110)</f>
        <v>24.37</v>
      </c>
      <c r="D56" s="50">
        <f>VLOOKUP($A56,'Data shares'!$C:$FM,114)</f>
        <v>25.23</v>
      </c>
      <c r="E56" s="50">
        <f>VLOOKUP($A56,'Data shares'!$C:$FM,106)</f>
        <v>38.79</v>
      </c>
      <c r="F56" s="50">
        <f>VLOOKUP($A56,'Data shares'!$C:$FM,108)</f>
        <v>-14.12</v>
      </c>
      <c r="G56" s="50">
        <f t="shared" si="1"/>
        <v>0.63598865687032746</v>
      </c>
    </row>
    <row r="57" spans="1:7" x14ac:dyDescent="0.25">
      <c r="A57" s="49" t="str">
        <f>'Data shares'!C52</f>
        <v>CROMPTON</v>
      </c>
      <c r="B57" s="50">
        <f>VLOOKUP($A57,'Data shares'!$C:$FM,102)</f>
        <v>25.58</v>
      </c>
      <c r="C57" s="50">
        <f>VLOOKUP($A57,'Data shares'!$C:$FM,110)</f>
        <v>25.11</v>
      </c>
      <c r="D57" s="50">
        <f>VLOOKUP($A57,'Data shares'!$C:$FM,114)</f>
        <v>26.93</v>
      </c>
      <c r="E57" s="50">
        <f>VLOOKUP($A57,'Data shares'!$C:$FM,106)</f>
        <v>34.35</v>
      </c>
      <c r="F57" s="50">
        <f>VLOOKUP($A57,'Data shares'!$C:$FM,108)</f>
        <v>-8.77</v>
      </c>
      <c r="G57" s="50">
        <f t="shared" si="1"/>
        <v>0.7446870451237263</v>
      </c>
    </row>
    <row r="58" spans="1:7" x14ac:dyDescent="0.25">
      <c r="A58" s="49" t="str">
        <f>'Data shares'!C53</f>
        <v>CUMMINSIND</v>
      </c>
      <c r="B58" s="50">
        <f>VLOOKUP($A58,'Data shares'!$C:$FM,102)</f>
        <v>27.48</v>
      </c>
      <c r="C58" s="50">
        <f>VLOOKUP($A58,'Data shares'!$C:$FM,110)</f>
        <v>27.63</v>
      </c>
      <c r="D58" s="50">
        <f>VLOOKUP($A58,'Data shares'!$C:$FM,114)</f>
        <v>27.02</v>
      </c>
      <c r="E58" s="50">
        <f>VLOOKUP($A58,'Data shares'!$C:$FM,106)</f>
        <v>37.56</v>
      </c>
      <c r="F58" s="50">
        <f>VLOOKUP($A58,'Data shares'!$C:$FM,108)</f>
        <v>-10.08</v>
      </c>
      <c r="G58" s="50">
        <f t="shared" si="1"/>
        <v>0.73162939297124596</v>
      </c>
    </row>
    <row r="59" spans="1:7" x14ac:dyDescent="0.25">
      <c r="A59" s="49" t="str">
        <f>'Data shares'!C54</f>
        <v>CYIENT</v>
      </c>
      <c r="B59" s="50">
        <f>VLOOKUP($A59,'Data shares'!$C:$FM,102)</f>
        <v>30.73</v>
      </c>
      <c r="C59" s="50">
        <f>VLOOKUP($A59,'Data shares'!$C:$FM,110)</f>
        <v>31.13</v>
      </c>
      <c r="D59" s="50">
        <f>VLOOKUP($A59,'Data shares'!$C:$FM,114)</f>
        <v>28.35</v>
      </c>
      <c r="E59" s="50">
        <f>VLOOKUP($A59,'Data shares'!$C:$FM,106)</f>
        <v>46.31</v>
      </c>
      <c r="F59" s="50">
        <f>VLOOKUP($A59,'Data shares'!$C:$FM,108)</f>
        <v>-15.58</v>
      </c>
      <c r="G59" s="50">
        <f t="shared" si="1"/>
        <v>0.66357158281148776</v>
      </c>
    </row>
    <row r="60" spans="1:7" x14ac:dyDescent="0.25">
      <c r="A60" s="49" t="str">
        <f>'Data shares'!C55</f>
        <v>DABUR</v>
      </c>
      <c r="B60" s="50">
        <f>VLOOKUP($A60,'Data shares'!$C:$FM,102)</f>
        <v>23.3</v>
      </c>
      <c r="C60" s="50">
        <f>VLOOKUP($A60,'Data shares'!$C:$FM,110)</f>
        <v>23.27</v>
      </c>
      <c r="D60" s="50">
        <f>VLOOKUP($A60,'Data shares'!$C:$FM,114)</f>
        <v>23.4</v>
      </c>
      <c r="E60" s="50">
        <f>VLOOKUP($A60,'Data shares'!$C:$FM,106)</f>
        <v>25.47</v>
      </c>
      <c r="F60" s="50">
        <f>VLOOKUP($A60,'Data shares'!$C:$FM,108)</f>
        <v>-2.17</v>
      </c>
      <c r="G60" s="50">
        <f t="shared" si="1"/>
        <v>0.9148017275225756</v>
      </c>
    </row>
    <row r="61" spans="1:7" x14ac:dyDescent="0.25">
      <c r="A61" s="49" t="str">
        <f>'Data shares'!C56</f>
        <v>DALBHARAT</v>
      </c>
      <c r="B61" s="50">
        <f>VLOOKUP($A61,'Data shares'!$C:$FM,102)</f>
        <v>24.31</v>
      </c>
      <c r="C61" s="50">
        <f>VLOOKUP($A61,'Data shares'!$C:$FM,110)</f>
        <v>22.55</v>
      </c>
      <c r="D61" s="50">
        <f>VLOOKUP($A61,'Data shares'!$C:$FM,114)</f>
        <v>27.92</v>
      </c>
      <c r="E61" s="50">
        <f>VLOOKUP($A61,'Data shares'!$C:$FM,106)</f>
        <v>32.1</v>
      </c>
      <c r="F61" s="50">
        <f>VLOOKUP($A61,'Data shares'!$C:$FM,108)</f>
        <v>-7.79</v>
      </c>
      <c r="G61" s="50">
        <f t="shared" si="1"/>
        <v>0.75732087227414324</v>
      </c>
    </row>
    <row r="62" spans="1:7" x14ac:dyDescent="0.25">
      <c r="A62" s="49" t="str">
        <f>'Data shares'!C57</f>
        <v>DELHIVERY</v>
      </c>
      <c r="B62" s="50">
        <f>VLOOKUP($A62,'Data shares'!$C:$FM,102)</f>
        <v>29.61</v>
      </c>
      <c r="C62" s="50">
        <f>VLOOKUP($A62,'Data shares'!$C:$FM,110)</f>
        <v>29.3</v>
      </c>
      <c r="D62" s="50">
        <f>VLOOKUP($A62,'Data shares'!$C:$FM,114)</f>
        <v>30.21</v>
      </c>
      <c r="E62" s="50">
        <f>VLOOKUP($A62,'Data shares'!$C:$FM,106)</f>
        <v>42.32</v>
      </c>
      <c r="F62" s="50">
        <f>VLOOKUP($A62,'Data shares'!$C:$FM,108)</f>
        <v>-12.71</v>
      </c>
      <c r="G62" s="50">
        <f t="shared" si="1"/>
        <v>0.69966918714555759</v>
      </c>
    </row>
    <row r="63" spans="1:7" x14ac:dyDescent="0.25">
      <c r="A63" s="49" t="str">
        <f>'Data shares'!C58</f>
        <v>DIVISLAB</v>
      </c>
      <c r="B63" s="50">
        <f>VLOOKUP($A63,'Data shares'!$C:$FM,102)</f>
        <v>28.13</v>
      </c>
      <c r="C63" s="50">
        <f>VLOOKUP($A63,'Data shares'!$C:$FM,110)</f>
        <v>29.77</v>
      </c>
      <c r="D63" s="50">
        <f>VLOOKUP($A63,'Data shares'!$C:$FM,114)</f>
        <v>26.06</v>
      </c>
      <c r="E63" s="50">
        <f>VLOOKUP($A63,'Data shares'!$C:$FM,106)</f>
        <v>32.4</v>
      </c>
      <c r="F63" s="50">
        <f>VLOOKUP($A63,'Data shares'!$C:$FM,108)</f>
        <v>-4.2699999999999996</v>
      </c>
      <c r="G63" s="50">
        <f t="shared" si="1"/>
        <v>0.86820987654320991</v>
      </c>
    </row>
    <row r="64" spans="1:7" x14ac:dyDescent="0.25">
      <c r="A64" s="49" t="str">
        <f>'Data shares'!C59</f>
        <v>DIXON</v>
      </c>
      <c r="B64" s="50">
        <f>VLOOKUP($A64,'Data shares'!$C:$FM,102)</f>
        <v>33.08</v>
      </c>
      <c r="C64" s="50">
        <f>VLOOKUP($A64,'Data shares'!$C:$FM,110)</f>
        <v>32.619999999999997</v>
      </c>
      <c r="D64" s="50">
        <f>VLOOKUP($A64,'Data shares'!$C:$FM,114)</f>
        <v>34.11</v>
      </c>
      <c r="E64" s="50">
        <f>VLOOKUP($A64,'Data shares'!$C:$FM,106)</f>
        <v>47.23</v>
      </c>
      <c r="F64" s="50">
        <f>VLOOKUP($A64,'Data shares'!$C:$FM,108)</f>
        <v>-14.15</v>
      </c>
      <c r="G64" s="50">
        <f t="shared" si="1"/>
        <v>0.70040228668219351</v>
      </c>
    </row>
    <row r="65" spans="1:7" x14ac:dyDescent="0.25">
      <c r="A65" s="49" t="str">
        <f>'Data shares'!C60</f>
        <v>DLF</v>
      </c>
      <c r="B65" s="50">
        <f>VLOOKUP($A65,'Data shares'!$C:$FM,102)</f>
        <v>28.92</v>
      </c>
      <c r="C65" s="50">
        <f>VLOOKUP($A65,'Data shares'!$C:$FM,110)</f>
        <v>29.43</v>
      </c>
      <c r="D65" s="50">
        <f>VLOOKUP($A65,'Data shares'!$C:$FM,114)</f>
        <v>27.77</v>
      </c>
      <c r="E65" s="50">
        <f>VLOOKUP($A65,'Data shares'!$C:$FM,106)</f>
        <v>39.200000000000003</v>
      </c>
      <c r="F65" s="50">
        <f>VLOOKUP($A65,'Data shares'!$C:$FM,108)</f>
        <v>-10.28</v>
      </c>
      <c r="G65" s="50">
        <f t="shared" si="1"/>
        <v>0.73775510204081629</v>
      </c>
    </row>
    <row r="66" spans="1:7" x14ac:dyDescent="0.25">
      <c r="A66" s="49" t="str">
        <f>'Data shares'!C61</f>
        <v>DMART</v>
      </c>
      <c r="B66" s="50">
        <f>VLOOKUP($A66,'Data shares'!$C:$FM,102)</f>
        <v>28.37</v>
      </c>
      <c r="C66" s="50">
        <f>VLOOKUP($A66,'Data shares'!$C:$FM,110)</f>
        <v>27.6</v>
      </c>
      <c r="D66" s="50">
        <f>VLOOKUP($A66,'Data shares'!$C:$FM,114)</f>
        <v>30.58</v>
      </c>
      <c r="E66" s="50">
        <f>VLOOKUP($A66,'Data shares'!$C:$FM,106)</f>
        <v>34.630000000000003</v>
      </c>
      <c r="F66" s="50">
        <f>VLOOKUP($A66,'Data shares'!$C:$FM,108)</f>
        <v>-6.26</v>
      </c>
      <c r="G66" s="50">
        <f t="shared" si="1"/>
        <v>0.81923187987294255</v>
      </c>
    </row>
    <row r="67" spans="1:7" x14ac:dyDescent="0.25">
      <c r="A67" s="49" t="str">
        <f>'Data shares'!C62</f>
        <v>DRREDDY</v>
      </c>
      <c r="B67" s="50">
        <f>VLOOKUP($A67,'Data shares'!$C:$FM,102)</f>
        <v>22.69</v>
      </c>
      <c r="C67" s="50">
        <f>VLOOKUP($A67,'Data shares'!$C:$FM,110)</f>
        <v>21.82</v>
      </c>
      <c r="D67" s="50">
        <f>VLOOKUP($A67,'Data shares'!$C:$FM,114)</f>
        <v>24.01</v>
      </c>
      <c r="E67" s="50">
        <f>VLOOKUP($A67,'Data shares'!$C:$FM,106)</f>
        <v>25.41</v>
      </c>
      <c r="F67" s="50">
        <f>VLOOKUP($A67,'Data shares'!$C:$FM,108)</f>
        <v>-2.72</v>
      </c>
      <c r="G67" s="50">
        <f t="shared" si="1"/>
        <v>0.89295552931916577</v>
      </c>
    </row>
    <row r="68" spans="1:7" x14ac:dyDescent="0.25">
      <c r="A68" s="49" t="str">
        <f>'Data shares'!C63</f>
        <v>EICHERMOT</v>
      </c>
      <c r="B68" s="50">
        <f>VLOOKUP($A68,'Data shares'!$C:$FM,102)</f>
        <v>20.48</v>
      </c>
      <c r="C68" s="50">
        <f>VLOOKUP($A68,'Data shares'!$C:$FM,110)</f>
        <v>20.09</v>
      </c>
      <c r="D68" s="50">
        <f>VLOOKUP($A68,'Data shares'!$C:$FM,114)</f>
        <v>21.13</v>
      </c>
      <c r="E68" s="50">
        <f>VLOOKUP($A68,'Data shares'!$C:$FM,106)</f>
        <v>28.97</v>
      </c>
      <c r="F68" s="50">
        <f>VLOOKUP($A68,'Data shares'!$C:$FM,108)</f>
        <v>-8.49</v>
      </c>
      <c r="G68" s="50">
        <f t="shared" si="1"/>
        <v>0.70693821194338979</v>
      </c>
    </row>
    <row r="69" spans="1:7" x14ac:dyDescent="0.25">
      <c r="A69" s="49" t="str">
        <f>'Data shares'!C64</f>
        <v>ETERNAL</v>
      </c>
      <c r="B69" s="50">
        <f>VLOOKUP($A69,'Data shares'!$C:$FM,102)</f>
        <v>34.35</v>
      </c>
      <c r="C69" s="50">
        <f>VLOOKUP($A69,'Data shares'!$C:$FM,110)</f>
        <v>33.659999999999997</v>
      </c>
      <c r="D69" s="50">
        <f>VLOOKUP($A69,'Data shares'!$C:$FM,114)</f>
        <v>35.83</v>
      </c>
      <c r="E69" s="50">
        <f>VLOOKUP($A69,'Data shares'!$C:$FM,106)</f>
        <v>49.1</v>
      </c>
      <c r="F69" s="50">
        <f>VLOOKUP($A69,'Data shares'!$C:$FM,108)</f>
        <v>-14.75</v>
      </c>
      <c r="G69" s="50">
        <f t="shared" si="1"/>
        <v>0.69959266802443998</v>
      </c>
    </row>
    <row r="70" spans="1:7" x14ac:dyDescent="0.25">
      <c r="A70" s="49" t="str">
        <f>'Data shares'!C65</f>
        <v>EXIDEIND</v>
      </c>
      <c r="B70" s="50">
        <f>VLOOKUP($A70,'Data shares'!$C:$FM,102)</f>
        <v>29.56</v>
      </c>
      <c r="C70" s="50">
        <f>VLOOKUP($A70,'Data shares'!$C:$FM,110)</f>
        <v>29.48</v>
      </c>
      <c r="D70" s="50">
        <f>VLOOKUP($A70,'Data shares'!$C:$FM,114)</f>
        <v>29.86</v>
      </c>
      <c r="E70" s="50">
        <f>VLOOKUP($A70,'Data shares'!$C:$FM,106)</f>
        <v>37.14</v>
      </c>
      <c r="F70" s="50">
        <f>VLOOKUP($A70,'Data shares'!$C:$FM,108)</f>
        <v>-7.58</v>
      </c>
      <c r="G70" s="50">
        <f t="shared" si="1"/>
        <v>0.79590737749057616</v>
      </c>
    </row>
    <row r="71" spans="1:7" x14ac:dyDescent="0.25">
      <c r="A71" s="49" t="str">
        <f>'Data shares'!C66</f>
        <v>FEDERALBNK</v>
      </c>
      <c r="B71" s="50">
        <f>VLOOKUP($A71,'Data shares'!$C:$FM,102)</f>
        <v>21.16</v>
      </c>
      <c r="C71" s="50">
        <f>VLOOKUP($A71,'Data shares'!$C:$FM,110)</f>
        <v>21.18</v>
      </c>
      <c r="D71" s="50">
        <f>VLOOKUP($A71,'Data shares'!$C:$FM,114)</f>
        <v>21.13</v>
      </c>
      <c r="E71" s="50">
        <f>VLOOKUP($A71,'Data shares'!$C:$FM,106)</f>
        <v>29.96</v>
      </c>
      <c r="F71" s="50">
        <f>VLOOKUP($A71,'Data shares'!$C:$FM,108)</f>
        <v>-8.8000000000000007</v>
      </c>
      <c r="G71" s="50">
        <f t="shared" ref="G71:G102" si="2">B71/E71</f>
        <v>0.70627503337783715</v>
      </c>
    </row>
    <row r="72" spans="1:7" x14ac:dyDescent="0.25">
      <c r="A72" s="49" t="str">
        <f>'Data shares'!C67</f>
        <v>FINNIFTY</v>
      </c>
      <c r="B72" s="50">
        <f>VLOOKUP($A72,'Data shares'!$C:$FM,102)</f>
        <v>11.66</v>
      </c>
      <c r="C72" s="50">
        <f>VLOOKUP($A72,'Data shares'!$C:$FM,110)</f>
        <v>11.27</v>
      </c>
      <c r="D72" s="50">
        <f>VLOOKUP($A72,'Data shares'!$C:$FM,114)</f>
        <v>12.12</v>
      </c>
      <c r="E72" s="50">
        <f>VLOOKUP($A72,'Data shares'!$C:$FM,106)</f>
        <v>18.71</v>
      </c>
      <c r="F72" s="50">
        <f>VLOOKUP($A72,'Data shares'!$C:$FM,108)</f>
        <v>-7.05</v>
      </c>
      <c r="G72" s="50">
        <f t="shared" si="2"/>
        <v>0.62319615179048637</v>
      </c>
    </row>
    <row r="73" spans="1:7" x14ac:dyDescent="0.25">
      <c r="A73" s="49" t="str">
        <f>'Data shares'!C68</f>
        <v>FORTIS</v>
      </c>
      <c r="B73" s="50">
        <f>VLOOKUP($A73,'Data shares'!$C:$FM,102)</f>
        <v>24.65</v>
      </c>
      <c r="C73" s="50">
        <f>VLOOKUP($A73,'Data shares'!$C:$FM,110)</f>
        <v>23.72</v>
      </c>
      <c r="D73" s="50">
        <f>VLOOKUP($A73,'Data shares'!$C:$FM,114)</f>
        <v>27.04</v>
      </c>
      <c r="E73" s="50">
        <f>VLOOKUP($A73,'Data shares'!$C:$FM,106)</f>
        <v>37.25</v>
      </c>
      <c r="F73" s="50">
        <f>VLOOKUP($A73,'Data shares'!$C:$FM,108)</f>
        <v>-12.6</v>
      </c>
      <c r="G73" s="50">
        <f t="shared" si="2"/>
        <v>0.661744966442953</v>
      </c>
    </row>
    <row r="74" spans="1:7" x14ac:dyDescent="0.25">
      <c r="A74" s="49" t="str">
        <f>'Data shares'!C69</f>
        <v>GAIL</v>
      </c>
      <c r="B74" s="50">
        <f>VLOOKUP($A74,'Data shares'!$C:$FM,102)</f>
        <v>23.5</v>
      </c>
      <c r="C74" s="50">
        <f>VLOOKUP($A74,'Data shares'!$C:$FM,110)</f>
        <v>23.49</v>
      </c>
      <c r="D74" s="50">
        <f>VLOOKUP($A74,'Data shares'!$C:$FM,114)</f>
        <v>23.52</v>
      </c>
      <c r="E74" s="50">
        <f>VLOOKUP($A74,'Data shares'!$C:$FM,106)</f>
        <v>38.54</v>
      </c>
      <c r="F74" s="50">
        <f>VLOOKUP($A74,'Data shares'!$C:$FM,108)</f>
        <v>-15.04</v>
      </c>
      <c r="G74" s="50">
        <f t="shared" si="2"/>
        <v>0.6097560975609756</v>
      </c>
    </row>
    <row r="75" spans="1:7" x14ac:dyDescent="0.25">
      <c r="A75" s="49" t="str">
        <f>'Data shares'!C70</f>
        <v>GLENMARK</v>
      </c>
      <c r="B75" s="50">
        <f>VLOOKUP($A75,'Data shares'!$C:$FM,102)</f>
        <v>31.56</v>
      </c>
      <c r="C75" s="50">
        <f>VLOOKUP($A75,'Data shares'!$C:$FM,110)</f>
        <v>32.71</v>
      </c>
      <c r="D75" s="50">
        <f>VLOOKUP($A75,'Data shares'!$C:$FM,114)</f>
        <v>29.32</v>
      </c>
      <c r="E75" s="50">
        <f>VLOOKUP($A75,'Data shares'!$C:$FM,106)</f>
        <v>39.96</v>
      </c>
      <c r="F75" s="50">
        <f>VLOOKUP($A75,'Data shares'!$C:$FM,108)</f>
        <v>-8.4</v>
      </c>
      <c r="G75" s="50">
        <f t="shared" si="2"/>
        <v>0.78978978978978975</v>
      </c>
    </row>
    <row r="76" spans="1:7" x14ac:dyDescent="0.25">
      <c r="A76" s="49" t="str">
        <f>'Data shares'!C71</f>
        <v>GMRAIRPORT</v>
      </c>
      <c r="B76" s="50">
        <f>VLOOKUP($A76,'Data shares'!$C:$FM,102)</f>
        <v>24.05</v>
      </c>
      <c r="C76" s="50">
        <f>VLOOKUP($A76,'Data shares'!$C:$FM,110)</f>
        <v>24.52</v>
      </c>
      <c r="D76" s="50">
        <f>VLOOKUP($A76,'Data shares'!$C:$FM,114)</f>
        <v>22.7</v>
      </c>
      <c r="E76" s="50">
        <f>VLOOKUP($A76,'Data shares'!$C:$FM,106)</f>
        <v>39.28</v>
      </c>
      <c r="F76" s="50">
        <f>VLOOKUP($A76,'Data shares'!$C:$FM,108)</f>
        <v>-15.23</v>
      </c>
      <c r="G76" s="50">
        <f t="shared" si="2"/>
        <v>0.6122708757637475</v>
      </c>
    </row>
    <row r="77" spans="1:7" x14ac:dyDescent="0.25">
      <c r="A77" s="49" t="str">
        <f>'Data shares'!C72</f>
        <v>GODREJCP</v>
      </c>
      <c r="B77" s="50">
        <f>VLOOKUP($A77,'Data shares'!$C:$FM,102)</f>
        <v>22.97</v>
      </c>
      <c r="C77" s="50">
        <f>VLOOKUP($A77,'Data shares'!$C:$FM,110)</f>
        <v>22.85</v>
      </c>
      <c r="D77" s="50">
        <f>VLOOKUP($A77,'Data shares'!$C:$FM,114)</f>
        <v>23.49</v>
      </c>
      <c r="E77" s="50">
        <f>VLOOKUP($A77,'Data shares'!$C:$FM,106)</f>
        <v>31.2</v>
      </c>
      <c r="F77" s="50">
        <f>VLOOKUP($A77,'Data shares'!$C:$FM,108)</f>
        <v>-8.23</v>
      </c>
      <c r="G77" s="50">
        <f t="shared" si="2"/>
        <v>0.73621794871794866</v>
      </c>
    </row>
    <row r="78" spans="1:7" x14ac:dyDescent="0.25">
      <c r="A78" s="49" t="str">
        <f>'Data shares'!C73</f>
        <v>GODREJPROP</v>
      </c>
      <c r="B78" s="50">
        <f>VLOOKUP($A78,'Data shares'!$C:$FM,102)</f>
        <v>32.46</v>
      </c>
      <c r="C78" s="50">
        <f>VLOOKUP($A78,'Data shares'!$C:$FM,110)</f>
        <v>32.74</v>
      </c>
      <c r="D78" s="50">
        <f>VLOOKUP($A78,'Data shares'!$C:$FM,114)</f>
        <v>31.77</v>
      </c>
      <c r="E78" s="50">
        <f>VLOOKUP($A78,'Data shares'!$C:$FM,106)</f>
        <v>46.22</v>
      </c>
      <c r="F78" s="50">
        <f>VLOOKUP($A78,'Data shares'!$C:$FM,108)</f>
        <v>-13.76</v>
      </c>
      <c r="G78" s="50">
        <f t="shared" si="2"/>
        <v>0.70229337948939852</v>
      </c>
    </row>
    <row r="79" spans="1:7" x14ac:dyDescent="0.25">
      <c r="A79" s="49" t="str">
        <f>'Data shares'!C74</f>
        <v>GRANULES</v>
      </c>
      <c r="B79" s="50">
        <f>VLOOKUP($A79,'Data shares'!$C:$FM,102)</f>
        <v>32.35</v>
      </c>
      <c r="C79" s="50">
        <f>VLOOKUP($A79,'Data shares'!$C:$FM,110)</f>
        <v>32.51</v>
      </c>
      <c r="D79" s="50">
        <f>VLOOKUP($A79,'Data shares'!$C:$FM,114)</f>
        <v>31.97</v>
      </c>
      <c r="E79" s="50">
        <f>VLOOKUP($A79,'Data shares'!$C:$FM,106)</f>
        <v>45.44</v>
      </c>
      <c r="F79" s="50">
        <f>VLOOKUP($A79,'Data shares'!$C:$FM,108)</f>
        <v>-13.09</v>
      </c>
      <c r="G79" s="50">
        <f t="shared" si="2"/>
        <v>0.71192781690140849</v>
      </c>
    </row>
    <row r="80" spans="1:7" x14ac:dyDescent="0.25">
      <c r="A80" s="49" t="str">
        <f>'Data shares'!C75</f>
        <v>GRASIM</v>
      </c>
      <c r="B80" s="50">
        <f>VLOOKUP($A80,'Data shares'!$C:$FM,102)</f>
        <v>20.95</v>
      </c>
      <c r="C80" s="50">
        <f>VLOOKUP($A80,'Data shares'!$C:$FM,110)</f>
        <v>20.91</v>
      </c>
      <c r="D80" s="50">
        <f>VLOOKUP($A80,'Data shares'!$C:$FM,114)</f>
        <v>21.08</v>
      </c>
      <c r="E80" s="50">
        <f>VLOOKUP($A80,'Data shares'!$C:$FM,106)</f>
        <v>27.15</v>
      </c>
      <c r="F80" s="50">
        <f>VLOOKUP($A80,'Data shares'!$C:$FM,108)</f>
        <v>-6.2</v>
      </c>
      <c r="G80" s="50">
        <f t="shared" si="2"/>
        <v>0.77163904235727443</v>
      </c>
    </row>
    <row r="81" spans="1:7" x14ac:dyDescent="0.25">
      <c r="A81" s="49" t="str">
        <f>'Data shares'!C76</f>
        <v>HAL</v>
      </c>
      <c r="B81" s="50">
        <f>VLOOKUP($A81,'Data shares'!$C:$FM,102)</f>
        <v>37.450000000000003</v>
      </c>
      <c r="C81" s="50">
        <f>VLOOKUP($A81,'Data shares'!$C:$FM,110)</f>
        <v>38.06</v>
      </c>
      <c r="D81" s="50">
        <f>VLOOKUP($A81,'Data shares'!$C:$FM,114)</f>
        <v>35.83</v>
      </c>
      <c r="E81" s="50">
        <f>VLOOKUP($A81,'Data shares'!$C:$FM,106)</f>
        <v>42.61</v>
      </c>
      <c r="F81" s="50">
        <f>VLOOKUP($A81,'Data shares'!$C:$FM,108)</f>
        <v>-5.16</v>
      </c>
      <c r="G81" s="50">
        <f t="shared" si="2"/>
        <v>0.87890166627552224</v>
      </c>
    </row>
    <row r="82" spans="1:7" x14ac:dyDescent="0.25">
      <c r="A82" s="49" t="str">
        <f>'Data shares'!C77</f>
        <v>HAVELLS</v>
      </c>
      <c r="B82" s="50">
        <f>VLOOKUP($A82,'Data shares'!$C:$FM,102)</f>
        <v>22.44</v>
      </c>
      <c r="C82" s="50">
        <f>VLOOKUP($A82,'Data shares'!$C:$FM,110)</f>
        <v>21.9</v>
      </c>
      <c r="D82" s="50">
        <f>VLOOKUP($A82,'Data shares'!$C:$FM,114)</f>
        <v>23.09</v>
      </c>
      <c r="E82" s="50">
        <f>VLOOKUP($A82,'Data shares'!$C:$FM,106)</f>
        <v>29.97</v>
      </c>
      <c r="F82" s="50">
        <f>VLOOKUP($A82,'Data shares'!$C:$FM,108)</f>
        <v>-7.53</v>
      </c>
      <c r="G82" s="50">
        <f t="shared" si="2"/>
        <v>0.74874874874874886</v>
      </c>
    </row>
    <row r="83" spans="1:7" x14ac:dyDescent="0.25">
      <c r="A83" s="49" t="str">
        <f>'Data shares'!C78</f>
        <v>HCLTECH</v>
      </c>
      <c r="B83" s="50">
        <f>VLOOKUP($A83,'Data shares'!$C:$FM,102)</f>
        <v>23.3</v>
      </c>
      <c r="C83" s="50">
        <f>VLOOKUP($A83,'Data shares'!$C:$FM,110)</f>
        <v>22.92</v>
      </c>
      <c r="D83" s="50">
        <f>VLOOKUP($A83,'Data shares'!$C:$FM,114)</f>
        <v>24.39</v>
      </c>
      <c r="E83" s="50">
        <f>VLOOKUP($A83,'Data shares'!$C:$FM,106)</f>
        <v>29.79</v>
      </c>
      <c r="F83" s="50">
        <f>VLOOKUP($A83,'Data shares'!$C:$FM,108)</f>
        <v>-6.49</v>
      </c>
      <c r="G83" s="50">
        <f t="shared" si="2"/>
        <v>0.78214165827458881</v>
      </c>
    </row>
    <row r="84" spans="1:7" x14ac:dyDescent="0.25">
      <c r="A84" s="49" t="str">
        <f>'Data shares'!C79</f>
        <v>HDFCAMC</v>
      </c>
      <c r="B84" s="50">
        <f>VLOOKUP($A84,'Data shares'!$C:$FM,102)</f>
        <v>24.58</v>
      </c>
      <c r="C84" s="50">
        <f>VLOOKUP($A84,'Data shares'!$C:$FM,110)</f>
        <v>24.34</v>
      </c>
      <c r="D84" s="50">
        <f>VLOOKUP($A84,'Data shares'!$C:$FM,114)</f>
        <v>25.08</v>
      </c>
      <c r="E84" s="50">
        <f>VLOOKUP($A84,'Data shares'!$C:$FM,106)</f>
        <v>36.39</v>
      </c>
      <c r="F84" s="50">
        <f>VLOOKUP($A84,'Data shares'!$C:$FM,108)</f>
        <v>-11.81</v>
      </c>
      <c r="G84" s="50">
        <f t="shared" si="2"/>
        <v>0.67546029128881557</v>
      </c>
    </row>
    <row r="85" spans="1:7" x14ac:dyDescent="0.25">
      <c r="A85" s="49" t="str">
        <f>'Data shares'!C80</f>
        <v>HDFCBANK</v>
      </c>
      <c r="B85" s="50">
        <f>VLOOKUP($A85,'Data shares'!$C:$FM,102)</f>
        <v>16.510000000000002</v>
      </c>
      <c r="C85" s="50">
        <f>VLOOKUP($A85,'Data shares'!$C:$FM,110)</f>
        <v>16.52</v>
      </c>
      <c r="D85" s="50">
        <f>VLOOKUP($A85,'Data shares'!$C:$FM,114)</f>
        <v>16.48</v>
      </c>
      <c r="E85" s="50">
        <f>VLOOKUP($A85,'Data shares'!$C:$FM,106)</f>
        <v>22.56</v>
      </c>
      <c r="F85" s="50">
        <f>VLOOKUP($A85,'Data shares'!$C:$FM,108)</f>
        <v>-6.05</v>
      </c>
      <c r="G85" s="50">
        <f t="shared" si="2"/>
        <v>0.73182624113475192</v>
      </c>
    </row>
    <row r="86" spans="1:7" x14ac:dyDescent="0.25">
      <c r="A86" s="49" t="str">
        <f>'Data shares'!C81</f>
        <v>HDFCLIFE</v>
      </c>
      <c r="B86" s="50">
        <f>VLOOKUP($A86,'Data shares'!$C:$FM,102)</f>
        <v>21.39</v>
      </c>
      <c r="C86" s="50">
        <f>VLOOKUP($A86,'Data shares'!$C:$FM,110)</f>
        <v>21.4</v>
      </c>
      <c r="D86" s="50">
        <f>VLOOKUP($A86,'Data shares'!$C:$FM,114)</f>
        <v>21.37</v>
      </c>
      <c r="E86" s="50">
        <f>VLOOKUP($A86,'Data shares'!$C:$FM,106)</f>
        <v>27.02</v>
      </c>
      <c r="F86" s="50">
        <f>VLOOKUP($A86,'Data shares'!$C:$FM,108)</f>
        <v>-5.63</v>
      </c>
      <c r="G86" s="50">
        <f t="shared" si="2"/>
        <v>0.79163582531458188</v>
      </c>
    </row>
    <row r="87" spans="1:7" x14ac:dyDescent="0.25">
      <c r="A87" s="49" t="str">
        <f>'Data shares'!C82</f>
        <v>HEROMOTOCO</v>
      </c>
      <c r="B87" s="50">
        <f>VLOOKUP($A87,'Data shares'!$C:$FM,102)</f>
        <v>27.56</v>
      </c>
      <c r="C87" s="50">
        <f>VLOOKUP($A87,'Data shares'!$C:$FM,110)</f>
        <v>26.73</v>
      </c>
      <c r="D87" s="50">
        <f>VLOOKUP($A87,'Data shares'!$C:$FM,114)</f>
        <v>28.98</v>
      </c>
      <c r="E87" s="50">
        <f>VLOOKUP($A87,'Data shares'!$C:$FM,106)</f>
        <v>32.270000000000003</v>
      </c>
      <c r="F87" s="50">
        <f>VLOOKUP($A87,'Data shares'!$C:$FM,108)</f>
        <v>-4.71</v>
      </c>
      <c r="G87" s="50">
        <f t="shared" si="2"/>
        <v>0.85404400371862399</v>
      </c>
    </row>
    <row r="88" spans="1:7" x14ac:dyDescent="0.25">
      <c r="A88" s="49" t="str">
        <f>'Data shares'!C83</f>
        <v>HFCL</v>
      </c>
      <c r="B88" s="50">
        <f>VLOOKUP($A88,'Data shares'!$C:$FM,102)</f>
        <v>38.15</v>
      </c>
      <c r="C88" s="50">
        <f>VLOOKUP($A88,'Data shares'!$C:$FM,110)</f>
        <v>38.72</v>
      </c>
      <c r="D88" s="50">
        <f>VLOOKUP($A88,'Data shares'!$C:$FM,114)</f>
        <v>36.56</v>
      </c>
      <c r="E88" s="50">
        <f>VLOOKUP($A88,'Data shares'!$C:$FM,106)</f>
        <v>56.74</v>
      </c>
      <c r="F88" s="50">
        <f>VLOOKUP($A88,'Data shares'!$C:$FM,108)</f>
        <v>-18.59</v>
      </c>
      <c r="G88" s="50">
        <f t="shared" si="2"/>
        <v>0.67236517448008459</v>
      </c>
    </row>
    <row r="89" spans="1:7" x14ac:dyDescent="0.25">
      <c r="A89" s="49" t="str">
        <f>'Data shares'!C84</f>
        <v>HINDALCO</v>
      </c>
      <c r="B89" s="50">
        <f>VLOOKUP($A89,'Data shares'!$C:$FM,102)</f>
        <v>24.05</v>
      </c>
      <c r="C89" s="50">
        <f>VLOOKUP($A89,'Data shares'!$C:$FM,110)</f>
        <v>23.6</v>
      </c>
      <c r="D89" s="50">
        <f>VLOOKUP($A89,'Data shares'!$C:$FM,114)</f>
        <v>24.65</v>
      </c>
      <c r="E89" s="50">
        <f>VLOOKUP($A89,'Data shares'!$C:$FM,106)</f>
        <v>35.28</v>
      </c>
      <c r="F89" s="50">
        <f>VLOOKUP($A89,'Data shares'!$C:$FM,108)</f>
        <v>-11.23</v>
      </c>
      <c r="G89" s="50">
        <f t="shared" si="2"/>
        <v>0.68168934240362811</v>
      </c>
    </row>
    <row r="90" spans="1:7" x14ac:dyDescent="0.25">
      <c r="A90" s="49" t="str">
        <f>'Data shares'!C85</f>
        <v>HINDPETRO</v>
      </c>
      <c r="B90" s="50">
        <f>VLOOKUP($A90,'Data shares'!$C:$FM,102)</f>
        <v>31.67</v>
      </c>
      <c r="C90" s="50">
        <f>VLOOKUP($A90,'Data shares'!$C:$FM,110)</f>
        <v>31.99</v>
      </c>
      <c r="D90" s="50">
        <f>VLOOKUP($A90,'Data shares'!$C:$FM,114)</f>
        <v>30.92</v>
      </c>
      <c r="E90" s="50">
        <f>VLOOKUP($A90,'Data shares'!$C:$FM,106)</f>
        <v>43.07</v>
      </c>
      <c r="F90" s="50">
        <f>VLOOKUP($A90,'Data shares'!$C:$FM,108)</f>
        <v>-11.4</v>
      </c>
      <c r="G90" s="50">
        <f t="shared" si="2"/>
        <v>0.73531460413280714</v>
      </c>
    </row>
    <row r="91" spans="1:7" x14ac:dyDescent="0.25">
      <c r="A91" s="49" t="str">
        <f>'Data shares'!C86</f>
        <v>HINDUNILVR</v>
      </c>
      <c r="B91" s="50">
        <f>VLOOKUP($A91,'Data shares'!$C:$FM,102)</f>
        <v>19.88</v>
      </c>
      <c r="C91" s="50">
        <f>VLOOKUP($A91,'Data shares'!$C:$FM,110)</f>
        <v>19.260000000000002</v>
      </c>
      <c r="D91" s="50">
        <f>VLOOKUP($A91,'Data shares'!$C:$FM,114)</f>
        <v>21.45</v>
      </c>
      <c r="E91" s="50">
        <f>VLOOKUP($A91,'Data shares'!$C:$FM,106)</f>
        <v>23.63</v>
      </c>
      <c r="F91" s="50">
        <f>VLOOKUP($A91,'Data shares'!$C:$FM,108)</f>
        <v>-3.75</v>
      </c>
      <c r="G91" s="50">
        <f t="shared" si="2"/>
        <v>0.84130342784595857</v>
      </c>
    </row>
    <row r="92" spans="1:7" x14ac:dyDescent="0.25">
      <c r="A92" s="49" t="str">
        <f>'Data shares'!C87</f>
        <v>HINDZINC</v>
      </c>
      <c r="B92" s="50">
        <f>VLOOKUP($A92,'Data shares'!$C:$FM,102)</f>
        <v>24.79</v>
      </c>
      <c r="C92" s="50">
        <f>VLOOKUP($A92,'Data shares'!$C:$FM,110)</f>
        <v>24.84</v>
      </c>
      <c r="D92" s="50">
        <f>VLOOKUP($A92,'Data shares'!$C:$FM,114)</f>
        <v>24.71</v>
      </c>
      <c r="E92" s="50">
        <f>VLOOKUP($A92,'Data shares'!$C:$FM,106)</f>
        <v>45.69</v>
      </c>
      <c r="F92" s="50">
        <f>VLOOKUP($A92,'Data shares'!$C:$FM,108)</f>
        <v>-20.9</v>
      </c>
      <c r="G92" s="50">
        <f t="shared" si="2"/>
        <v>0.54256949004158461</v>
      </c>
    </row>
    <row r="93" spans="1:7" x14ac:dyDescent="0.25">
      <c r="A93" s="49" t="str">
        <f>'Data shares'!C88</f>
        <v>HUDCO</v>
      </c>
      <c r="B93" s="50">
        <f>VLOOKUP($A93,'Data shares'!$C:$FM,102)</f>
        <v>31.14</v>
      </c>
      <c r="C93" s="50">
        <f>VLOOKUP($A93,'Data shares'!$C:$FM,110)</f>
        <v>31.28</v>
      </c>
      <c r="D93" s="50">
        <f>VLOOKUP($A93,'Data shares'!$C:$FM,114)</f>
        <v>30.79</v>
      </c>
      <c r="E93" s="50">
        <f>VLOOKUP($A93,'Data shares'!$C:$FM,106)</f>
        <v>56.56</v>
      </c>
      <c r="F93" s="50">
        <f>VLOOKUP($A93,'Data shares'!$C:$FM,108)</f>
        <v>-25.42</v>
      </c>
      <c r="G93" s="50">
        <f t="shared" si="2"/>
        <v>0.55056577086280056</v>
      </c>
    </row>
    <row r="94" spans="1:7" x14ac:dyDescent="0.25">
      <c r="A94" s="49" t="str">
        <f>'Data shares'!C89</f>
        <v>ICICIBANK</v>
      </c>
      <c r="B94" s="50">
        <f>VLOOKUP($A94,'Data shares'!$C:$FM,102)</f>
        <v>14.75</v>
      </c>
      <c r="C94" s="50">
        <f>VLOOKUP($A94,'Data shares'!$C:$FM,110)</f>
        <v>14.97</v>
      </c>
      <c r="D94" s="50">
        <f>VLOOKUP($A94,'Data shares'!$C:$FM,114)</f>
        <v>14.34</v>
      </c>
      <c r="E94" s="50">
        <f>VLOOKUP($A94,'Data shares'!$C:$FM,106)</f>
        <v>22.07</v>
      </c>
      <c r="F94" s="50">
        <f>VLOOKUP($A94,'Data shares'!$C:$FM,108)</f>
        <v>-7.32</v>
      </c>
      <c r="G94" s="50">
        <f t="shared" si="2"/>
        <v>0.66832804712279115</v>
      </c>
    </row>
    <row r="95" spans="1:7" x14ac:dyDescent="0.25">
      <c r="A95" s="49" t="str">
        <f>'Data shares'!C90</f>
        <v>ICICIGI</v>
      </c>
      <c r="B95" s="50">
        <f>VLOOKUP($A95,'Data shares'!$C:$FM,102)</f>
        <v>22.77</v>
      </c>
      <c r="C95" s="50">
        <f>VLOOKUP($A95,'Data shares'!$C:$FM,110)</f>
        <v>22.59</v>
      </c>
      <c r="D95" s="50">
        <f>VLOOKUP($A95,'Data shares'!$C:$FM,114)</f>
        <v>23.35</v>
      </c>
      <c r="E95" s="50">
        <f>VLOOKUP($A95,'Data shares'!$C:$FM,106)</f>
        <v>29.21</v>
      </c>
      <c r="F95" s="50">
        <f>VLOOKUP($A95,'Data shares'!$C:$FM,108)</f>
        <v>-6.44</v>
      </c>
      <c r="G95" s="50">
        <f t="shared" si="2"/>
        <v>0.77952755905511806</v>
      </c>
    </row>
    <row r="96" spans="1:7" x14ac:dyDescent="0.25">
      <c r="A96" s="49" t="str">
        <f>'Data shares'!C91</f>
        <v>ICICIPRULI</v>
      </c>
      <c r="B96" s="50">
        <f>VLOOKUP($A96,'Data shares'!$C:$FM,102)</f>
        <v>26.58</v>
      </c>
      <c r="C96" s="50">
        <f>VLOOKUP($A96,'Data shares'!$C:$FM,110)</f>
        <v>26.67</v>
      </c>
      <c r="D96" s="50">
        <f>VLOOKUP($A96,'Data shares'!$C:$FM,114)</f>
        <v>26.29</v>
      </c>
      <c r="E96" s="50">
        <f>VLOOKUP($A96,'Data shares'!$C:$FM,106)</f>
        <v>29.84</v>
      </c>
      <c r="F96" s="50">
        <f>VLOOKUP($A96,'Data shares'!$C:$FM,108)</f>
        <v>-3.26</v>
      </c>
      <c r="G96" s="50">
        <f t="shared" si="2"/>
        <v>0.89075067024128685</v>
      </c>
    </row>
    <row r="97" spans="1:7" x14ac:dyDescent="0.25">
      <c r="A97" s="49" t="str">
        <f>'Data shares'!C92</f>
        <v>IDEA</v>
      </c>
      <c r="B97" s="50">
        <f>VLOOKUP($A97,'Data shares'!$C:$FM,102)</f>
        <v>59.13</v>
      </c>
      <c r="C97" s="50">
        <f>VLOOKUP($A97,'Data shares'!$C:$FM,110)</f>
        <v>58.85</v>
      </c>
      <c r="D97" s="50">
        <f>VLOOKUP($A97,'Data shares'!$C:$FM,114)</f>
        <v>60.15</v>
      </c>
      <c r="E97" s="50">
        <f>VLOOKUP($A97,'Data shares'!$C:$FM,106)</f>
        <v>65.88</v>
      </c>
      <c r="F97" s="50">
        <f>VLOOKUP($A97,'Data shares'!$C:$FM,108)</f>
        <v>-6.75</v>
      </c>
      <c r="G97" s="50">
        <f t="shared" si="2"/>
        <v>0.89754098360655743</v>
      </c>
    </row>
    <row r="98" spans="1:7" x14ac:dyDescent="0.25">
      <c r="A98" s="49" t="str">
        <f>'Data shares'!C93</f>
        <v>IDFCFIRSTB</v>
      </c>
      <c r="B98" s="50">
        <f>VLOOKUP($A98,'Data shares'!$C:$FM,102)</f>
        <v>24.42</v>
      </c>
      <c r="C98" s="50">
        <f>VLOOKUP($A98,'Data shares'!$C:$FM,110)</f>
        <v>23.57</v>
      </c>
      <c r="D98" s="50">
        <f>VLOOKUP($A98,'Data shares'!$C:$FM,114)</f>
        <v>25.72</v>
      </c>
      <c r="E98" s="50">
        <f>VLOOKUP($A98,'Data shares'!$C:$FM,106)</f>
        <v>35.69</v>
      </c>
      <c r="F98" s="50">
        <f>VLOOKUP($A98,'Data shares'!$C:$FM,108)</f>
        <v>-11.27</v>
      </c>
      <c r="G98" s="50">
        <f t="shared" si="2"/>
        <v>0.68422527318576642</v>
      </c>
    </row>
    <row r="99" spans="1:7" x14ac:dyDescent="0.25">
      <c r="A99" s="49" t="str">
        <f>'Data shares'!C94</f>
        <v>IEX</v>
      </c>
      <c r="B99" s="50">
        <f>VLOOKUP($A99,'Data shares'!$C:$FM,102)</f>
        <v>38.630000000000003</v>
      </c>
      <c r="C99" s="50">
        <f>VLOOKUP($A99,'Data shares'!$C:$FM,110)</f>
        <v>37.83</v>
      </c>
      <c r="D99" s="50">
        <f>VLOOKUP($A99,'Data shares'!$C:$FM,114)</f>
        <v>39.86</v>
      </c>
      <c r="E99" s="50">
        <f>VLOOKUP($A99,'Data shares'!$C:$FM,106)</f>
        <v>62.23</v>
      </c>
      <c r="F99" s="50">
        <f>VLOOKUP($A99,'Data shares'!$C:$FM,108)</f>
        <v>-23.6</v>
      </c>
      <c r="G99" s="50">
        <f t="shared" si="2"/>
        <v>0.62076169050297292</v>
      </c>
    </row>
    <row r="100" spans="1:7" x14ac:dyDescent="0.25">
      <c r="A100" s="49" t="str">
        <f>'Data shares'!C95</f>
        <v>IGL</v>
      </c>
      <c r="B100" s="50">
        <f>VLOOKUP($A100,'Data shares'!$C:$FM,102)</f>
        <v>31.54</v>
      </c>
      <c r="C100" s="50">
        <f>VLOOKUP($A100,'Data shares'!$C:$FM,110)</f>
        <v>31.77</v>
      </c>
      <c r="D100" s="50">
        <f>VLOOKUP($A100,'Data shares'!$C:$FM,114)</f>
        <v>30.7</v>
      </c>
      <c r="E100" s="50">
        <f>VLOOKUP($A100,'Data shares'!$C:$FM,106)</f>
        <v>44.3</v>
      </c>
      <c r="F100" s="50">
        <f>VLOOKUP($A100,'Data shares'!$C:$FM,108)</f>
        <v>-12.76</v>
      </c>
      <c r="G100" s="50">
        <f t="shared" si="2"/>
        <v>0.71196388261851018</v>
      </c>
    </row>
    <row r="101" spans="1:7" x14ac:dyDescent="0.25">
      <c r="A101" s="49" t="str">
        <f>'Data shares'!C96</f>
        <v>IIFL</v>
      </c>
      <c r="B101" s="50">
        <f>VLOOKUP($A101,'Data shares'!$C:$FM,102)</f>
        <v>34.299999999999997</v>
      </c>
      <c r="C101" s="50">
        <f>VLOOKUP($A101,'Data shares'!$C:$FM,110)</f>
        <v>34.549999999999997</v>
      </c>
      <c r="D101" s="50">
        <f>VLOOKUP($A101,'Data shares'!$C:$FM,114)</f>
        <v>33.81</v>
      </c>
      <c r="E101" s="50">
        <f>VLOOKUP($A101,'Data shares'!$C:$FM,106)</f>
        <v>55.03</v>
      </c>
      <c r="F101" s="50">
        <f>VLOOKUP($A101,'Data shares'!$C:$FM,108)</f>
        <v>-20.73</v>
      </c>
      <c r="G101" s="50">
        <f t="shared" si="2"/>
        <v>0.62329638379065955</v>
      </c>
    </row>
    <row r="102" spans="1:7" x14ac:dyDescent="0.25">
      <c r="A102" s="49" t="str">
        <f>'Data shares'!C97</f>
        <v>INDHOTEL</v>
      </c>
      <c r="B102" s="50">
        <f>VLOOKUP($A102,'Data shares'!$C:$FM,102)</f>
        <v>26.49</v>
      </c>
      <c r="C102" s="50">
        <f>VLOOKUP($A102,'Data shares'!$C:$FM,110)</f>
        <v>26.29</v>
      </c>
      <c r="D102" s="50">
        <f>VLOOKUP($A102,'Data shares'!$C:$FM,114)</f>
        <v>27.2</v>
      </c>
      <c r="E102" s="50">
        <f>VLOOKUP($A102,'Data shares'!$C:$FM,106)</f>
        <v>37.909999999999997</v>
      </c>
      <c r="F102" s="50">
        <f>VLOOKUP($A102,'Data shares'!$C:$FM,108)</f>
        <v>-11.42</v>
      </c>
      <c r="G102" s="50">
        <f t="shared" si="2"/>
        <v>0.69876022157742024</v>
      </c>
    </row>
    <row r="103" spans="1:7" x14ac:dyDescent="0.25">
      <c r="A103" s="49" t="str">
        <f>'Data shares'!C98</f>
        <v>INDIANB</v>
      </c>
      <c r="B103" s="50">
        <f>VLOOKUP($A103,'Data shares'!$C:$FM,102)</f>
        <v>27.81</v>
      </c>
      <c r="C103" s="50">
        <f>VLOOKUP($A103,'Data shares'!$C:$FM,110)</f>
        <v>27.92</v>
      </c>
      <c r="D103" s="50">
        <f>VLOOKUP($A103,'Data shares'!$C:$FM,114)</f>
        <v>27.46</v>
      </c>
      <c r="E103" s="50">
        <f>VLOOKUP($A103,'Data shares'!$C:$FM,106)</f>
        <v>40.54</v>
      </c>
      <c r="F103" s="50">
        <f>VLOOKUP($A103,'Data shares'!$C:$FM,108)</f>
        <v>-12.73</v>
      </c>
      <c r="G103" s="50">
        <f t="shared" ref="G103:G134" si="3">B103/E103</f>
        <v>0.68598914652195364</v>
      </c>
    </row>
    <row r="104" spans="1:7" x14ac:dyDescent="0.25">
      <c r="A104" s="49" t="str">
        <f>'Data shares'!C99</f>
        <v>INDIAVIX</v>
      </c>
      <c r="B104" s="50">
        <f>VLOOKUP($A104,'Data shares'!$C:$FM,102)</f>
        <v>0</v>
      </c>
      <c r="C104" s="50">
        <f>VLOOKUP($A104,'Data shares'!$C:$FM,110)</f>
        <v>0</v>
      </c>
      <c r="D104" s="50">
        <f>VLOOKUP($A104,'Data shares'!$C:$FM,114)</f>
        <v>0</v>
      </c>
      <c r="E104" s="50">
        <f>VLOOKUP($A104,'Data shares'!$C:$FM,106)</f>
        <v>0</v>
      </c>
      <c r="F104" s="50">
        <f>VLOOKUP($A104,'Data shares'!$C:$FM,108)</f>
        <v>0</v>
      </c>
      <c r="G104" s="50" t="e">
        <f t="shared" si="3"/>
        <v>#DIV/0!</v>
      </c>
    </row>
    <row r="105" spans="1:7" x14ac:dyDescent="0.25">
      <c r="A105" s="49" t="str">
        <f>'Data shares'!C100</f>
        <v>INDIGO</v>
      </c>
      <c r="B105" s="50">
        <f>VLOOKUP($A105,'Data shares'!$C:$FM,102)</f>
        <v>25.4</v>
      </c>
      <c r="C105" s="50">
        <f>VLOOKUP($A105,'Data shares'!$C:$FM,110)</f>
        <v>24.13</v>
      </c>
      <c r="D105" s="50">
        <f>VLOOKUP($A105,'Data shares'!$C:$FM,114)</f>
        <v>28.27</v>
      </c>
      <c r="E105" s="50">
        <f>VLOOKUP($A105,'Data shares'!$C:$FM,106)</f>
        <v>34.17</v>
      </c>
      <c r="F105" s="50">
        <f>VLOOKUP($A105,'Data shares'!$C:$FM,108)</f>
        <v>-8.77</v>
      </c>
      <c r="G105" s="50">
        <f t="shared" si="3"/>
        <v>0.74334211296458874</v>
      </c>
    </row>
    <row r="106" spans="1:7" x14ac:dyDescent="0.25">
      <c r="A106" s="49" t="str">
        <f>'Data shares'!C101</f>
        <v>INDUSINDBK</v>
      </c>
      <c r="B106" s="50">
        <f>VLOOKUP($A106,'Data shares'!$C:$FM,102)</f>
        <v>30.54</v>
      </c>
      <c r="C106" s="50">
        <f>VLOOKUP($A106,'Data shares'!$C:$FM,110)</f>
        <v>31.16</v>
      </c>
      <c r="D106" s="50">
        <f>VLOOKUP($A106,'Data shares'!$C:$FM,114)</f>
        <v>29.26</v>
      </c>
      <c r="E106" s="50">
        <f>VLOOKUP($A106,'Data shares'!$C:$FM,106)</f>
        <v>50.58</v>
      </c>
      <c r="F106" s="50">
        <f>VLOOKUP($A106,'Data shares'!$C:$FM,108)</f>
        <v>-20.04</v>
      </c>
      <c r="G106" s="50">
        <f t="shared" si="3"/>
        <v>0.60379596678529068</v>
      </c>
    </row>
    <row r="107" spans="1:7" x14ac:dyDescent="0.25">
      <c r="A107" s="49" t="str">
        <f>'Data shares'!C102</f>
        <v>INDUSTOWER</v>
      </c>
      <c r="B107" s="50">
        <f>VLOOKUP($A107,'Data shares'!$C:$FM,102)</f>
        <v>30.41</v>
      </c>
      <c r="C107" s="50">
        <f>VLOOKUP($A107,'Data shares'!$C:$FM,110)</f>
        <v>30.56</v>
      </c>
      <c r="D107" s="50">
        <f>VLOOKUP($A107,'Data shares'!$C:$FM,114)</f>
        <v>30.01</v>
      </c>
      <c r="E107" s="50">
        <f>VLOOKUP($A107,'Data shares'!$C:$FM,106)</f>
        <v>41.62</v>
      </c>
      <c r="F107" s="50">
        <f>VLOOKUP($A107,'Data shares'!$C:$FM,108)</f>
        <v>-11.21</v>
      </c>
      <c r="G107" s="50">
        <f t="shared" si="3"/>
        <v>0.73065833733781838</v>
      </c>
    </row>
    <row r="108" spans="1:7" x14ac:dyDescent="0.25">
      <c r="A108" s="49" t="str">
        <f>'Data shares'!C103</f>
        <v>INFY</v>
      </c>
      <c r="B108" s="50">
        <f>VLOOKUP($A108,'Data shares'!$C:$FM,102)</f>
        <v>24.1</v>
      </c>
      <c r="C108" s="50">
        <f>VLOOKUP($A108,'Data shares'!$C:$FM,110)</f>
        <v>23.23</v>
      </c>
      <c r="D108" s="50">
        <f>VLOOKUP($A108,'Data shares'!$C:$FM,114)</f>
        <v>26.08</v>
      </c>
      <c r="E108" s="50">
        <f>VLOOKUP($A108,'Data shares'!$C:$FM,106)</f>
        <v>29.39</v>
      </c>
      <c r="F108" s="50">
        <f>VLOOKUP($A108,'Data shares'!$C:$FM,108)</f>
        <v>-5.29</v>
      </c>
      <c r="G108" s="50">
        <f t="shared" si="3"/>
        <v>0.82000680503572643</v>
      </c>
    </row>
    <row r="109" spans="1:7" x14ac:dyDescent="0.25">
      <c r="A109" s="49" t="str">
        <f>'Data shares'!C104</f>
        <v>INOXWIND</v>
      </c>
      <c r="B109" s="50">
        <f>VLOOKUP($A109,'Data shares'!$C:$FM,102)</f>
        <v>44.15</v>
      </c>
      <c r="C109" s="50">
        <f>VLOOKUP($A109,'Data shares'!$C:$FM,110)</f>
        <v>43.58</v>
      </c>
      <c r="D109" s="50">
        <f>VLOOKUP($A109,'Data shares'!$C:$FM,114)</f>
        <v>45.81</v>
      </c>
      <c r="E109" s="50">
        <f>VLOOKUP($A109,'Data shares'!$C:$FM,106)</f>
        <v>60.94</v>
      </c>
      <c r="F109" s="50">
        <f>VLOOKUP($A109,'Data shares'!$C:$FM,108)</f>
        <v>-16.79</v>
      </c>
      <c r="G109" s="50">
        <f t="shared" si="3"/>
        <v>0.72448309812930756</v>
      </c>
    </row>
    <row r="110" spans="1:7" x14ac:dyDescent="0.25">
      <c r="A110" s="49" t="str">
        <f>'Data shares'!C105</f>
        <v>IOC</v>
      </c>
      <c r="B110" s="50">
        <f>VLOOKUP($A110,'Data shares'!$C:$FM,102)</f>
        <v>21.8</v>
      </c>
      <c r="C110" s="50">
        <f>VLOOKUP($A110,'Data shares'!$C:$FM,110)</f>
        <v>22.07</v>
      </c>
      <c r="D110" s="50">
        <f>VLOOKUP($A110,'Data shares'!$C:$FM,114)</f>
        <v>21.44</v>
      </c>
      <c r="E110" s="50">
        <f>VLOOKUP($A110,'Data shares'!$C:$FM,106)</f>
        <v>33.97</v>
      </c>
      <c r="F110" s="50">
        <f>VLOOKUP($A110,'Data shares'!$C:$FM,108)</f>
        <v>-12.17</v>
      </c>
      <c r="G110" s="50">
        <f t="shared" si="3"/>
        <v>0.64174271415955264</v>
      </c>
    </row>
    <row r="111" spans="1:7" x14ac:dyDescent="0.25">
      <c r="A111" s="49" t="str">
        <f>'Data shares'!C106</f>
        <v>IRB</v>
      </c>
      <c r="B111" s="50">
        <f>VLOOKUP($A111,'Data shares'!$C:$FM,102)</f>
        <v>36.9</v>
      </c>
      <c r="C111" s="50">
        <f>VLOOKUP($A111,'Data shares'!$C:$FM,110)</f>
        <v>38.28</v>
      </c>
      <c r="D111" s="50">
        <f>VLOOKUP($A111,'Data shares'!$C:$FM,114)</f>
        <v>33.979999999999997</v>
      </c>
      <c r="E111" s="50">
        <f>VLOOKUP($A111,'Data shares'!$C:$FM,106)</f>
        <v>48.63</v>
      </c>
      <c r="F111" s="50">
        <f>VLOOKUP($A111,'Data shares'!$C:$FM,108)</f>
        <v>-11.73</v>
      </c>
      <c r="G111" s="50">
        <f t="shared" si="3"/>
        <v>0.75879086983343613</v>
      </c>
    </row>
    <row r="112" spans="1:7" x14ac:dyDescent="0.25">
      <c r="A112" s="49" t="str">
        <f>'Data shares'!C107</f>
        <v>IRCTC</v>
      </c>
      <c r="B112" s="50">
        <f>VLOOKUP($A112,'Data shares'!$C:$FM,102)</f>
        <v>23.55</v>
      </c>
      <c r="C112" s="50">
        <f>VLOOKUP($A112,'Data shares'!$C:$FM,110)</f>
        <v>23.4</v>
      </c>
      <c r="D112" s="50">
        <f>VLOOKUP($A112,'Data shares'!$C:$FM,114)</f>
        <v>24.04</v>
      </c>
      <c r="E112" s="50">
        <f>VLOOKUP($A112,'Data shares'!$C:$FM,106)</f>
        <v>33.33</v>
      </c>
      <c r="F112" s="50">
        <f>VLOOKUP($A112,'Data shares'!$C:$FM,108)</f>
        <v>-9.7799999999999994</v>
      </c>
      <c r="G112" s="50">
        <f t="shared" si="3"/>
        <v>0.70657065706570665</v>
      </c>
    </row>
    <row r="113" spans="1:7" x14ac:dyDescent="0.25">
      <c r="A113" s="49" t="str">
        <f>'Data shares'!C108</f>
        <v>IREDA</v>
      </c>
      <c r="B113" s="50">
        <f>VLOOKUP($A113,'Data shares'!$C:$FM,102)</f>
        <v>34.5</v>
      </c>
      <c r="C113" s="50">
        <f>VLOOKUP($A113,'Data shares'!$C:$FM,110)</f>
        <v>33.450000000000003</v>
      </c>
      <c r="D113" s="50">
        <f>VLOOKUP($A113,'Data shares'!$C:$FM,114)</f>
        <v>36.369999999999997</v>
      </c>
      <c r="E113" s="50">
        <f>VLOOKUP($A113,'Data shares'!$C:$FM,106)</f>
        <v>55.71</v>
      </c>
      <c r="F113" s="50">
        <f>VLOOKUP($A113,'Data shares'!$C:$FM,108)</f>
        <v>-21.21</v>
      </c>
      <c r="G113" s="50">
        <f t="shared" si="3"/>
        <v>0.61927840603123319</v>
      </c>
    </row>
    <row r="114" spans="1:7" x14ac:dyDescent="0.25">
      <c r="A114" s="49" t="str">
        <f>'Data shares'!C109</f>
        <v>IRFC</v>
      </c>
      <c r="B114" s="50">
        <f>VLOOKUP($A114,'Data shares'!$C:$FM,102)</f>
        <v>30.91</v>
      </c>
      <c r="C114" s="50">
        <f>VLOOKUP($A114,'Data shares'!$C:$FM,110)</f>
        <v>31.33</v>
      </c>
      <c r="D114" s="50">
        <f>VLOOKUP($A114,'Data shares'!$C:$FM,114)</f>
        <v>29.92</v>
      </c>
      <c r="E114" s="50">
        <f>VLOOKUP($A114,'Data shares'!$C:$FM,106)</f>
        <v>51.16</v>
      </c>
      <c r="F114" s="50">
        <f>VLOOKUP($A114,'Data shares'!$C:$FM,108)</f>
        <v>-20.25</v>
      </c>
      <c r="G114" s="50">
        <f t="shared" si="3"/>
        <v>0.60418295543393286</v>
      </c>
    </row>
    <row r="115" spans="1:7" x14ac:dyDescent="0.25">
      <c r="A115" s="49" t="str">
        <f>'Data shares'!C110</f>
        <v>ITC</v>
      </c>
      <c r="B115" s="50">
        <f>VLOOKUP($A115,'Data shares'!$C:$FM,102)</f>
        <v>17.52</v>
      </c>
      <c r="C115" s="50">
        <f>VLOOKUP($A115,'Data shares'!$C:$FM,110)</f>
        <v>17.79</v>
      </c>
      <c r="D115" s="50">
        <f>VLOOKUP($A115,'Data shares'!$C:$FM,114)</f>
        <v>17.03</v>
      </c>
      <c r="E115" s="50">
        <f>VLOOKUP($A115,'Data shares'!$C:$FM,106)</f>
        <v>20.170000000000002</v>
      </c>
      <c r="F115" s="50">
        <f>VLOOKUP($A115,'Data shares'!$C:$FM,108)</f>
        <v>-2.65</v>
      </c>
      <c r="G115" s="50">
        <f t="shared" si="3"/>
        <v>0.86861675756073364</v>
      </c>
    </row>
    <row r="116" spans="1:7" x14ac:dyDescent="0.25">
      <c r="A116" s="49" t="str">
        <f>'Data shares'!C111</f>
        <v>JINDALSTEL</v>
      </c>
      <c r="B116" s="50">
        <f>VLOOKUP($A116,'Data shares'!$C:$FM,102)</f>
        <v>23.48</v>
      </c>
      <c r="C116" s="50">
        <f>VLOOKUP($A116,'Data shares'!$C:$FM,110)</f>
        <v>23.05</v>
      </c>
      <c r="D116" s="50">
        <f>VLOOKUP($A116,'Data shares'!$C:$FM,114)</f>
        <v>24.47</v>
      </c>
      <c r="E116" s="50">
        <f>VLOOKUP($A116,'Data shares'!$C:$FM,106)</f>
        <v>37.22</v>
      </c>
      <c r="F116" s="50">
        <f>VLOOKUP($A116,'Data shares'!$C:$FM,108)</f>
        <v>-13.74</v>
      </c>
      <c r="G116" s="50">
        <f t="shared" si="3"/>
        <v>0.63084363245566899</v>
      </c>
    </row>
    <row r="117" spans="1:7" x14ac:dyDescent="0.25">
      <c r="A117" s="49" t="str">
        <f>'Data shares'!C112</f>
        <v>JIOFIN</v>
      </c>
      <c r="B117" s="50">
        <f>VLOOKUP($A117,'Data shares'!$C:$FM,102)</f>
        <v>28.45</v>
      </c>
      <c r="C117" s="50">
        <f>VLOOKUP($A117,'Data shares'!$C:$FM,110)</f>
        <v>28.51</v>
      </c>
      <c r="D117" s="50">
        <f>VLOOKUP($A117,'Data shares'!$C:$FM,114)</f>
        <v>28.34</v>
      </c>
      <c r="E117" s="50">
        <f>VLOOKUP($A117,'Data shares'!$C:$FM,106)</f>
        <v>38.590000000000003</v>
      </c>
      <c r="F117" s="50">
        <f>VLOOKUP($A117,'Data shares'!$C:$FM,108)</f>
        <v>-10.14</v>
      </c>
      <c r="G117" s="50">
        <f t="shared" si="3"/>
        <v>0.73723762632806422</v>
      </c>
    </row>
    <row r="118" spans="1:7" x14ac:dyDescent="0.25">
      <c r="A118" s="49" t="str">
        <f>'Data shares'!C113</f>
        <v>JSL</v>
      </c>
      <c r="B118" s="50">
        <f>VLOOKUP($A118,'Data shares'!$C:$FM,102)</f>
        <v>28.72</v>
      </c>
      <c r="C118" s="50">
        <f>VLOOKUP($A118,'Data shares'!$C:$FM,110)</f>
        <v>28.47</v>
      </c>
      <c r="D118" s="50">
        <f>VLOOKUP($A118,'Data shares'!$C:$FM,114)</f>
        <v>29.16</v>
      </c>
      <c r="E118" s="50">
        <f>VLOOKUP($A118,'Data shares'!$C:$FM,106)</f>
        <v>44.91</v>
      </c>
      <c r="F118" s="50">
        <f>VLOOKUP($A118,'Data shares'!$C:$FM,108)</f>
        <v>-16.190000000000001</v>
      </c>
      <c r="G118" s="50">
        <f t="shared" si="3"/>
        <v>0.63950122467156534</v>
      </c>
    </row>
    <row r="119" spans="1:7" x14ac:dyDescent="0.25">
      <c r="A119" s="49" t="str">
        <f>'Data shares'!C114</f>
        <v>JSWENERGY</v>
      </c>
      <c r="B119" s="50">
        <f>VLOOKUP($A119,'Data shares'!$C:$FM,102)</f>
        <v>28.92</v>
      </c>
      <c r="C119" s="50">
        <f>VLOOKUP($A119,'Data shares'!$C:$FM,110)</f>
        <v>28.83</v>
      </c>
      <c r="D119" s="50">
        <f>VLOOKUP($A119,'Data shares'!$C:$FM,114)</f>
        <v>29.15</v>
      </c>
      <c r="E119" s="50">
        <f>VLOOKUP($A119,'Data shares'!$C:$FM,106)</f>
        <v>48.32</v>
      </c>
      <c r="F119" s="50">
        <f>VLOOKUP($A119,'Data shares'!$C:$FM,108)</f>
        <v>-19.399999999999999</v>
      </c>
      <c r="G119" s="50">
        <f t="shared" si="3"/>
        <v>0.59850993377483452</v>
      </c>
    </row>
    <row r="120" spans="1:7" x14ac:dyDescent="0.25">
      <c r="A120" s="49" t="str">
        <f>'Data shares'!C115</f>
        <v>JSWSTEEL</v>
      </c>
      <c r="B120" s="50">
        <f>VLOOKUP($A120,'Data shares'!$C:$FM,102)</f>
        <v>25.95</v>
      </c>
      <c r="C120" s="50">
        <f>VLOOKUP($A120,'Data shares'!$C:$FM,110)</f>
        <v>25.34</v>
      </c>
      <c r="D120" s="50">
        <f>VLOOKUP($A120,'Data shares'!$C:$FM,114)</f>
        <v>27.49</v>
      </c>
      <c r="E120" s="50">
        <f>VLOOKUP($A120,'Data shares'!$C:$FM,106)</f>
        <v>30.91</v>
      </c>
      <c r="F120" s="50">
        <f>VLOOKUP($A120,'Data shares'!$C:$FM,108)</f>
        <v>-4.96</v>
      </c>
      <c r="G120" s="50">
        <f t="shared" si="3"/>
        <v>0.83953413134907795</v>
      </c>
    </row>
    <row r="121" spans="1:7" x14ac:dyDescent="0.25">
      <c r="A121" s="49" t="str">
        <f>'Data shares'!C116</f>
        <v>JUBLFOOD</v>
      </c>
      <c r="B121" s="50">
        <f>VLOOKUP($A121,'Data shares'!$C:$FM,102)</f>
        <v>28.82</v>
      </c>
      <c r="C121" s="50">
        <f>VLOOKUP($A121,'Data shares'!$C:$FM,110)</f>
        <v>29.44</v>
      </c>
      <c r="D121" s="50">
        <f>VLOOKUP($A121,'Data shares'!$C:$FM,114)</f>
        <v>27.11</v>
      </c>
      <c r="E121" s="50">
        <f>VLOOKUP($A121,'Data shares'!$C:$FM,106)</f>
        <v>35.26</v>
      </c>
      <c r="F121" s="50">
        <f>VLOOKUP($A121,'Data shares'!$C:$FM,108)</f>
        <v>-6.44</v>
      </c>
      <c r="G121" s="50">
        <f t="shared" si="3"/>
        <v>0.81735677821894503</v>
      </c>
    </row>
    <row r="122" spans="1:7" x14ac:dyDescent="0.25">
      <c r="A122" s="49" t="str">
        <f>'Data shares'!C117</f>
        <v>KALYANKJIL</v>
      </c>
      <c r="B122" s="50">
        <f>VLOOKUP($A122,'Data shares'!$C:$FM,102)</f>
        <v>45.45</v>
      </c>
      <c r="C122" s="50">
        <f>VLOOKUP($A122,'Data shares'!$C:$FM,110)</f>
        <v>46.64</v>
      </c>
      <c r="D122" s="50">
        <f>VLOOKUP($A122,'Data shares'!$C:$FM,114)</f>
        <v>41.47</v>
      </c>
      <c r="E122" s="50">
        <f>VLOOKUP($A122,'Data shares'!$C:$FM,106)</f>
        <v>54.81</v>
      </c>
      <c r="F122" s="50">
        <f>VLOOKUP($A122,'Data shares'!$C:$FM,108)</f>
        <v>-9.36</v>
      </c>
      <c r="G122" s="50">
        <f t="shared" si="3"/>
        <v>0.82922824302134646</v>
      </c>
    </row>
    <row r="123" spans="1:7" x14ac:dyDescent="0.25">
      <c r="A123" s="49" t="str">
        <f>'Data shares'!C118</f>
        <v>KAYNES</v>
      </c>
      <c r="B123" s="50">
        <f>VLOOKUP($A123,'Data shares'!$C:$FM,102)</f>
        <v>38.909999999999997</v>
      </c>
      <c r="C123" s="50">
        <f>VLOOKUP($A123,'Data shares'!$C:$FM,110)</f>
        <v>38.700000000000003</v>
      </c>
      <c r="D123" s="50">
        <f>VLOOKUP($A123,'Data shares'!$C:$FM,114)</f>
        <v>39.380000000000003</v>
      </c>
      <c r="E123" s="50">
        <f>VLOOKUP($A123,'Data shares'!$C:$FM,106)</f>
        <v>58.33</v>
      </c>
      <c r="F123" s="50">
        <f>VLOOKUP($A123,'Data shares'!$C:$FM,108)</f>
        <v>-19.420000000000002</v>
      </c>
      <c r="G123" s="50">
        <f t="shared" si="3"/>
        <v>0.66706668952511572</v>
      </c>
    </row>
    <row r="124" spans="1:7" x14ac:dyDescent="0.25">
      <c r="A124" s="49" t="str">
        <f>'Data shares'!C119</f>
        <v>KEI</v>
      </c>
      <c r="B124" s="50">
        <f>VLOOKUP($A124,'Data shares'!$C:$FM,102)</f>
        <v>30.16</v>
      </c>
      <c r="C124" s="50">
        <f>VLOOKUP($A124,'Data shares'!$C:$FM,110)</f>
        <v>30.72</v>
      </c>
      <c r="D124" s="50">
        <f>VLOOKUP($A124,'Data shares'!$C:$FM,114)</f>
        <v>28.42</v>
      </c>
      <c r="E124" s="50">
        <f>VLOOKUP($A124,'Data shares'!$C:$FM,106)</f>
        <v>51.76</v>
      </c>
      <c r="F124" s="50">
        <f>VLOOKUP($A124,'Data shares'!$C:$FM,108)</f>
        <v>-21.6</v>
      </c>
      <c r="G124" s="50">
        <f t="shared" si="3"/>
        <v>0.58268933539412682</v>
      </c>
    </row>
    <row r="125" spans="1:7" x14ac:dyDescent="0.25">
      <c r="A125" s="49" t="str">
        <f>'Data shares'!C120</f>
        <v>KFINTECH</v>
      </c>
      <c r="B125" s="50">
        <f>VLOOKUP($A125,'Data shares'!$C:$FM,102)</f>
        <v>42.46</v>
      </c>
      <c r="C125" s="50">
        <f>VLOOKUP($A125,'Data shares'!$C:$FM,110)</f>
        <v>43.62</v>
      </c>
      <c r="D125" s="50">
        <f>VLOOKUP($A125,'Data shares'!$C:$FM,114)</f>
        <v>39.119999999999997</v>
      </c>
      <c r="E125" s="50">
        <f>VLOOKUP($A125,'Data shares'!$C:$FM,106)</f>
        <v>58.8</v>
      </c>
      <c r="F125" s="50">
        <f>VLOOKUP($A125,'Data shares'!$C:$FM,108)</f>
        <v>-16.34</v>
      </c>
      <c r="G125" s="50">
        <f t="shared" si="3"/>
        <v>0.722108843537415</v>
      </c>
    </row>
    <row r="126" spans="1:7" x14ac:dyDescent="0.25">
      <c r="A126" s="49" t="str">
        <f>'Data shares'!C121</f>
        <v>KOTAKBANK</v>
      </c>
      <c r="B126" s="50">
        <f>VLOOKUP($A126,'Data shares'!$C:$FM,102)</f>
        <v>18.02</v>
      </c>
      <c r="C126" s="50">
        <f>VLOOKUP($A126,'Data shares'!$C:$FM,110)</f>
        <v>18.45</v>
      </c>
      <c r="D126" s="50">
        <f>VLOOKUP($A126,'Data shares'!$C:$FM,114)</f>
        <v>17.36</v>
      </c>
      <c r="E126" s="50">
        <f>VLOOKUP($A126,'Data shares'!$C:$FM,106)</f>
        <v>28.63</v>
      </c>
      <c r="F126" s="50">
        <f>VLOOKUP($A126,'Data shares'!$C:$FM,108)</f>
        <v>-10.61</v>
      </c>
      <c r="G126" s="50">
        <f t="shared" si="3"/>
        <v>0.62940971009430668</v>
      </c>
    </row>
    <row r="127" spans="1:7" x14ac:dyDescent="0.25">
      <c r="A127" s="49" t="str">
        <f>'Data shares'!C122</f>
        <v>KPITTECH</v>
      </c>
      <c r="B127" s="50">
        <f>VLOOKUP($A127,'Data shares'!$C:$FM,102)</f>
        <v>30.39</v>
      </c>
      <c r="C127" s="50">
        <f>VLOOKUP($A127,'Data shares'!$C:$FM,110)</f>
        <v>30.78</v>
      </c>
      <c r="D127" s="50">
        <f>VLOOKUP($A127,'Data shares'!$C:$FM,114)</f>
        <v>29.01</v>
      </c>
      <c r="E127" s="50">
        <f>VLOOKUP($A127,'Data shares'!$C:$FM,106)</f>
        <v>45.25</v>
      </c>
      <c r="F127" s="50">
        <f>VLOOKUP($A127,'Data shares'!$C:$FM,108)</f>
        <v>-14.86</v>
      </c>
      <c r="G127" s="50">
        <f t="shared" si="3"/>
        <v>0.67160220994475139</v>
      </c>
    </row>
    <row r="128" spans="1:7" x14ac:dyDescent="0.25">
      <c r="A128" s="49" t="str">
        <f>'Data shares'!C123</f>
        <v>LAURUSLABS</v>
      </c>
      <c r="B128" s="50">
        <f>VLOOKUP($A128,'Data shares'!$C:$FM,102)</f>
        <v>29.66</v>
      </c>
      <c r="C128" s="50">
        <f>VLOOKUP($A128,'Data shares'!$C:$FM,110)</f>
        <v>30.06</v>
      </c>
      <c r="D128" s="50">
        <f>VLOOKUP($A128,'Data shares'!$C:$FM,114)</f>
        <v>28.86</v>
      </c>
      <c r="E128" s="50">
        <f>VLOOKUP($A128,'Data shares'!$C:$FM,106)</f>
        <v>42.41</v>
      </c>
      <c r="F128" s="50">
        <f>VLOOKUP($A128,'Data shares'!$C:$FM,108)</f>
        <v>-12.75</v>
      </c>
      <c r="G128" s="50">
        <f t="shared" si="3"/>
        <v>0.69936335769865599</v>
      </c>
    </row>
    <row r="129" spans="1:7" x14ac:dyDescent="0.25">
      <c r="A129" s="49" t="str">
        <f>'Data shares'!C124</f>
        <v>LICHSGFIN</v>
      </c>
      <c r="B129" s="50">
        <f>VLOOKUP($A129,'Data shares'!$C:$FM,102)</f>
        <v>25.88</v>
      </c>
      <c r="C129" s="50">
        <f>VLOOKUP($A129,'Data shares'!$C:$FM,110)</f>
        <v>26.18</v>
      </c>
      <c r="D129" s="50">
        <f>VLOOKUP($A129,'Data shares'!$C:$FM,114)</f>
        <v>25.12</v>
      </c>
      <c r="E129" s="50">
        <f>VLOOKUP($A129,'Data shares'!$C:$FM,106)</f>
        <v>36.909999999999997</v>
      </c>
      <c r="F129" s="50">
        <f>VLOOKUP($A129,'Data shares'!$C:$FM,108)</f>
        <v>-11.03</v>
      </c>
      <c r="G129" s="50">
        <f t="shared" si="3"/>
        <v>0.70116499593606074</v>
      </c>
    </row>
    <row r="130" spans="1:7" x14ac:dyDescent="0.25">
      <c r="A130" s="49" t="str">
        <f>'Data shares'!C125</f>
        <v>LICI</v>
      </c>
      <c r="B130" s="50">
        <f>VLOOKUP($A130,'Data shares'!$C:$FM,102)</f>
        <v>25.27</v>
      </c>
      <c r="C130" s="50">
        <f>VLOOKUP($A130,'Data shares'!$C:$FM,110)</f>
        <v>25.4</v>
      </c>
      <c r="D130" s="50">
        <f>VLOOKUP($A130,'Data shares'!$C:$FM,114)</f>
        <v>25</v>
      </c>
      <c r="E130" s="50">
        <f>VLOOKUP($A130,'Data shares'!$C:$FM,106)</f>
        <v>34.450000000000003</v>
      </c>
      <c r="F130" s="50">
        <f>VLOOKUP($A130,'Data shares'!$C:$FM,108)</f>
        <v>-9.18</v>
      </c>
      <c r="G130" s="50">
        <f t="shared" si="3"/>
        <v>0.7335268505079825</v>
      </c>
    </row>
    <row r="131" spans="1:7" x14ac:dyDescent="0.25">
      <c r="A131" s="49" t="str">
        <f>'Data shares'!C126</f>
        <v>LODHA</v>
      </c>
      <c r="B131" s="50">
        <f>VLOOKUP($A131,'Data shares'!$C:$FM,102)</f>
        <v>32.770000000000003</v>
      </c>
      <c r="C131" s="50">
        <f>VLOOKUP($A131,'Data shares'!$C:$FM,110)</f>
        <v>32.61</v>
      </c>
      <c r="D131" s="50">
        <f>VLOOKUP($A131,'Data shares'!$C:$FM,114)</f>
        <v>33.53</v>
      </c>
      <c r="E131" s="50">
        <f>VLOOKUP($A131,'Data shares'!$C:$FM,106)</f>
        <v>50.89</v>
      </c>
      <c r="F131" s="50">
        <f>VLOOKUP($A131,'Data shares'!$C:$FM,108)</f>
        <v>-18.12</v>
      </c>
      <c r="G131" s="50">
        <f t="shared" si="3"/>
        <v>0.64393790528591088</v>
      </c>
    </row>
    <row r="132" spans="1:7" x14ac:dyDescent="0.25">
      <c r="A132" s="49" t="str">
        <f>'Data shares'!C127</f>
        <v>LT</v>
      </c>
      <c r="B132" s="50">
        <f>VLOOKUP($A132,'Data shares'!$C:$FM,102)</f>
        <v>19.55</v>
      </c>
      <c r="C132" s="50">
        <f>VLOOKUP($A132,'Data shares'!$C:$FM,110)</f>
        <v>19.89</v>
      </c>
      <c r="D132" s="50">
        <f>VLOOKUP($A132,'Data shares'!$C:$FM,114)</f>
        <v>18.78</v>
      </c>
      <c r="E132" s="50">
        <f>VLOOKUP($A132,'Data shares'!$C:$FM,106)</f>
        <v>29.71</v>
      </c>
      <c r="F132" s="50">
        <f>VLOOKUP($A132,'Data shares'!$C:$FM,108)</f>
        <v>-10.16</v>
      </c>
      <c r="G132" s="50">
        <f t="shared" si="3"/>
        <v>0.65802760013463479</v>
      </c>
    </row>
    <row r="133" spans="1:7" x14ac:dyDescent="0.25">
      <c r="A133" s="49" t="str">
        <f>'Data shares'!C128</f>
        <v>LTF</v>
      </c>
      <c r="B133" s="50">
        <f>VLOOKUP($A133,'Data shares'!$C:$FM,102)</f>
        <v>29.78</v>
      </c>
      <c r="C133" s="50">
        <f>VLOOKUP($A133,'Data shares'!$C:$FM,110)</f>
        <v>28.67</v>
      </c>
      <c r="D133" s="50">
        <f>VLOOKUP($A133,'Data shares'!$C:$FM,114)</f>
        <v>32.200000000000003</v>
      </c>
      <c r="E133" s="50">
        <f>VLOOKUP($A133,'Data shares'!$C:$FM,106)</f>
        <v>39.840000000000003</v>
      </c>
      <c r="F133" s="50">
        <f>VLOOKUP($A133,'Data shares'!$C:$FM,108)</f>
        <v>-10.06</v>
      </c>
      <c r="G133" s="50">
        <f t="shared" si="3"/>
        <v>0.7474899598393574</v>
      </c>
    </row>
    <row r="134" spans="1:7" x14ac:dyDescent="0.25">
      <c r="A134" s="49" t="str">
        <f>'Data shares'!C129</f>
        <v>LTIM</v>
      </c>
      <c r="B134" s="50">
        <f>VLOOKUP($A134,'Data shares'!$C:$FM,102)</f>
        <v>28.08</v>
      </c>
      <c r="C134" s="50">
        <f>VLOOKUP($A134,'Data shares'!$C:$FM,110)</f>
        <v>27.86</v>
      </c>
      <c r="D134" s="50">
        <f>VLOOKUP($A134,'Data shares'!$C:$FM,114)</f>
        <v>28.73</v>
      </c>
      <c r="E134" s="50">
        <f>VLOOKUP($A134,'Data shares'!$C:$FM,106)</f>
        <v>34.51</v>
      </c>
      <c r="F134" s="50">
        <f>VLOOKUP($A134,'Data shares'!$C:$FM,108)</f>
        <v>-6.43</v>
      </c>
      <c r="G134" s="50">
        <f t="shared" si="3"/>
        <v>0.81367719501593738</v>
      </c>
    </row>
    <row r="135" spans="1:7" x14ac:dyDescent="0.25">
      <c r="A135" s="49" t="str">
        <f>'Data shares'!C130</f>
        <v>LUPIN</v>
      </c>
      <c r="B135" s="50">
        <f>VLOOKUP($A135,'Data shares'!$C:$FM,102)</f>
        <v>24.98</v>
      </c>
      <c r="C135" s="50">
        <f>VLOOKUP($A135,'Data shares'!$C:$FM,110)</f>
        <v>24.74</v>
      </c>
      <c r="D135" s="50">
        <f>VLOOKUP($A135,'Data shares'!$C:$FM,114)</f>
        <v>25.36</v>
      </c>
      <c r="E135" s="50">
        <f>VLOOKUP($A135,'Data shares'!$C:$FM,106)</f>
        <v>33.53</v>
      </c>
      <c r="F135" s="50">
        <f>VLOOKUP($A135,'Data shares'!$C:$FM,108)</f>
        <v>-8.5500000000000007</v>
      </c>
      <c r="G135" s="50">
        <f t="shared" ref="G135:G166" si="4">B135/E135</f>
        <v>0.74500447360572619</v>
      </c>
    </row>
    <row r="136" spans="1:7" x14ac:dyDescent="0.25">
      <c r="A136" s="49" t="str">
        <f>'Data shares'!C131</f>
        <v>M&amp;M</v>
      </c>
      <c r="B136" s="50">
        <f>VLOOKUP($A136,'Data shares'!$C:$FM,102)</f>
        <v>23.79</v>
      </c>
      <c r="C136" s="50">
        <f>VLOOKUP($A136,'Data shares'!$C:$FM,110)</f>
        <v>21.88</v>
      </c>
      <c r="D136" s="50">
        <f>VLOOKUP($A136,'Data shares'!$C:$FM,114)</f>
        <v>27.3</v>
      </c>
      <c r="E136" s="50">
        <f>VLOOKUP($A136,'Data shares'!$C:$FM,106)</f>
        <v>34.06</v>
      </c>
      <c r="F136" s="50">
        <f>VLOOKUP($A136,'Data shares'!$C:$FM,108)</f>
        <v>-10.27</v>
      </c>
      <c r="G136" s="50">
        <f t="shared" si="4"/>
        <v>0.69847328244274798</v>
      </c>
    </row>
    <row r="137" spans="1:7" x14ac:dyDescent="0.25">
      <c r="A137" s="49" t="str">
        <f>'Data shares'!C132</f>
        <v>MANAPPURAM</v>
      </c>
      <c r="B137" s="50">
        <f>VLOOKUP($A137,'Data shares'!$C:$FM,102)</f>
        <v>31.11</v>
      </c>
      <c r="C137" s="50">
        <f>VLOOKUP($A137,'Data shares'!$C:$FM,110)</f>
        <v>29.86</v>
      </c>
      <c r="D137" s="50">
        <f>VLOOKUP($A137,'Data shares'!$C:$FM,114)</f>
        <v>32.700000000000003</v>
      </c>
      <c r="E137" s="50">
        <f>VLOOKUP($A137,'Data shares'!$C:$FM,106)</f>
        <v>45.42</v>
      </c>
      <c r="F137" s="50">
        <f>VLOOKUP($A137,'Data shares'!$C:$FM,108)</f>
        <v>-14.31</v>
      </c>
      <c r="G137" s="50">
        <f t="shared" si="4"/>
        <v>0.68494055482166438</v>
      </c>
    </row>
    <row r="138" spans="1:7" x14ac:dyDescent="0.25">
      <c r="A138" s="49" t="str">
        <f>'Data shares'!C133</f>
        <v>MANKIND</v>
      </c>
      <c r="B138" s="50">
        <f>VLOOKUP($A138,'Data shares'!$C:$FM,102)</f>
        <v>33.11</v>
      </c>
      <c r="C138" s="50">
        <f>VLOOKUP($A138,'Data shares'!$C:$FM,110)</f>
        <v>33.43</v>
      </c>
      <c r="D138" s="50">
        <f>VLOOKUP($A138,'Data shares'!$C:$FM,114)</f>
        <v>31.46</v>
      </c>
      <c r="E138" s="50">
        <f>VLOOKUP($A138,'Data shares'!$C:$FM,106)</f>
        <v>36.44</v>
      </c>
      <c r="F138" s="50">
        <f>VLOOKUP($A138,'Data shares'!$C:$FM,108)</f>
        <v>-3.33</v>
      </c>
      <c r="G138" s="50">
        <f t="shared" si="4"/>
        <v>0.90861690450054888</v>
      </c>
    </row>
    <row r="139" spans="1:7" x14ac:dyDescent="0.25">
      <c r="A139" s="49" t="str">
        <f>'Data shares'!C134</f>
        <v>MARICO</v>
      </c>
      <c r="B139" s="50">
        <f>VLOOKUP($A139,'Data shares'!$C:$FM,102)</f>
        <v>24.56</v>
      </c>
      <c r="C139" s="50">
        <f>VLOOKUP($A139,'Data shares'!$C:$FM,110)</f>
        <v>24.2</v>
      </c>
      <c r="D139" s="50">
        <f>VLOOKUP($A139,'Data shares'!$C:$FM,114)</f>
        <v>25.93</v>
      </c>
      <c r="E139" s="50">
        <f>VLOOKUP($A139,'Data shares'!$C:$FM,106)</f>
        <v>27.33</v>
      </c>
      <c r="F139" s="50">
        <f>VLOOKUP($A139,'Data shares'!$C:$FM,108)</f>
        <v>-2.77</v>
      </c>
      <c r="G139" s="50">
        <f t="shared" si="4"/>
        <v>0.89864617636297106</v>
      </c>
    </row>
    <row r="140" spans="1:7" x14ac:dyDescent="0.25">
      <c r="A140" s="49" t="str">
        <f>'Data shares'!C135</f>
        <v>MARUTI</v>
      </c>
      <c r="B140" s="50">
        <f>VLOOKUP($A140,'Data shares'!$C:$FM,102)</f>
        <v>21.01</v>
      </c>
      <c r="C140" s="50">
        <f>VLOOKUP($A140,'Data shares'!$C:$FM,110)</f>
        <v>19.489999999999998</v>
      </c>
      <c r="D140" s="50">
        <f>VLOOKUP($A140,'Data shares'!$C:$FM,114)</f>
        <v>22.63</v>
      </c>
      <c r="E140" s="50">
        <f>VLOOKUP($A140,'Data shares'!$C:$FM,106)</f>
        <v>26.79</v>
      </c>
      <c r="F140" s="50">
        <f>VLOOKUP($A140,'Data shares'!$C:$FM,108)</f>
        <v>-5.78</v>
      </c>
      <c r="G140" s="50">
        <f t="shared" si="4"/>
        <v>0.7842478536767451</v>
      </c>
    </row>
    <row r="141" spans="1:7" x14ac:dyDescent="0.25">
      <c r="A141" s="49" t="str">
        <f>'Data shares'!C136</f>
        <v>MAXHEALTH</v>
      </c>
      <c r="B141" s="50">
        <f>VLOOKUP($A141,'Data shares'!$C:$FM,102)</f>
        <v>28.81</v>
      </c>
      <c r="C141" s="50">
        <f>VLOOKUP($A141,'Data shares'!$C:$FM,110)</f>
        <v>29.39</v>
      </c>
      <c r="D141" s="50">
        <f>VLOOKUP($A141,'Data shares'!$C:$FM,114)</f>
        <v>27.37</v>
      </c>
      <c r="E141" s="50">
        <f>VLOOKUP($A141,'Data shares'!$C:$FM,106)</f>
        <v>42.54</v>
      </c>
      <c r="F141" s="50">
        <f>VLOOKUP($A141,'Data shares'!$C:$FM,108)</f>
        <v>-13.73</v>
      </c>
      <c r="G141" s="50">
        <f t="shared" si="4"/>
        <v>0.67724494593323925</v>
      </c>
    </row>
    <row r="142" spans="1:7" x14ac:dyDescent="0.25">
      <c r="A142" s="49" t="str">
        <f>'Data shares'!C137</f>
        <v>MAZDOCK</v>
      </c>
      <c r="B142" s="50">
        <f>VLOOKUP($A142,'Data shares'!$C:$FM,102)</f>
        <v>40.74</v>
      </c>
      <c r="C142" s="50">
        <f>VLOOKUP($A142,'Data shares'!$C:$FM,110)</f>
        <v>40.29</v>
      </c>
      <c r="D142" s="50">
        <f>VLOOKUP($A142,'Data shares'!$C:$FM,114)</f>
        <v>42.18</v>
      </c>
      <c r="E142" s="50">
        <f>VLOOKUP($A142,'Data shares'!$C:$FM,106)</f>
        <v>64.03</v>
      </c>
      <c r="F142" s="50">
        <f>VLOOKUP($A142,'Data shares'!$C:$FM,108)</f>
        <v>-23.29</v>
      </c>
      <c r="G142" s="50">
        <f t="shared" si="4"/>
        <v>0.6362642511322818</v>
      </c>
    </row>
    <row r="143" spans="1:7" x14ac:dyDescent="0.25">
      <c r="A143" s="49" t="str">
        <f>'Data shares'!C138</f>
        <v>MCX</v>
      </c>
      <c r="B143" s="50">
        <f>VLOOKUP($A143,'Data shares'!$C:$FM,102)</f>
        <v>33.450000000000003</v>
      </c>
      <c r="C143" s="50">
        <f>VLOOKUP($A143,'Data shares'!$C:$FM,110)</f>
        <v>32.75</v>
      </c>
      <c r="D143" s="50">
        <f>VLOOKUP($A143,'Data shares'!$C:$FM,114)</f>
        <v>34.369999999999997</v>
      </c>
      <c r="E143" s="50">
        <f>VLOOKUP($A143,'Data shares'!$C:$FM,106)</f>
        <v>48.34</v>
      </c>
      <c r="F143" s="50">
        <f>VLOOKUP($A143,'Data shares'!$C:$FM,108)</f>
        <v>-14.89</v>
      </c>
      <c r="G143" s="50">
        <f t="shared" si="4"/>
        <v>0.69197352089366981</v>
      </c>
    </row>
    <row r="144" spans="1:7" x14ac:dyDescent="0.25">
      <c r="A144" s="49" t="str">
        <f>'Data shares'!C139</f>
        <v>MFSL</v>
      </c>
      <c r="B144" s="50">
        <f>VLOOKUP($A144,'Data shares'!$C:$FM,102)</f>
        <v>24.44</v>
      </c>
      <c r="C144" s="50">
        <f>VLOOKUP($A144,'Data shares'!$C:$FM,110)</f>
        <v>23.57</v>
      </c>
      <c r="D144" s="50">
        <f>VLOOKUP($A144,'Data shares'!$C:$FM,114)</f>
        <v>26</v>
      </c>
      <c r="E144" s="50">
        <f>VLOOKUP($A144,'Data shares'!$C:$FM,106)</f>
        <v>31.6</v>
      </c>
      <c r="F144" s="50">
        <f>VLOOKUP($A144,'Data shares'!$C:$FM,108)</f>
        <v>-7.16</v>
      </c>
      <c r="G144" s="50">
        <f t="shared" si="4"/>
        <v>0.77341772151898736</v>
      </c>
    </row>
    <row r="145" spans="1:7" x14ac:dyDescent="0.25">
      <c r="A145" s="49" t="str">
        <f>'Data shares'!C140</f>
        <v>MIDCPNIFTY</v>
      </c>
      <c r="B145" s="50">
        <f>VLOOKUP($A145,'Data shares'!$C:$FM,102)</f>
        <v>16.91</v>
      </c>
      <c r="C145" s="50">
        <f>VLOOKUP($A145,'Data shares'!$C:$FM,110)</f>
        <v>15.14</v>
      </c>
      <c r="D145" s="50">
        <f>VLOOKUP($A145,'Data shares'!$C:$FM,114)</f>
        <v>18.47</v>
      </c>
      <c r="E145" s="50">
        <f>VLOOKUP($A145,'Data shares'!$C:$FM,106)</f>
        <v>23.93</v>
      </c>
      <c r="F145" s="50">
        <f>VLOOKUP($A145,'Data shares'!$C:$FM,108)</f>
        <v>-7.02</v>
      </c>
      <c r="G145" s="50">
        <f t="shared" si="4"/>
        <v>0.70664437944003344</v>
      </c>
    </row>
    <row r="146" spans="1:7" x14ac:dyDescent="0.25">
      <c r="A146" s="49" t="str">
        <f>'Data shares'!C141</f>
        <v>MOTHERSON</v>
      </c>
      <c r="B146" s="50">
        <f>VLOOKUP($A146,'Data shares'!$C:$FM,102)</f>
        <v>32.43</v>
      </c>
      <c r="C146" s="50">
        <f>VLOOKUP($A146,'Data shares'!$C:$FM,110)</f>
        <v>33.03</v>
      </c>
      <c r="D146" s="50">
        <f>VLOOKUP($A146,'Data shares'!$C:$FM,114)</f>
        <v>31.28</v>
      </c>
      <c r="E146" s="50">
        <f>VLOOKUP($A146,'Data shares'!$C:$FM,106)</f>
        <v>42.22</v>
      </c>
      <c r="F146" s="50">
        <f>VLOOKUP($A146,'Data shares'!$C:$FM,108)</f>
        <v>-9.7899999999999991</v>
      </c>
      <c r="G146" s="50">
        <f t="shared" si="4"/>
        <v>0.76811937470393177</v>
      </c>
    </row>
    <row r="147" spans="1:7" x14ac:dyDescent="0.25">
      <c r="A147" s="49" t="str">
        <f>'Data shares'!C142</f>
        <v>MPHASIS</v>
      </c>
      <c r="B147" s="50">
        <f>VLOOKUP($A147,'Data shares'!$C:$FM,102)</f>
        <v>29.87</v>
      </c>
      <c r="C147" s="50">
        <f>VLOOKUP($A147,'Data shares'!$C:$FM,110)</f>
        <v>29.11</v>
      </c>
      <c r="D147" s="50">
        <f>VLOOKUP($A147,'Data shares'!$C:$FM,114)</f>
        <v>32.06</v>
      </c>
      <c r="E147" s="50">
        <f>VLOOKUP($A147,'Data shares'!$C:$FM,106)</f>
        <v>38.18</v>
      </c>
      <c r="F147" s="50">
        <f>VLOOKUP($A147,'Data shares'!$C:$FM,108)</f>
        <v>-8.31</v>
      </c>
      <c r="G147" s="50">
        <f t="shared" si="4"/>
        <v>0.78234677841801992</v>
      </c>
    </row>
    <row r="148" spans="1:7" x14ac:dyDescent="0.25">
      <c r="A148" s="49" t="str">
        <f>'Data shares'!C143</f>
        <v>MUTHOOTFIN</v>
      </c>
      <c r="B148" s="50">
        <f>VLOOKUP($A148,'Data shares'!$C:$FM,102)</f>
        <v>27.82</v>
      </c>
      <c r="C148" s="50">
        <f>VLOOKUP($A148,'Data shares'!$C:$FM,110)</f>
        <v>28.94</v>
      </c>
      <c r="D148" s="50">
        <f>VLOOKUP($A148,'Data shares'!$C:$FM,114)</f>
        <v>26.7</v>
      </c>
      <c r="E148" s="50">
        <f>VLOOKUP($A148,'Data shares'!$C:$FM,106)</f>
        <v>37.64</v>
      </c>
      <c r="F148" s="50">
        <f>VLOOKUP($A148,'Data shares'!$C:$FM,108)</f>
        <v>-9.82</v>
      </c>
      <c r="G148" s="50">
        <f t="shared" si="4"/>
        <v>0.73910733262486716</v>
      </c>
    </row>
    <row r="149" spans="1:7" x14ac:dyDescent="0.25">
      <c r="A149" s="49" t="str">
        <f>'Data shares'!C144</f>
        <v>NATIONALUM</v>
      </c>
      <c r="B149" s="50">
        <f>VLOOKUP($A149,'Data shares'!$C:$FM,102)</f>
        <v>29.53</v>
      </c>
      <c r="C149" s="50">
        <f>VLOOKUP($A149,'Data shares'!$C:$FM,110)</f>
        <v>28.99</v>
      </c>
      <c r="D149" s="50">
        <f>VLOOKUP($A149,'Data shares'!$C:$FM,114)</f>
        <v>30.58</v>
      </c>
      <c r="E149" s="50">
        <f>VLOOKUP($A149,'Data shares'!$C:$FM,106)</f>
        <v>49.69</v>
      </c>
      <c r="F149" s="50">
        <f>VLOOKUP($A149,'Data shares'!$C:$FM,108)</f>
        <v>-20.16</v>
      </c>
      <c r="G149" s="50">
        <f t="shared" si="4"/>
        <v>0.59428456429865173</v>
      </c>
    </row>
    <row r="150" spans="1:7" x14ac:dyDescent="0.25">
      <c r="A150" s="49" t="str">
        <f>'Data shares'!C145</f>
        <v>NAUKRI</v>
      </c>
      <c r="B150" s="50">
        <f>VLOOKUP($A150,'Data shares'!$C:$FM,102)</f>
        <v>29.1</v>
      </c>
      <c r="C150" s="50">
        <f>VLOOKUP($A150,'Data shares'!$C:$FM,110)</f>
        <v>28.56</v>
      </c>
      <c r="D150" s="50">
        <f>VLOOKUP($A150,'Data shares'!$C:$FM,114)</f>
        <v>29.81</v>
      </c>
      <c r="E150" s="50">
        <f>VLOOKUP($A150,'Data shares'!$C:$FM,106)</f>
        <v>39.82</v>
      </c>
      <c r="F150" s="50">
        <f>VLOOKUP($A150,'Data shares'!$C:$FM,108)</f>
        <v>-10.72</v>
      </c>
      <c r="G150" s="50">
        <f t="shared" si="4"/>
        <v>0.73078854846810648</v>
      </c>
    </row>
    <row r="151" spans="1:7" x14ac:dyDescent="0.25">
      <c r="A151" s="49" t="str">
        <f>'Data shares'!C146</f>
        <v>NBCC</v>
      </c>
      <c r="B151" s="50">
        <f>VLOOKUP($A151,'Data shares'!$C:$FM,102)</f>
        <v>38.08</v>
      </c>
      <c r="C151" s="50">
        <f>VLOOKUP($A151,'Data shares'!$C:$FM,110)</f>
        <v>39.08</v>
      </c>
      <c r="D151" s="50">
        <f>VLOOKUP($A151,'Data shares'!$C:$FM,114)</f>
        <v>35.65</v>
      </c>
      <c r="E151" s="50">
        <f>VLOOKUP($A151,'Data shares'!$C:$FM,106)</f>
        <v>55.69</v>
      </c>
      <c r="F151" s="50">
        <f>VLOOKUP($A151,'Data shares'!$C:$FM,108)</f>
        <v>-17.61</v>
      </c>
      <c r="G151" s="50">
        <f t="shared" si="4"/>
        <v>0.68378523971987792</v>
      </c>
    </row>
    <row r="152" spans="1:7" x14ac:dyDescent="0.25">
      <c r="A152" s="49" t="str">
        <f>'Data shares'!C147</f>
        <v>NCC</v>
      </c>
      <c r="B152" s="50">
        <f>VLOOKUP($A152,'Data shares'!$C:$FM,102)</f>
        <v>30.61</v>
      </c>
      <c r="C152" s="50">
        <f>VLOOKUP($A152,'Data shares'!$C:$FM,110)</f>
        <v>30.31</v>
      </c>
      <c r="D152" s="50">
        <f>VLOOKUP($A152,'Data shares'!$C:$FM,114)</f>
        <v>31.36</v>
      </c>
      <c r="E152" s="50">
        <f>VLOOKUP($A152,'Data shares'!$C:$FM,106)</f>
        <v>50.22</v>
      </c>
      <c r="F152" s="50">
        <f>VLOOKUP($A152,'Data shares'!$C:$FM,108)</f>
        <v>-19.61</v>
      </c>
      <c r="G152" s="50">
        <f t="shared" si="4"/>
        <v>0.60951812027080843</v>
      </c>
    </row>
    <row r="153" spans="1:7" x14ac:dyDescent="0.25">
      <c r="A153" s="49" t="str">
        <f>'Data shares'!C148</f>
        <v>NESTLEIND</v>
      </c>
      <c r="B153" s="50">
        <f>VLOOKUP($A153,'Data shares'!$C:$FM,102)</f>
        <v>22.2</v>
      </c>
      <c r="C153" s="50">
        <f>VLOOKUP($A153,'Data shares'!$C:$FM,110)</f>
        <v>21.78</v>
      </c>
      <c r="D153" s="50">
        <f>VLOOKUP($A153,'Data shares'!$C:$FM,114)</f>
        <v>23.42</v>
      </c>
      <c r="E153" s="50">
        <f>VLOOKUP($A153,'Data shares'!$C:$FM,106)</f>
        <v>24.26</v>
      </c>
      <c r="F153" s="50">
        <f>VLOOKUP($A153,'Data shares'!$C:$FM,108)</f>
        <v>-2.06</v>
      </c>
      <c r="G153" s="50">
        <f t="shared" si="4"/>
        <v>0.91508656224237417</v>
      </c>
    </row>
    <row r="154" spans="1:7" x14ac:dyDescent="0.25">
      <c r="A154" s="49" t="str">
        <f>'Data shares'!C149</f>
        <v>NHPC</v>
      </c>
      <c r="B154" s="50">
        <f>VLOOKUP($A154,'Data shares'!$C:$FM,102)</f>
        <v>27.77</v>
      </c>
      <c r="C154" s="50">
        <f>VLOOKUP($A154,'Data shares'!$C:$FM,110)</f>
        <v>27.71</v>
      </c>
      <c r="D154" s="50">
        <f>VLOOKUP($A154,'Data shares'!$C:$FM,114)</f>
        <v>27.88</v>
      </c>
      <c r="E154" s="50">
        <f>VLOOKUP($A154,'Data shares'!$C:$FM,106)</f>
        <v>41.73</v>
      </c>
      <c r="F154" s="50">
        <f>VLOOKUP($A154,'Data shares'!$C:$FM,108)</f>
        <v>-13.96</v>
      </c>
      <c r="G154" s="50">
        <f t="shared" si="4"/>
        <v>0.66546848789839452</v>
      </c>
    </row>
    <row r="155" spans="1:7" x14ac:dyDescent="0.25">
      <c r="A155" s="49" t="str">
        <f>'Data shares'!C150</f>
        <v>NIFTY</v>
      </c>
      <c r="B155" s="50">
        <f>VLOOKUP($A155,'Data shares'!$C:$FM,102)</f>
        <v>11.26</v>
      </c>
      <c r="C155" s="50">
        <f>VLOOKUP($A155,'Data shares'!$C:$FM,110)</f>
        <v>10.18</v>
      </c>
      <c r="D155" s="50">
        <f>VLOOKUP($A155,'Data shares'!$C:$FM,114)</f>
        <v>12.42</v>
      </c>
      <c r="E155" s="50">
        <f>VLOOKUP($A155,'Data shares'!$C:$FM,106)</f>
        <v>15.97</v>
      </c>
      <c r="F155" s="50">
        <f>VLOOKUP($A155,'Data shares'!$C:$FM,108)</f>
        <v>-4.71</v>
      </c>
      <c r="G155" s="50">
        <f t="shared" si="4"/>
        <v>0.70507201001878517</v>
      </c>
    </row>
    <row r="156" spans="1:7" x14ac:dyDescent="0.25">
      <c r="A156" s="49" t="str">
        <f>'Data shares'!C151</f>
        <v>NIFTYNXT50</v>
      </c>
      <c r="B156" s="50">
        <f>VLOOKUP($A156,'Data shares'!$C:$FM,102)</f>
        <v>14.34</v>
      </c>
      <c r="C156" s="50">
        <f>VLOOKUP($A156,'Data shares'!$C:$FM,110)</f>
        <v>14.4</v>
      </c>
      <c r="D156" s="50">
        <f>VLOOKUP($A156,'Data shares'!$C:$FM,114)</f>
        <v>14.19</v>
      </c>
      <c r="E156" s="50">
        <f>VLOOKUP($A156,'Data shares'!$C:$FM,106)</f>
        <v>22.64</v>
      </c>
      <c r="F156" s="50">
        <f>VLOOKUP($A156,'Data shares'!$C:$FM,108)</f>
        <v>-8.3000000000000007</v>
      </c>
      <c r="G156" s="50">
        <f t="shared" si="4"/>
        <v>0.63339222614840984</v>
      </c>
    </row>
    <row r="157" spans="1:7" x14ac:dyDescent="0.25">
      <c r="A157" s="49" t="str">
        <f>'Data shares'!C152</f>
        <v>NMDC</v>
      </c>
      <c r="B157" s="50">
        <f>VLOOKUP($A157,'Data shares'!$C:$FM,102)</f>
        <v>25.25</v>
      </c>
      <c r="C157" s="50">
        <f>VLOOKUP($A157,'Data shares'!$C:$FM,110)</f>
        <v>25.04</v>
      </c>
      <c r="D157" s="50">
        <f>VLOOKUP($A157,'Data shares'!$C:$FM,114)</f>
        <v>25.78</v>
      </c>
      <c r="E157" s="50">
        <f>VLOOKUP($A157,'Data shares'!$C:$FM,106)</f>
        <v>41.75</v>
      </c>
      <c r="F157" s="50">
        <f>VLOOKUP($A157,'Data shares'!$C:$FM,108)</f>
        <v>-16.5</v>
      </c>
      <c r="G157" s="50">
        <f t="shared" si="4"/>
        <v>0.60479041916167664</v>
      </c>
    </row>
    <row r="158" spans="1:7" x14ac:dyDescent="0.25">
      <c r="A158" s="49" t="str">
        <f>'Data shares'!C153</f>
        <v>NTPC</v>
      </c>
      <c r="B158" s="50">
        <f>VLOOKUP($A158,'Data shares'!$C:$FM,102)</f>
        <v>15.9</v>
      </c>
      <c r="C158" s="50">
        <f>VLOOKUP($A158,'Data shares'!$C:$FM,110)</f>
        <v>15.76</v>
      </c>
      <c r="D158" s="50">
        <f>VLOOKUP($A158,'Data shares'!$C:$FM,114)</f>
        <v>16.350000000000001</v>
      </c>
      <c r="E158" s="50">
        <f>VLOOKUP($A158,'Data shares'!$C:$FM,106)</f>
        <v>30.64</v>
      </c>
      <c r="F158" s="50">
        <f>VLOOKUP($A158,'Data shares'!$C:$FM,108)</f>
        <v>-14.74</v>
      </c>
      <c r="G158" s="50">
        <f t="shared" si="4"/>
        <v>0.5189295039164491</v>
      </c>
    </row>
    <row r="159" spans="1:7" x14ac:dyDescent="0.25">
      <c r="A159" s="49" t="str">
        <f>'Data shares'!C154</f>
        <v>NUVAMA</v>
      </c>
      <c r="B159" s="50">
        <f>VLOOKUP($A159,'Data shares'!$C:$FM,102)</f>
        <v>38.71</v>
      </c>
      <c r="C159" s="50">
        <f>VLOOKUP($A159,'Data shares'!$C:$FM,110)</f>
        <v>37.869999999999997</v>
      </c>
      <c r="D159" s="50">
        <f>VLOOKUP($A159,'Data shares'!$C:$FM,114)</f>
        <v>40.39</v>
      </c>
      <c r="E159" s="50">
        <f>VLOOKUP($A159,'Data shares'!$C:$FM,106)</f>
        <v>55.36</v>
      </c>
      <c r="F159" s="50">
        <f>VLOOKUP($A159,'Data shares'!$C:$FM,108)</f>
        <v>-16.649999999999999</v>
      </c>
      <c r="G159" s="50">
        <f t="shared" si="4"/>
        <v>0.6992413294797688</v>
      </c>
    </row>
    <row r="160" spans="1:7" x14ac:dyDescent="0.25">
      <c r="A160" s="49" t="str">
        <f>'Data shares'!C155</f>
        <v>NYKAA</v>
      </c>
      <c r="B160" s="50">
        <f>VLOOKUP($A160,'Data shares'!$C:$FM,102)</f>
        <v>31.16</v>
      </c>
      <c r="C160" s="50">
        <f>VLOOKUP($A160,'Data shares'!$C:$FM,110)</f>
        <v>31.13</v>
      </c>
      <c r="D160" s="50">
        <f>VLOOKUP($A160,'Data shares'!$C:$FM,114)</f>
        <v>31.24</v>
      </c>
      <c r="E160" s="50">
        <f>VLOOKUP($A160,'Data shares'!$C:$FM,106)</f>
        <v>37.96</v>
      </c>
      <c r="F160" s="50">
        <f>VLOOKUP($A160,'Data shares'!$C:$FM,108)</f>
        <v>-6.8</v>
      </c>
      <c r="G160" s="50">
        <f t="shared" si="4"/>
        <v>0.82086406743940987</v>
      </c>
    </row>
    <row r="161" spans="1:7" x14ac:dyDescent="0.25">
      <c r="A161" s="49" t="str">
        <f>'Data shares'!C156</f>
        <v>OBEROIRLTY</v>
      </c>
      <c r="B161" s="50">
        <f>VLOOKUP($A161,'Data shares'!$C:$FM,102)</f>
        <v>27.24</v>
      </c>
      <c r="C161" s="50">
        <f>VLOOKUP($A161,'Data shares'!$C:$FM,110)</f>
        <v>27.48</v>
      </c>
      <c r="D161" s="50">
        <f>VLOOKUP($A161,'Data shares'!$C:$FM,114)</f>
        <v>26.3</v>
      </c>
      <c r="E161" s="50">
        <f>VLOOKUP($A161,'Data shares'!$C:$FM,106)</f>
        <v>40.56</v>
      </c>
      <c r="F161" s="50">
        <f>VLOOKUP($A161,'Data shares'!$C:$FM,108)</f>
        <v>-13.32</v>
      </c>
      <c r="G161" s="50">
        <f t="shared" si="4"/>
        <v>0.67159763313609455</v>
      </c>
    </row>
    <row r="162" spans="1:7" x14ac:dyDescent="0.25">
      <c r="A162" s="49" t="str">
        <f>'Data shares'!C157</f>
        <v>OFSS</v>
      </c>
      <c r="B162" s="50">
        <f>VLOOKUP($A162,'Data shares'!$C:$FM,102)</f>
        <v>28.45</v>
      </c>
      <c r="C162" s="50">
        <f>VLOOKUP($A162,'Data shares'!$C:$FM,110)</f>
        <v>28.59</v>
      </c>
      <c r="D162" s="50">
        <f>VLOOKUP($A162,'Data shares'!$C:$FM,114)</f>
        <v>28.07</v>
      </c>
      <c r="E162" s="50">
        <f>VLOOKUP($A162,'Data shares'!$C:$FM,106)</f>
        <v>41.51</v>
      </c>
      <c r="F162" s="50">
        <f>VLOOKUP($A162,'Data shares'!$C:$FM,108)</f>
        <v>-13.06</v>
      </c>
      <c r="G162" s="50">
        <f t="shared" si="4"/>
        <v>0.68537701758612379</v>
      </c>
    </row>
    <row r="163" spans="1:7" x14ac:dyDescent="0.25">
      <c r="A163" s="49" t="str">
        <f>'Data shares'!C158</f>
        <v>OIL</v>
      </c>
      <c r="B163" s="50">
        <f>VLOOKUP($A163,'Data shares'!$C:$FM,102)</f>
        <v>29.06</v>
      </c>
      <c r="C163" s="50">
        <f>VLOOKUP($A163,'Data shares'!$C:$FM,110)</f>
        <v>29.14</v>
      </c>
      <c r="D163" s="50">
        <f>VLOOKUP($A163,'Data shares'!$C:$FM,114)</f>
        <v>28.88</v>
      </c>
      <c r="E163" s="50">
        <f>VLOOKUP($A163,'Data shares'!$C:$FM,106)</f>
        <v>48.03</v>
      </c>
      <c r="F163" s="50">
        <f>VLOOKUP($A163,'Data shares'!$C:$FM,108)</f>
        <v>-18.97</v>
      </c>
      <c r="G163" s="50">
        <f t="shared" si="4"/>
        <v>0.60503851759317084</v>
      </c>
    </row>
    <row r="164" spans="1:7" x14ac:dyDescent="0.25">
      <c r="A164" s="49" t="str">
        <f>'Data shares'!C159</f>
        <v>ONGC</v>
      </c>
      <c r="B164" s="50">
        <f>VLOOKUP($A164,'Data shares'!$C:$FM,102)</f>
        <v>17.23</v>
      </c>
      <c r="C164" s="50">
        <f>VLOOKUP($A164,'Data shares'!$C:$FM,110)</f>
        <v>17.66</v>
      </c>
      <c r="D164" s="50">
        <f>VLOOKUP($A164,'Data shares'!$C:$FM,114)</f>
        <v>16.07</v>
      </c>
      <c r="E164" s="50">
        <f>VLOOKUP($A164,'Data shares'!$C:$FM,106)</f>
        <v>34.86</v>
      </c>
      <c r="F164" s="50">
        <f>VLOOKUP($A164,'Data shares'!$C:$FM,108)</f>
        <v>-17.63</v>
      </c>
      <c r="G164" s="50">
        <f t="shared" si="4"/>
        <v>0.49426276534710273</v>
      </c>
    </row>
    <row r="165" spans="1:7" x14ac:dyDescent="0.25">
      <c r="A165" s="49" t="str">
        <f>'Data shares'!C160</f>
        <v>PAGEIND</v>
      </c>
      <c r="B165" s="50">
        <f>VLOOKUP($A165,'Data shares'!$C:$FM,102)</f>
        <v>27.33</v>
      </c>
      <c r="C165" s="50">
        <f>VLOOKUP($A165,'Data shares'!$C:$FM,110)</f>
        <v>27.96</v>
      </c>
      <c r="D165" s="50">
        <f>VLOOKUP($A165,'Data shares'!$C:$FM,114)</f>
        <v>26.1</v>
      </c>
      <c r="E165" s="50">
        <f>VLOOKUP($A165,'Data shares'!$C:$FM,106)</f>
        <v>29.8</v>
      </c>
      <c r="F165" s="50">
        <f>VLOOKUP($A165,'Data shares'!$C:$FM,108)</f>
        <v>-2.4700000000000002</v>
      </c>
      <c r="G165" s="50">
        <f t="shared" si="4"/>
        <v>0.91711409395973142</v>
      </c>
    </row>
    <row r="166" spans="1:7" x14ac:dyDescent="0.25">
      <c r="A166" s="49" t="str">
        <f>'Data shares'!C161</f>
        <v>PATANJALI</v>
      </c>
      <c r="B166" s="50">
        <f>VLOOKUP($A166,'Data shares'!$C:$FM,102)</f>
        <v>31.12</v>
      </c>
      <c r="C166" s="50">
        <f>VLOOKUP($A166,'Data shares'!$C:$FM,110)</f>
        <v>31.56</v>
      </c>
      <c r="D166" s="50">
        <f>VLOOKUP($A166,'Data shares'!$C:$FM,114)</f>
        <v>29.55</v>
      </c>
      <c r="E166" s="50">
        <f>VLOOKUP($A166,'Data shares'!$C:$FM,106)</f>
        <v>36.57</v>
      </c>
      <c r="F166" s="50">
        <f>VLOOKUP($A166,'Data shares'!$C:$FM,108)</f>
        <v>-5.45</v>
      </c>
      <c r="G166" s="50">
        <f t="shared" si="4"/>
        <v>0.85097074104457204</v>
      </c>
    </row>
    <row r="167" spans="1:7" x14ac:dyDescent="0.25">
      <c r="A167" s="49" t="str">
        <f>'Data shares'!C162</f>
        <v>PAYTM</v>
      </c>
      <c r="B167" s="50">
        <f>VLOOKUP($A167,'Data shares'!$C:$FM,102)</f>
        <v>43.31</v>
      </c>
      <c r="C167" s="50">
        <f>VLOOKUP($A167,'Data shares'!$C:$FM,110)</f>
        <v>42.43</v>
      </c>
      <c r="D167" s="50">
        <f>VLOOKUP($A167,'Data shares'!$C:$FM,114)</f>
        <v>45.2</v>
      </c>
      <c r="E167" s="50">
        <f>VLOOKUP($A167,'Data shares'!$C:$FM,106)</f>
        <v>59.54</v>
      </c>
      <c r="F167" s="50">
        <f>VLOOKUP($A167,'Data shares'!$C:$FM,108)</f>
        <v>-16.23</v>
      </c>
      <c r="G167" s="50">
        <f t="shared" ref="G167:G189" si="5">B167/E167</f>
        <v>0.72741014444071217</v>
      </c>
    </row>
    <row r="168" spans="1:7" x14ac:dyDescent="0.25">
      <c r="A168" s="49" t="str">
        <f>'Data shares'!C163</f>
        <v>PERSISTENT</v>
      </c>
      <c r="B168" s="50">
        <f>VLOOKUP($A168,'Data shares'!$C:$FM,102)</f>
        <v>31.79</v>
      </c>
      <c r="C168" s="50">
        <f>VLOOKUP($A168,'Data shares'!$C:$FM,110)</f>
        <v>31.37</v>
      </c>
      <c r="D168" s="50">
        <f>VLOOKUP($A168,'Data shares'!$C:$FM,114)</f>
        <v>32.9</v>
      </c>
      <c r="E168" s="50">
        <f>VLOOKUP($A168,'Data shares'!$C:$FM,106)</f>
        <v>42.56</v>
      </c>
      <c r="F168" s="50">
        <f>VLOOKUP($A168,'Data shares'!$C:$FM,108)</f>
        <v>-10.77</v>
      </c>
      <c r="G168" s="50">
        <f t="shared" si="5"/>
        <v>0.74694548872180444</v>
      </c>
    </row>
    <row r="169" spans="1:7" x14ac:dyDescent="0.25">
      <c r="A169" s="49" t="str">
        <f>'Data shares'!C164</f>
        <v>PETRONET</v>
      </c>
      <c r="B169" s="50">
        <f>VLOOKUP($A169,'Data shares'!$C:$FM,102)</f>
        <v>29.3</v>
      </c>
      <c r="C169" s="50">
        <f>VLOOKUP($A169,'Data shares'!$C:$FM,110)</f>
        <v>28.22</v>
      </c>
      <c r="D169" s="50">
        <f>VLOOKUP($A169,'Data shares'!$C:$FM,114)</f>
        <v>30.15</v>
      </c>
      <c r="E169" s="50">
        <f>VLOOKUP($A169,'Data shares'!$C:$FM,106)</f>
        <v>34.4</v>
      </c>
      <c r="F169" s="50">
        <f>VLOOKUP($A169,'Data shares'!$C:$FM,108)</f>
        <v>-5.0999999999999996</v>
      </c>
      <c r="G169" s="50">
        <f t="shared" si="5"/>
        <v>0.8517441860465117</v>
      </c>
    </row>
    <row r="170" spans="1:7" x14ac:dyDescent="0.25">
      <c r="A170" s="49" t="str">
        <f>'Data shares'!C165</f>
        <v>PFC</v>
      </c>
      <c r="B170" s="50">
        <f>VLOOKUP($A170,'Data shares'!$C:$FM,102)</f>
        <v>29.6</v>
      </c>
      <c r="C170" s="50">
        <f>VLOOKUP($A170,'Data shares'!$C:$FM,110)</f>
        <v>30.2</v>
      </c>
      <c r="D170" s="50">
        <f>VLOOKUP($A170,'Data shares'!$C:$FM,114)</f>
        <v>28.51</v>
      </c>
      <c r="E170" s="50">
        <f>VLOOKUP($A170,'Data shares'!$C:$FM,106)</f>
        <v>47.9</v>
      </c>
      <c r="F170" s="50">
        <f>VLOOKUP($A170,'Data shares'!$C:$FM,108)</f>
        <v>-18.3</v>
      </c>
      <c r="G170" s="50">
        <f t="shared" si="5"/>
        <v>0.61795407098121091</v>
      </c>
    </row>
    <row r="171" spans="1:7" x14ac:dyDescent="0.25">
      <c r="A171" s="49" t="str">
        <f>'Data shares'!C166</f>
        <v>PGEL</v>
      </c>
      <c r="B171" s="50">
        <f>VLOOKUP($A171,'Data shares'!$C:$FM,102)</f>
        <v>62.29</v>
      </c>
      <c r="C171" s="50">
        <f>VLOOKUP($A171,'Data shares'!$C:$FM,110)</f>
        <v>62.91</v>
      </c>
      <c r="D171" s="50">
        <f>VLOOKUP($A171,'Data shares'!$C:$FM,114)</f>
        <v>60.76</v>
      </c>
      <c r="E171" s="50">
        <f>VLOOKUP($A171,'Data shares'!$C:$FM,106)</f>
        <v>73.930000000000007</v>
      </c>
      <c r="F171" s="50">
        <f>VLOOKUP($A171,'Data shares'!$C:$FM,108)</f>
        <v>-11.64</v>
      </c>
      <c r="G171" s="50">
        <f t="shared" si="5"/>
        <v>0.84255376707696461</v>
      </c>
    </row>
    <row r="172" spans="1:7" x14ac:dyDescent="0.25">
      <c r="A172" s="49" t="str">
        <f>'Data shares'!C167</f>
        <v>PHOENIXLTD</v>
      </c>
      <c r="B172" s="50">
        <f>VLOOKUP($A172,'Data shares'!$C:$FM,102)</f>
        <v>29.61</v>
      </c>
      <c r="C172" s="50">
        <f>VLOOKUP($A172,'Data shares'!$C:$FM,110)</f>
        <v>28.74</v>
      </c>
      <c r="D172" s="50">
        <f>VLOOKUP($A172,'Data shares'!$C:$FM,114)</f>
        <v>32.4</v>
      </c>
      <c r="E172" s="50">
        <f>VLOOKUP($A172,'Data shares'!$C:$FM,106)</f>
        <v>47.31</v>
      </c>
      <c r="F172" s="50">
        <f>VLOOKUP($A172,'Data shares'!$C:$FM,108)</f>
        <v>-17.7</v>
      </c>
      <c r="G172" s="50">
        <f t="shared" si="5"/>
        <v>0.62587190868738107</v>
      </c>
    </row>
    <row r="173" spans="1:7" x14ac:dyDescent="0.25">
      <c r="A173" s="49" t="str">
        <f>'Data shares'!C168</f>
        <v>PIDILITIND</v>
      </c>
      <c r="B173" s="50">
        <f>VLOOKUP($A173,'Data shares'!$C:$FM,102)</f>
        <v>18.88</v>
      </c>
      <c r="C173" s="50">
        <f>VLOOKUP($A173,'Data shares'!$C:$FM,110)</f>
        <v>18.54</v>
      </c>
      <c r="D173" s="50">
        <f>VLOOKUP($A173,'Data shares'!$C:$FM,114)</f>
        <v>20.02</v>
      </c>
      <c r="E173" s="50">
        <f>VLOOKUP($A173,'Data shares'!$C:$FM,106)</f>
        <v>22.93</v>
      </c>
      <c r="F173" s="50">
        <f>VLOOKUP($A173,'Data shares'!$C:$FM,108)</f>
        <v>-4.05</v>
      </c>
      <c r="G173" s="50">
        <f t="shared" si="5"/>
        <v>0.82337549062363713</v>
      </c>
    </row>
    <row r="174" spans="1:7" x14ac:dyDescent="0.25">
      <c r="A174" s="49" t="str">
        <f>'Data shares'!C169</f>
        <v>PIIND</v>
      </c>
      <c r="B174" s="50">
        <f>VLOOKUP($A174,'Data shares'!$C:$FM,102)</f>
        <v>26.15</v>
      </c>
      <c r="C174" s="50">
        <f>VLOOKUP($A174,'Data shares'!$C:$FM,110)</f>
        <v>26.3</v>
      </c>
      <c r="D174" s="50">
        <f>VLOOKUP($A174,'Data shares'!$C:$FM,114)</f>
        <v>25.62</v>
      </c>
      <c r="E174" s="50">
        <f>VLOOKUP($A174,'Data shares'!$C:$FM,106)</f>
        <v>31.37</v>
      </c>
      <c r="F174" s="50">
        <f>VLOOKUP($A174,'Data shares'!$C:$FM,108)</f>
        <v>-5.22</v>
      </c>
      <c r="G174" s="50">
        <f t="shared" si="5"/>
        <v>0.83359897991711818</v>
      </c>
    </row>
    <row r="175" spans="1:7" x14ac:dyDescent="0.25">
      <c r="A175" s="49" t="str">
        <f>'Data shares'!C170</f>
        <v>PNB</v>
      </c>
      <c r="B175" s="50">
        <f>VLOOKUP($A175,'Data shares'!$C:$FM,102)</f>
        <v>24.89</v>
      </c>
      <c r="C175" s="50">
        <f>VLOOKUP($A175,'Data shares'!$C:$FM,110)</f>
        <v>25.4</v>
      </c>
      <c r="D175" s="50">
        <f>VLOOKUP($A175,'Data shares'!$C:$FM,114)</f>
        <v>24.03</v>
      </c>
      <c r="E175" s="50">
        <f>VLOOKUP($A175,'Data shares'!$C:$FM,106)</f>
        <v>38.9</v>
      </c>
      <c r="F175" s="50">
        <f>VLOOKUP($A175,'Data shares'!$C:$FM,108)</f>
        <v>-14.01</v>
      </c>
      <c r="G175" s="50">
        <f t="shared" si="5"/>
        <v>0.63984575835475577</v>
      </c>
    </row>
    <row r="176" spans="1:7" x14ac:dyDescent="0.25">
      <c r="A176" s="49" t="str">
        <f>'Data shares'!C171</f>
        <v>PNBHOUSING</v>
      </c>
      <c r="B176" s="50">
        <f>VLOOKUP($A176,'Data shares'!$C:$FM,102)</f>
        <v>36.950000000000003</v>
      </c>
      <c r="C176" s="50">
        <f>VLOOKUP($A176,'Data shares'!$C:$FM,110)</f>
        <v>37.96</v>
      </c>
      <c r="D176" s="50">
        <f>VLOOKUP($A176,'Data shares'!$C:$FM,114)</f>
        <v>34.29</v>
      </c>
      <c r="E176" s="50">
        <f>VLOOKUP($A176,'Data shares'!$C:$FM,106)</f>
        <v>52.08</v>
      </c>
      <c r="F176" s="50">
        <f>VLOOKUP($A176,'Data shares'!$C:$FM,108)</f>
        <v>-15.13</v>
      </c>
      <c r="G176" s="50">
        <f t="shared" si="5"/>
        <v>0.70948540706605234</v>
      </c>
    </row>
    <row r="177" spans="1:7" x14ac:dyDescent="0.25">
      <c r="A177" s="49" t="str">
        <f>'Data shares'!C172</f>
        <v>POLICYBZR</v>
      </c>
      <c r="B177" s="50">
        <f>VLOOKUP($A177,'Data shares'!$C:$FM,102)</f>
        <v>33.67</v>
      </c>
      <c r="C177" s="50">
        <f>VLOOKUP($A177,'Data shares'!$C:$FM,110)</f>
        <v>33.01</v>
      </c>
      <c r="D177" s="50">
        <f>VLOOKUP($A177,'Data shares'!$C:$FM,114)</f>
        <v>35.6</v>
      </c>
      <c r="E177" s="50">
        <f>VLOOKUP($A177,'Data shares'!$C:$FM,106)</f>
        <v>50.33</v>
      </c>
      <c r="F177" s="50">
        <f>VLOOKUP($A177,'Data shares'!$C:$FM,108)</f>
        <v>-16.66</v>
      </c>
      <c r="G177" s="50">
        <f t="shared" si="5"/>
        <v>0.66898470097357443</v>
      </c>
    </row>
    <row r="178" spans="1:7" x14ac:dyDescent="0.25">
      <c r="A178" s="49" t="str">
        <f>'Data shares'!C173</f>
        <v>POLYCAB</v>
      </c>
      <c r="B178" s="50">
        <f>VLOOKUP($A178,'Data shares'!$C:$FM,102)</f>
        <v>25.68</v>
      </c>
      <c r="C178" s="50">
        <f>VLOOKUP($A178,'Data shares'!$C:$FM,110)</f>
        <v>25.08</v>
      </c>
      <c r="D178" s="50">
        <f>VLOOKUP($A178,'Data shares'!$C:$FM,114)</f>
        <v>27.28</v>
      </c>
      <c r="E178" s="50">
        <f>VLOOKUP($A178,'Data shares'!$C:$FM,106)</f>
        <v>44.09</v>
      </c>
      <c r="F178" s="50">
        <f>VLOOKUP($A178,'Data shares'!$C:$FM,108)</f>
        <v>-18.41</v>
      </c>
      <c r="G178" s="50">
        <f t="shared" si="5"/>
        <v>0.58244499886595591</v>
      </c>
    </row>
    <row r="179" spans="1:7" x14ac:dyDescent="0.25">
      <c r="A179" s="49" t="str">
        <f>'Data shares'!C174</f>
        <v>POONAWALLA</v>
      </c>
      <c r="B179" s="50">
        <f>VLOOKUP($A179,'Data shares'!$C:$FM,102)</f>
        <v>31.34</v>
      </c>
      <c r="C179" s="50">
        <f>VLOOKUP($A179,'Data shares'!$C:$FM,110)</f>
        <v>30</v>
      </c>
      <c r="D179" s="50">
        <f>VLOOKUP($A179,'Data shares'!$C:$FM,114)</f>
        <v>33.229999999999997</v>
      </c>
      <c r="E179" s="50">
        <f>VLOOKUP($A179,'Data shares'!$C:$FM,106)</f>
        <v>44.22</v>
      </c>
      <c r="F179" s="50">
        <f>VLOOKUP($A179,'Data shares'!$C:$FM,108)</f>
        <v>-12.88</v>
      </c>
      <c r="G179" s="50">
        <f t="shared" si="5"/>
        <v>0.70872908186341022</v>
      </c>
    </row>
    <row r="180" spans="1:7" x14ac:dyDescent="0.25">
      <c r="A180" s="49" t="str">
        <f>'Data shares'!C175</f>
        <v>POWERGRID</v>
      </c>
      <c r="B180" s="50">
        <f>VLOOKUP($A180,'Data shares'!$C:$FM,102)</f>
        <v>18.079999999999998</v>
      </c>
      <c r="C180" s="50">
        <f>VLOOKUP($A180,'Data shares'!$C:$FM,110)</f>
        <v>18.3</v>
      </c>
      <c r="D180" s="50">
        <f>VLOOKUP($A180,'Data shares'!$C:$FM,114)</f>
        <v>17.510000000000002</v>
      </c>
      <c r="E180" s="50">
        <f>VLOOKUP($A180,'Data shares'!$C:$FM,106)</f>
        <v>30.58</v>
      </c>
      <c r="F180" s="50">
        <f>VLOOKUP($A180,'Data shares'!$C:$FM,108)</f>
        <v>-12.5</v>
      </c>
      <c r="G180" s="50">
        <f t="shared" si="5"/>
        <v>0.5912361020274689</v>
      </c>
    </row>
    <row r="181" spans="1:7" x14ac:dyDescent="0.25">
      <c r="A181" s="49" t="str">
        <f>'Data shares'!C176</f>
        <v>PPLPHARMA</v>
      </c>
      <c r="B181" s="50">
        <f>VLOOKUP($A181,'Data shares'!$C:$FM,102)</f>
        <v>36.79</v>
      </c>
      <c r="C181" s="50">
        <f>VLOOKUP($A181,'Data shares'!$C:$FM,110)</f>
        <v>38.25</v>
      </c>
      <c r="D181" s="50">
        <f>VLOOKUP($A181,'Data shares'!$C:$FM,114)</f>
        <v>34.21</v>
      </c>
      <c r="E181" s="50">
        <f>VLOOKUP($A181,'Data shares'!$C:$FM,106)</f>
        <v>48.61</v>
      </c>
      <c r="F181" s="50">
        <f>VLOOKUP($A181,'Data shares'!$C:$FM,108)</f>
        <v>-11.82</v>
      </c>
      <c r="G181" s="50">
        <f t="shared" si="5"/>
        <v>0.75684015634643076</v>
      </c>
    </row>
    <row r="182" spans="1:7" x14ac:dyDescent="0.25">
      <c r="A182" s="49" t="str">
        <f>'Data shares'!C177</f>
        <v>PRESTIGE</v>
      </c>
      <c r="B182" s="50">
        <f>VLOOKUP($A182,'Data shares'!$C:$FM,102)</f>
        <v>33.82</v>
      </c>
      <c r="C182" s="50">
        <f>VLOOKUP($A182,'Data shares'!$C:$FM,110)</f>
        <v>33.630000000000003</v>
      </c>
      <c r="D182" s="50">
        <f>VLOOKUP($A182,'Data shares'!$C:$FM,114)</f>
        <v>34.51</v>
      </c>
      <c r="E182" s="50">
        <f>VLOOKUP($A182,'Data shares'!$C:$FM,106)</f>
        <v>49.75</v>
      </c>
      <c r="F182" s="50">
        <f>VLOOKUP($A182,'Data shares'!$C:$FM,108)</f>
        <v>-15.93</v>
      </c>
      <c r="G182" s="50">
        <f t="shared" si="5"/>
        <v>0.67979899497487439</v>
      </c>
    </row>
    <row r="183" spans="1:7" x14ac:dyDescent="0.25">
      <c r="A183" s="49" t="str">
        <f>'Data shares'!C178</f>
        <v>RBLBANK</v>
      </c>
      <c r="B183" s="50">
        <f>VLOOKUP($A183,'Data shares'!$C:$FM,102)</f>
        <v>57.21</v>
      </c>
      <c r="C183" s="50">
        <f>VLOOKUP($A183,'Data shares'!$C:$FM,110)</f>
        <v>57.87</v>
      </c>
      <c r="D183" s="50">
        <f>VLOOKUP($A183,'Data shares'!$C:$FM,114)</f>
        <v>53.54</v>
      </c>
      <c r="E183" s="50">
        <f>VLOOKUP($A183,'Data shares'!$C:$FM,106)</f>
        <v>49.6</v>
      </c>
      <c r="F183" s="50">
        <f>VLOOKUP($A183,'Data shares'!$C:$FM,108)</f>
        <v>7.61</v>
      </c>
      <c r="G183" s="50">
        <f t="shared" si="5"/>
        <v>1.1534274193548386</v>
      </c>
    </row>
    <row r="184" spans="1:7" x14ac:dyDescent="0.25">
      <c r="A184" s="49" t="str">
        <f>'Data shares'!C179</f>
        <v>RECLTD</v>
      </c>
      <c r="B184" s="50">
        <f>VLOOKUP($A184,'Data shares'!$C:$FM,102)</f>
        <v>26.72</v>
      </c>
      <c r="C184" s="50">
        <f>VLOOKUP($A184,'Data shares'!$C:$FM,110)</f>
        <v>27.06</v>
      </c>
      <c r="D184" s="50">
        <f>VLOOKUP($A184,'Data shares'!$C:$FM,114)</f>
        <v>25.93</v>
      </c>
      <c r="E184" s="50">
        <f>VLOOKUP($A184,'Data shares'!$C:$FM,106)</f>
        <v>48.46</v>
      </c>
      <c r="F184" s="50">
        <f>VLOOKUP($A184,'Data shares'!$C:$FM,108)</f>
        <v>-21.74</v>
      </c>
      <c r="G184" s="50">
        <f t="shared" si="5"/>
        <v>0.55138258357408165</v>
      </c>
    </row>
    <row r="185" spans="1:7" x14ac:dyDescent="0.25">
      <c r="A185" s="49" t="str">
        <f>'Data shares'!C180</f>
        <v>RELIANCE</v>
      </c>
      <c r="B185" s="50">
        <f>VLOOKUP($A185,'Data shares'!$C:$FM,102)</f>
        <v>20.45</v>
      </c>
      <c r="C185" s="50">
        <f>VLOOKUP($A185,'Data shares'!$C:$FM,110)</f>
        <v>20.63</v>
      </c>
      <c r="D185" s="50">
        <f>VLOOKUP($A185,'Data shares'!$C:$FM,114)</f>
        <v>20.09</v>
      </c>
      <c r="E185" s="50">
        <f>VLOOKUP($A185,'Data shares'!$C:$FM,106)</f>
        <v>25.8</v>
      </c>
      <c r="F185" s="50">
        <f>VLOOKUP($A185,'Data shares'!$C:$FM,108)</f>
        <v>-5.35</v>
      </c>
      <c r="G185" s="50">
        <f t="shared" si="5"/>
        <v>0.79263565891472865</v>
      </c>
    </row>
    <row r="186" spans="1:7" x14ac:dyDescent="0.25">
      <c r="A186" s="49" t="str">
        <f>'Data shares'!C181</f>
        <v>RVNL</v>
      </c>
      <c r="B186" s="50">
        <f>VLOOKUP($A186,'Data shares'!$C:$FM,102)</f>
        <v>39.14</v>
      </c>
      <c r="C186" s="50">
        <f>VLOOKUP($A186,'Data shares'!$C:$FM,110)</f>
        <v>39.729999999999997</v>
      </c>
      <c r="D186" s="50">
        <f>VLOOKUP($A186,'Data shares'!$C:$FM,114)</f>
        <v>37.700000000000003</v>
      </c>
      <c r="E186" s="50">
        <f>VLOOKUP($A186,'Data shares'!$C:$FM,106)</f>
        <v>60.97</v>
      </c>
      <c r="F186" s="50">
        <f>VLOOKUP($A186,'Data shares'!$C:$FM,108)</f>
        <v>-21.83</v>
      </c>
      <c r="G186" s="50">
        <f t="shared" si="5"/>
        <v>0.6419550598655076</v>
      </c>
    </row>
    <row r="187" spans="1:7" x14ac:dyDescent="0.25">
      <c r="A187" s="49" t="str">
        <f>'Data shares'!C182</f>
        <v>SAIL</v>
      </c>
      <c r="B187" s="50">
        <f>VLOOKUP($A187,'Data shares'!$C:$FM,102)</f>
        <v>31.03</v>
      </c>
      <c r="C187" s="50">
        <f>VLOOKUP($A187,'Data shares'!$C:$FM,110)</f>
        <v>31.51</v>
      </c>
      <c r="D187" s="50">
        <f>VLOOKUP($A187,'Data shares'!$C:$FM,114)</f>
        <v>29.96</v>
      </c>
      <c r="E187" s="50">
        <f>VLOOKUP($A187,'Data shares'!$C:$FM,106)</f>
        <v>47.31</v>
      </c>
      <c r="F187" s="50">
        <f>VLOOKUP($A187,'Data shares'!$C:$FM,108)</f>
        <v>-16.28</v>
      </c>
      <c r="G187" s="50">
        <f t="shared" si="5"/>
        <v>0.65588670471359123</v>
      </c>
    </row>
    <row r="188" spans="1:7" x14ac:dyDescent="0.25">
      <c r="A188" s="49" t="str">
        <f>'Data shares'!C183</f>
        <v>SBICARD</v>
      </c>
      <c r="B188" s="50">
        <f>VLOOKUP($A188,'Data shares'!$C:$FM,102)</f>
        <v>23.94</v>
      </c>
      <c r="C188" s="50">
        <f>VLOOKUP($A188,'Data shares'!$C:$FM,110)</f>
        <v>24.45</v>
      </c>
      <c r="D188" s="50">
        <f>VLOOKUP($A188,'Data shares'!$C:$FM,114)</f>
        <v>23.2</v>
      </c>
      <c r="E188" s="50">
        <f>VLOOKUP($A188,'Data shares'!$C:$FM,106)</f>
        <v>30.94</v>
      </c>
      <c r="F188" s="50">
        <f>VLOOKUP($A188,'Data shares'!$C:$FM,108)</f>
        <v>-7</v>
      </c>
      <c r="G188" s="50">
        <f t="shared" si="5"/>
        <v>0.77375565610859731</v>
      </c>
    </row>
    <row r="189" spans="1:7" x14ac:dyDescent="0.25">
      <c r="A189" s="49" t="str">
        <f>'Data shares'!C223</f>
        <v>ZYDUSLIFE</v>
      </c>
      <c r="B189" s="50">
        <f>VLOOKUP($A189,'Data shares'!$C:$FM,102)</f>
        <v>24.16</v>
      </c>
      <c r="C189" s="50">
        <f>VLOOKUP($A189,'Data shares'!$C:$FM,110)</f>
        <v>23.69</v>
      </c>
      <c r="D189" s="50">
        <f>VLOOKUP($A189,'Data shares'!$C:$FM,114)</f>
        <v>25.12</v>
      </c>
      <c r="E189" s="50">
        <f>VLOOKUP($A189,'Data shares'!$C:$FM,106)</f>
        <v>30.66</v>
      </c>
      <c r="F189" s="50">
        <f>VLOOKUP($A189,'Data shares'!$C:$FM,108)</f>
        <v>-6.5</v>
      </c>
      <c r="G189" s="50">
        <f t="shared" si="5"/>
        <v>0.78799739073711672</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6" activePane="bottomLeft" state="frozen"/>
      <selection pane="bottomLeft" activeCell="A5" sqref="A5:C220"/>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73064092</v>
      </c>
      <c r="C5" s="49">
        <v>7328000</v>
      </c>
      <c r="D5" s="49">
        <v>422796029</v>
      </c>
      <c r="E5" s="50">
        <f>VLOOKUP($A5,'Data shares'!$C:$FA,154)*100</f>
        <v>10.18</v>
      </c>
      <c r="F5" s="173">
        <f>C5/B5</f>
        <v>0.10029550493832182</v>
      </c>
    </row>
    <row r="6" spans="1:6" x14ac:dyDescent="0.25">
      <c r="A6" s="99" t="s">
        <v>553</v>
      </c>
      <c r="B6" s="49">
        <v>10595418</v>
      </c>
      <c r="C6" s="49">
        <v>5782125</v>
      </c>
      <c r="D6" s="49">
        <v>71801274</v>
      </c>
      <c r="E6" s="50">
        <f>VLOOKUP($A6,'Data shares'!$C:$FA,154)*100</f>
        <v>56.220000000000006</v>
      </c>
      <c r="F6" s="173">
        <f>C6/B6</f>
        <v>0.54571938549286114</v>
      </c>
    </row>
    <row r="7" spans="1:6" x14ac:dyDescent="0.25">
      <c r="A7" s="99" t="s">
        <v>544</v>
      </c>
      <c r="B7" s="49">
        <v>163088564</v>
      </c>
      <c r="C7" s="49">
        <v>89881400</v>
      </c>
      <c r="D7" s="49">
        <v>190580808</v>
      </c>
      <c r="E7" s="50">
        <f>VLOOKUP($A7,'Data shares'!$C:$FA,154)*100</f>
        <v>56.55</v>
      </c>
      <c r="F7" s="173">
        <f>C7/B7</f>
        <v>0.55112018767913118</v>
      </c>
    </row>
    <row r="8" spans="1:6" x14ac:dyDescent="0.25">
      <c r="A8" s="99" t="s">
        <v>499</v>
      </c>
      <c r="B8" s="49">
        <v>121604705</v>
      </c>
      <c r="C8" s="49">
        <v>74094800</v>
      </c>
      <c r="D8" s="49">
        <v>121939493</v>
      </c>
      <c r="E8" s="50">
        <f>VLOOKUP($A8,'Data shares'!$C:$FA,154)*100</f>
        <v>62.739999999999995</v>
      </c>
      <c r="F8" s="173">
        <f>C8/B8</f>
        <v>0.60930866120681759</v>
      </c>
    </row>
    <row r="9" spans="1:6" x14ac:dyDescent="0.25">
      <c r="A9" s="99" t="s">
        <v>580</v>
      </c>
      <c r="B9" s="49">
        <v>69209851</v>
      </c>
      <c r="C9" s="49">
        <v>25555500</v>
      </c>
      <c r="D9" s="49">
        <v>12239606</v>
      </c>
      <c r="E9" s="50">
        <f>VLOOKUP($A9,'Data shares'!$C:$FA,154)*100</f>
        <v>37.36</v>
      </c>
      <c r="F9" s="173">
        <f>C9/B9</f>
        <v>0.36924656867127198</v>
      </c>
    </row>
    <row r="10" spans="1:6" x14ac:dyDescent="0.25">
      <c r="A10" s="99" t="s">
        <v>159</v>
      </c>
      <c r="B10" s="49">
        <v>60081955</v>
      </c>
      <c r="C10" s="49">
        <v>34143600</v>
      </c>
      <c r="D10" s="49">
        <v>1737683</v>
      </c>
      <c r="E10" s="50">
        <f>VLOOKUP($A10,'Data shares'!$C:$FA,154)*100</f>
        <v>58.34</v>
      </c>
      <c r="F10" s="173">
        <f>C10/B10</f>
        <v>0.56828377172480493</v>
      </c>
    </row>
    <row r="11" spans="1:6" x14ac:dyDescent="0.25">
      <c r="A11" s="99" t="s">
        <v>607</v>
      </c>
      <c r="B11" s="49">
        <v>123755903</v>
      </c>
      <c r="C11" s="49">
        <v>28330800</v>
      </c>
      <c r="D11" s="49">
        <v>23485458</v>
      </c>
      <c r="E11" s="50">
        <f>VLOOKUP($A11,'Data shares'!$C:$FA,154)*100</f>
        <v>23.18</v>
      </c>
      <c r="F11" s="173">
        <f>C11/B11</f>
        <v>0.22892483762976543</v>
      </c>
    </row>
    <row r="12" spans="1:6" x14ac:dyDescent="0.25">
      <c r="A12" s="99" t="s">
        <v>160</v>
      </c>
      <c r="B12" s="49">
        <v>147352572</v>
      </c>
      <c r="C12" s="49">
        <v>40236300</v>
      </c>
      <c r="D12" s="49">
        <v>78058155</v>
      </c>
      <c r="E12" s="50">
        <f>VLOOKUP($A12,'Data shares'!$C:$FA,154)*100</f>
        <v>27.810000000000002</v>
      </c>
      <c r="F12" s="173">
        <f>C12/B12</f>
        <v>0.27306140268796936</v>
      </c>
    </row>
    <row r="13" spans="1:6" x14ac:dyDescent="0.25">
      <c r="A13" s="99" t="s">
        <v>497</v>
      </c>
      <c r="B13" s="49">
        <v>11230378</v>
      </c>
      <c r="C13" s="49">
        <v>2700000</v>
      </c>
      <c r="D13" s="49">
        <v>632343512</v>
      </c>
      <c r="E13" s="50"/>
      <c r="F13" s="173">
        <f>C13/B13</f>
        <v>0.24041933405981525</v>
      </c>
    </row>
    <row r="14" spans="1:6" x14ac:dyDescent="0.25">
      <c r="A14" s="99" t="s">
        <v>683</v>
      </c>
      <c r="B14" s="49">
        <v>4089938</v>
      </c>
      <c r="C14" s="49">
        <v>2182500</v>
      </c>
      <c r="D14" s="49">
        <v>109606743</v>
      </c>
      <c r="E14" s="50">
        <f>VLOOKUP($A14,'Data shares'!$C:$FA,154)*100</f>
        <v>54.61</v>
      </c>
      <c r="F14" s="173">
        <f>C14/B14</f>
        <v>0.53362667111335182</v>
      </c>
    </row>
    <row r="15" spans="1:6" x14ac:dyDescent="0.25">
      <c r="A15" s="99" t="s">
        <v>164</v>
      </c>
      <c r="B15" s="49">
        <v>159683698</v>
      </c>
      <c r="C15" s="49">
        <v>46287150</v>
      </c>
      <c r="D15" s="49">
        <v>1323414074</v>
      </c>
      <c r="E15" s="50">
        <f>VLOOKUP($A15,'Data shares'!$C:$FA,154)*100</f>
        <v>29.67</v>
      </c>
      <c r="F15" s="173">
        <f>C15/B15</f>
        <v>0.28986772337900141</v>
      </c>
    </row>
    <row r="16" spans="1:6" x14ac:dyDescent="0.25">
      <c r="A16" s="99" t="s">
        <v>610</v>
      </c>
      <c r="B16" s="49">
        <v>12863513</v>
      </c>
      <c r="C16" s="49">
        <v>5517500</v>
      </c>
      <c r="D16" s="49">
        <v>280560500</v>
      </c>
      <c r="E16" s="50">
        <f>VLOOKUP($A16,'Data shares'!$C:$FA,154)*100</f>
        <v>43.62</v>
      </c>
      <c r="F16" s="173">
        <f>C16/B16</f>
        <v>0.42892637493350377</v>
      </c>
    </row>
    <row r="17" spans="1:6" x14ac:dyDescent="0.25">
      <c r="A17" s="99" t="s">
        <v>599</v>
      </c>
      <c r="B17" s="49">
        <v>39789203</v>
      </c>
      <c r="C17" s="49">
        <v>10069850</v>
      </c>
      <c r="D17" s="49">
        <v>63768380</v>
      </c>
      <c r="E17" s="50">
        <f>VLOOKUP($A17,'Data shares'!$C:$FA,154)*100</f>
        <v>25.580000000000002</v>
      </c>
      <c r="F17" s="173">
        <f>C17/B17</f>
        <v>0.25307996242096126</v>
      </c>
    </row>
    <row r="18" spans="1:6" x14ac:dyDescent="0.25">
      <c r="A18" s="99" t="s">
        <v>165</v>
      </c>
      <c r="B18" s="49">
        <v>20320057</v>
      </c>
      <c r="C18" s="49">
        <v>7471750</v>
      </c>
      <c r="D18" s="49">
        <v>35530000</v>
      </c>
      <c r="E18" s="50">
        <f>VLOOKUP($A18,'Data shares'!$C:$FA,154)*100</f>
        <v>38.800000000000004</v>
      </c>
      <c r="F18" s="173">
        <f>C18/B18</f>
        <v>0.3677032008325567</v>
      </c>
    </row>
    <row r="19" spans="1:6" x14ac:dyDescent="0.25">
      <c r="A19" s="99" t="s">
        <v>167</v>
      </c>
      <c r="B19" s="49">
        <v>564878806</v>
      </c>
      <c r="C19" s="49">
        <v>209035000</v>
      </c>
      <c r="D19" s="49">
        <v>63025888</v>
      </c>
      <c r="E19" s="50">
        <f>VLOOKUP($A19,'Data shares'!$C:$FA,154)*100</f>
        <v>38.21</v>
      </c>
      <c r="F19" s="173">
        <f>C19/B19</f>
        <v>0.37005282864161837</v>
      </c>
    </row>
    <row r="20" spans="1:6" x14ac:dyDescent="0.25">
      <c r="A20" s="99" t="s">
        <v>169</v>
      </c>
      <c r="B20" s="49">
        <v>90755647</v>
      </c>
      <c r="C20" s="49">
        <v>24277250</v>
      </c>
      <c r="D20" s="49">
        <v>339616396</v>
      </c>
      <c r="E20" s="50">
        <f>VLOOKUP($A20,'Data shares'!$C:$FA,154)*100</f>
        <v>27.529999999999998</v>
      </c>
      <c r="F20" s="173">
        <f>C20/B20</f>
        <v>0.26750126083063458</v>
      </c>
    </row>
    <row r="21" spans="1:6" x14ac:dyDescent="0.25">
      <c r="A21" s="99" t="s">
        <v>503</v>
      </c>
      <c r="B21" s="49">
        <v>24660712</v>
      </c>
      <c r="C21" s="49">
        <v>14049225</v>
      </c>
      <c r="D21" s="49">
        <v>128243866</v>
      </c>
      <c r="E21" s="50">
        <f>VLOOKUP($A21,'Data shares'!$C:$FA,154)*100</f>
        <v>58.56</v>
      </c>
      <c r="F21" s="173">
        <f>C21/B21</f>
        <v>0.56970070450520649</v>
      </c>
    </row>
    <row r="22" spans="1:6" x14ac:dyDescent="0.25">
      <c r="A22" s="99" t="s">
        <v>590</v>
      </c>
      <c r="B22" s="49">
        <v>55429320</v>
      </c>
      <c r="C22" s="49">
        <v>5061000</v>
      </c>
      <c r="D22" s="49">
        <v>168467595</v>
      </c>
      <c r="E22" s="50">
        <f>VLOOKUP($A22,'Data shares'!$C:$FA,154)*100</f>
        <v>9.6</v>
      </c>
      <c r="F22" s="173">
        <f>C22/B22</f>
        <v>9.1305467936463949E-2</v>
      </c>
    </row>
    <row r="23" spans="1:6" x14ac:dyDescent="0.25">
      <c r="A23" s="99" t="s">
        <v>495</v>
      </c>
      <c r="B23" s="49">
        <v>114978915</v>
      </c>
      <c r="C23" s="49">
        <v>34795000</v>
      </c>
      <c r="D23" s="49">
        <v>97811871</v>
      </c>
      <c r="E23" s="50">
        <f>VLOOKUP($A23,'Data shares'!$C:$FA,154)*100</f>
        <v>30.769999999999996</v>
      </c>
      <c r="F23" s="173">
        <f>C23/B23</f>
        <v>0.3026207022391888</v>
      </c>
    </row>
    <row r="24" spans="1:6" x14ac:dyDescent="0.25">
      <c r="A24" s="99" t="s">
        <v>171</v>
      </c>
      <c r="B24" s="49">
        <v>55970580</v>
      </c>
      <c r="C24" s="49">
        <v>30724650</v>
      </c>
      <c r="D24" s="49">
        <v>385388951</v>
      </c>
      <c r="E24" s="50">
        <f>VLOOKUP($A24,'Data shares'!$C:$FA,154)*100</f>
        <v>56.089999999999996</v>
      </c>
      <c r="F24" s="173">
        <f>C24/B24</f>
        <v>0.54894285533578535</v>
      </c>
    </row>
    <row r="25" spans="1:6" x14ac:dyDescent="0.25">
      <c r="A25" s="99" t="s">
        <v>173</v>
      </c>
      <c r="B25" s="49">
        <v>550740541</v>
      </c>
      <c r="C25" s="49">
        <v>135887500</v>
      </c>
      <c r="D25" s="49">
        <v>28664814</v>
      </c>
      <c r="E25" s="50">
        <f>VLOOKUP($A25,'Data shares'!$C:$FA,154)*100</f>
        <v>24.95</v>
      </c>
      <c r="F25" s="173">
        <f>C25/B25</f>
        <v>0.2467359670912623</v>
      </c>
    </row>
    <row r="26" spans="1:6" x14ac:dyDescent="0.25">
      <c r="A26" s="99" t="s">
        <v>174</v>
      </c>
      <c r="B26" s="49">
        <v>25095463</v>
      </c>
      <c r="C26" s="49">
        <v>5448975</v>
      </c>
      <c r="D26" s="49">
        <v>103932806</v>
      </c>
      <c r="E26" s="50">
        <f>VLOOKUP($A26,'Data shares'!$C:$FA,154)*100</f>
        <v>22.29</v>
      </c>
      <c r="F26" s="173">
        <f>C26/B26</f>
        <v>0.21712988519080123</v>
      </c>
    </row>
    <row r="27" spans="1:6" x14ac:dyDescent="0.25">
      <c r="A27" s="99" t="s">
        <v>176</v>
      </c>
      <c r="B27" s="49">
        <v>131319425</v>
      </c>
      <c r="C27" s="49">
        <v>27501500</v>
      </c>
      <c r="D27" s="49">
        <v>16356551</v>
      </c>
      <c r="E27" s="50">
        <f>VLOOKUP($A27,'Data shares'!$C:$FA,154)*100</f>
        <v>21.36</v>
      </c>
      <c r="F27" s="173">
        <f>C27/B27</f>
        <v>0.20942446252715469</v>
      </c>
    </row>
    <row r="28" spans="1:6" x14ac:dyDescent="0.25">
      <c r="A28" s="99" t="s">
        <v>177</v>
      </c>
      <c r="B28" s="49">
        <v>562232690</v>
      </c>
      <c r="C28" s="49">
        <v>141501750</v>
      </c>
      <c r="D28" s="49">
        <v>712939229</v>
      </c>
      <c r="E28" s="50">
        <f>VLOOKUP($A28,'Data shares'!$C:$FA,154)*100</f>
        <v>25.669999999999998</v>
      </c>
      <c r="F28" s="173">
        <f>C28/B28</f>
        <v>0.2516782686542115</v>
      </c>
    </row>
    <row r="29" spans="1:6" x14ac:dyDescent="0.25">
      <c r="A29" s="99" t="s">
        <v>179</v>
      </c>
      <c r="B29" s="49">
        <v>190337283</v>
      </c>
      <c r="C29" s="49">
        <v>121086000</v>
      </c>
      <c r="D29" s="49">
        <v>55970580</v>
      </c>
      <c r="E29" s="50">
        <f>VLOOKUP($A29,'Data shares'!$C:$FA,154)*100</f>
        <v>64.45</v>
      </c>
      <c r="F29" s="173">
        <f>C29/B29</f>
        <v>0.63616543270715908</v>
      </c>
    </row>
    <row r="30" spans="1:6" x14ac:dyDescent="0.25">
      <c r="A30" s="99" t="s">
        <v>180</v>
      </c>
      <c r="B30" s="49">
        <v>372635498</v>
      </c>
      <c r="C30" s="49">
        <v>185371875</v>
      </c>
      <c r="D30" s="49">
        <v>125347779</v>
      </c>
      <c r="E30" s="50">
        <f>VLOOKUP($A30,'Data shares'!$C:$FA,154)*100</f>
        <v>50.55</v>
      </c>
      <c r="F30" s="173">
        <f>C30/B30</f>
        <v>0.49746166426688637</v>
      </c>
    </row>
    <row r="31" spans="1:6" x14ac:dyDescent="0.25">
      <c r="A31" s="99" t="s">
        <v>603</v>
      </c>
      <c r="B31" s="49">
        <v>242361229</v>
      </c>
      <c r="C31" s="49">
        <v>93766400</v>
      </c>
      <c r="D31" s="49">
        <v>213821216</v>
      </c>
      <c r="E31" s="50">
        <f>VLOOKUP($A31,'Data shares'!$C:$FA,154)*100</f>
        <v>39.42</v>
      </c>
      <c r="F31" s="173">
        <f>C31/B31</f>
        <v>0.3868869636735503</v>
      </c>
    </row>
    <row r="32" spans="1:6" x14ac:dyDescent="0.25">
      <c r="A32" s="99" t="s">
        <v>673</v>
      </c>
      <c r="B32" s="49">
        <v>18382289</v>
      </c>
      <c r="C32" s="49">
        <v>10190050</v>
      </c>
      <c r="D32" s="49">
        <v>176174897</v>
      </c>
      <c r="E32" s="50">
        <f>VLOOKUP($A32,'Data shares'!$C:$FA,154)*100</f>
        <v>56.830000000000005</v>
      </c>
      <c r="F32" s="173">
        <f>C32/B32</f>
        <v>0.55434064821851081</v>
      </c>
    </row>
    <row r="33" spans="1:6" x14ac:dyDescent="0.25">
      <c r="A33" s="99" t="s">
        <v>185</v>
      </c>
      <c r="B33" s="49">
        <v>714371379</v>
      </c>
      <c r="C33" s="49">
        <v>261584400</v>
      </c>
      <c r="D33" s="49">
        <v>179035680</v>
      </c>
      <c r="E33" s="50">
        <f>VLOOKUP($A33,'Data shares'!$C:$FA,154)*100</f>
        <v>37.630000000000003</v>
      </c>
      <c r="F33" s="173">
        <f>C33/B33</f>
        <v>0.36617424450315217</v>
      </c>
    </row>
    <row r="34" spans="1:6" x14ac:dyDescent="0.25">
      <c r="A34" s="99" t="s">
        <v>187</v>
      </c>
      <c r="B34" s="49">
        <v>53477001</v>
      </c>
      <c r="C34" s="49">
        <v>18428000</v>
      </c>
      <c r="D34" s="49">
        <v>105777701</v>
      </c>
      <c r="E34" s="50">
        <f>VLOOKUP($A34,'Data shares'!$C:$FA,154)*100</f>
        <v>34.849999999999994</v>
      </c>
      <c r="F34" s="173">
        <f>C34/B34</f>
        <v>0.344596736080993</v>
      </c>
    </row>
    <row r="35" spans="1:6" x14ac:dyDescent="0.25">
      <c r="A35" s="99" t="s">
        <v>189</v>
      </c>
      <c r="B35" s="49">
        <v>593304654</v>
      </c>
      <c r="C35" s="49">
        <v>71782950</v>
      </c>
      <c r="D35" s="49">
        <v>68852343</v>
      </c>
      <c r="E35" s="50">
        <f>VLOOKUP($A35,'Data shares'!$C:$FA,154)*100</f>
        <v>12.389999999999999</v>
      </c>
      <c r="F35" s="173">
        <f>C35/B35</f>
        <v>0.12098834808735547</v>
      </c>
    </row>
    <row r="36" spans="1:6" x14ac:dyDescent="0.25">
      <c r="A36" s="99" t="s">
        <v>190</v>
      </c>
      <c r="B36" s="49">
        <v>256482590</v>
      </c>
      <c r="C36" s="49">
        <v>125881875</v>
      </c>
      <c r="D36" s="49">
        <v>12994611</v>
      </c>
      <c r="E36" s="50">
        <f>VLOOKUP($A36,'Data shares'!$C:$FA,154)*100</f>
        <v>50.43</v>
      </c>
      <c r="F36" s="173">
        <f>C36/B36</f>
        <v>0.49080085708741478</v>
      </c>
    </row>
    <row r="37" spans="1:6" x14ac:dyDescent="0.25">
      <c r="A37" s="99" t="s">
        <v>191</v>
      </c>
      <c r="B37" s="49">
        <v>121308233</v>
      </c>
      <c r="C37" s="49">
        <v>78042500</v>
      </c>
      <c r="D37" s="49">
        <v>1667987352</v>
      </c>
      <c r="E37" s="50">
        <f>VLOOKUP($A37,'Data shares'!$C:$FA,154)*100</f>
        <v>65.98</v>
      </c>
      <c r="F37" s="173">
        <f>C37/B37</f>
        <v>0.64334050599846759</v>
      </c>
    </row>
    <row r="38" spans="1:6" x14ac:dyDescent="0.25">
      <c r="A38" s="99" t="s">
        <v>681</v>
      </c>
      <c r="B38" s="49">
        <v>26112989</v>
      </c>
      <c r="C38" s="49">
        <v>3630250</v>
      </c>
      <c r="D38" s="49">
        <v>26104531</v>
      </c>
      <c r="E38" s="50">
        <f>VLOOKUP($A38,'Data shares'!$C:$FA,154)*100</f>
        <v>14.330000000000002</v>
      </c>
      <c r="F38" s="173">
        <f>C38/B38</f>
        <v>0.13902085280241186</v>
      </c>
    </row>
    <row r="39" spans="1:6" x14ac:dyDescent="0.25">
      <c r="A39" s="99" t="s">
        <v>192</v>
      </c>
      <c r="B39" s="49">
        <v>1737683</v>
      </c>
      <c r="C39" s="49">
        <v>774100</v>
      </c>
      <c r="D39" s="49">
        <v>211721976</v>
      </c>
      <c r="E39" s="50">
        <f>VLOOKUP($A39,'Data shares'!$C:$FA,154)*100</f>
        <v>45.79</v>
      </c>
      <c r="F39" s="173">
        <f>C39/B39</f>
        <v>0.44547826041919036</v>
      </c>
    </row>
    <row r="40" spans="1:6" x14ac:dyDescent="0.25">
      <c r="A40" s="99" t="s">
        <v>194</v>
      </c>
      <c r="B40" s="49">
        <v>408027660</v>
      </c>
      <c r="C40" s="49">
        <v>69830075</v>
      </c>
      <c r="D40" s="49">
        <v>340087358</v>
      </c>
      <c r="E40" s="50">
        <f>VLOOKUP($A40,'Data shares'!$C:$FA,154)*100</f>
        <v>17.419999999999998</v>
      </c>
      <c r="F40" s="173">
        <f>C40/B40</f>
        <v>0.17114054228578524</v>
      </c>
    </row>
    <row r="41" spans="1:6" x14ac:dyDescent="0.25">
      <c r="A41" s="99" t="s">
        <v>195</v>
      </c>
      <c r="B41" s="49">
        <v>23823080</v>
      </c>
      <c r="C41" s="49">
        <v>5549125</v>
      </c>
      <c r="D41" s="49">
        <v>21400003</v>
      </c>
      <c r="E41" s="50">
        <f>VLOOKUP($A41,'Data shares'!$C:$FA,154)*100</f>
        <v>23.91</v>
      </c>
      <c r="F41" s="173">
        <f>C41/B41</f>
        <v>0.23293062861729047</v>
      </c>
    </row>
    <row r="42" spans="1:6" x14ac:dyDescent="0.25">
      <c r="A42" s="99" t="s">
        <v>585</v>
      </c>
      <c r="B42" s="49">
        <v>64513850</v>
      </c>
      <c r="C42" s="49">
        <v>24663750</v>
      </c>
      <c r="D42" s="49">
        <v>83488668</v>
      </c>
      <c r="E42" s="50">
        <f>VLOOKUP($A42,'Data shares'!$C:$FA,154)*100</f>
        <v>40.19</v>
      </c>
      <c r="F42" s="173">
        <f>C42/B42</f>
        <v>0.38230162980507287</v>
      </c>
    </row>
    <row r="43" spans="1:6" x14ac:dyDescent="0.25">
      <c r="A43" s="99" t="s">
        <v>612</v>
      </c>
      <c r="B43" s="49">
        <v>9894953</v>
      </c>
      <c r="C43" s="49">
        <v>3889950</v>
      </c>
      <c r="D43" s="49">
        <v>89427016</v>
      </c>
      <c r="E43" s="50">
        <f>VLOOKUP($A43,'Data shares'!$C:$FA,154)*100</f>
        <v>39.869999999999997</v>
      </c>
      <c r="F43" s="173">
        <f>C43/B43</f>
        <v>0.3931246565799757</v>
      </c>
    </row>
    <row r="44" spans="1:6" x14ac:dyDescent="0.25">
      <c r="A44" s="99" t="s">
        <v>196</v>
      </c>
      <c r="B44" s="49">
        <v>672420574</v>
      </c>
      <c r="C44" s="49">
        <v>386464500</v>
      </c>
      <c r="D44" s="49">
        <v>114846423</v>
      </c>
      <c r="E44" s="50">
        <f>VLOOKUP($A44,'Data shares'!$C:$FA,154)*100</f>
        <v>58.3</v>
      </c>
      <c r="F44" s="173">
        <f>C44/B44</f>
        <v>0.57473628104662966</v>
      </c>
    </row>
    <row r="45" spans="1:6" x14ac:dyDescent="0.25">
      <c r="A45" s="99" t="s">
        <v>598</v>
      </c>
      <c r="B45" s="49">
        <v>35530000</v>
      </c>
      <c r="C45" s="49">
        <v>21069575</v>
      </c>
      <c r="D45" s="49">
        <v>883911758</v>
      </c>
      <c r="E45" s="50">
        <f>VLOOKUP($A45,'Data shares'!$C:$FA,154)*100</f>
        <v>61.27</v>
      </c>
      <c r="F45" s="173">
        <f>C45/B45</f>
        <v>0.59300802139037434</v>
      </c>
    </row>
    <row r="46" spans="1:6" x14ac:dyDescent="0.25">
      <c r="A46" s="99" t="s">
        <v>602</v>
      </c>
      <c r="B46" s="49">
        <v>126959974</v>
      </c>
      <c r="C46" s="49">
        <v>25748375</v>
      </c>
      <c r="D46" s="49">
        <v>48471506</v>
      </c>
      <c r="E46" s="50">
        <f>VLOOKUP($A46,'Data shares'!$C:$FA,154)*100</f>
        <v>20.9</v>
      </c>
      <c r="F46" s="173">
        <f>C46/B46</f>
        <v>0.20280702798505615</v>
      </c>
    </row>
    <row r="47" spans="1:6" x14ac:dyDescent="0.25">
      <c r="A47" s="99" t="s">
        <v>613</v>
      </c>
      <c r="B47" s="49">
        <v>137376663</v>
      </c>
      <c r="C47" s="49">
        <v>23207550</v>
      </c>
      <c r="D47" s="49">
        <v>154000160</v>
      </c>
      <c r="E47" s="50">
        <f>VLOOKUP($A47,'Data shares'!$C:$FA,154)*100</f>
        <v>17.04</v>
      </c>
      <c r="F47" s="173">
        <f>C47/B47</f>
        <v>0.16893371474600458</v>
      </c>
    </row>
    <row r="48" spans="1:6" x14ac:dyDescent="0.25">
      <c r="A48" s="99" t="s">
        <v>198</v>
      </c>
      <c r="B48" s="49">
        <v>84283024</v>
      </c>
      <c r="C48" s="49">
        <v>16426875</v>
      </c>
      <c r="D48" s="49">
        <v>356413800</v>
      </c>
      <c r="E48" s="50">
        <f>VLOOKUP($A48,'Data shares'!$C:$FA,154)*100</f>
        <v>19.919999999999998</v>
      </c>
      <c r="F48" s="173">
        <f>C48/B48</f>
        <v>0.19490134810540258</v>
      </c>
    </row>
    <row r="49" spans="1:6" x14ac:dyDescent="0.25">
      <c r="A49" s="99" t="s">
        <v>199</v>
      </c>
      <c r="B49" s="49">
        <v>114147881</v>
      </c>
      <c r="C49" s="49">
        <v>17751000</v>
      </c>
      <c r="D49" s="49">
        <v>26231219</v>
      </c>
      <c r="E49" s="50">
        <f>VLOOKUP($A49,'Data shares'!$C:$FA,154)*100</f>
        <v>16.05</v>
      </c>
      <c r="F49" s="173">
        <f>C49/B49</f>
        <v>0.15550880002757125</v>
      </c>
    </row>
    <row r="50" spans="1:6" x14ac:dyDescent="0.25">
      <c r="A50" s="99" t="s">
        <v>200</v>
      </c>
      <c r="B50" s="49">
        <v>454398477</v>
      </c>
      <c r="C50" s="49">
        <v>130335750</v>
      </c>
      <c r="D50" s="49">
        <v>22754935</v>
      </c>
      <c r="E50" s="50">
        <f>VLOOKUP($A50,'Data shares'!$C:$FA,154)*100</f>
        <v>29.110000000000003</v>
      </c>
      <c r="F50" s="173">
        <f>C50/B50</f>
        <v>0.28683139710435251</v>
      </c>
    </row>
    <row r="51" spans="1:6" x14ac:dyDescent="0.25">
      <c r="A51" s="99" t="s">
        <v>470</v>
      </c>
      <c r="B51" s="49">
        <v>66885199</v>
      </c>
      <c r="C51" s="49">
        <v>19863000</v>
      </c>
      <c r="D51" s="49">
        <v>84229462</v>
      </c>
      <c r="E51" s="50">
        <f>VLOOKUP($A51,'Data shares'!$C:$FA,154)*100</f>
        <v>31.59</v>
      </c>
      <c r="F51" s="173">
        <f>C51/B51</f>
        <v>0.29697153177341973</v>
      </c>
    </row>
    <row r="52" spans="1:6" x14ac:dyDescent="0.25">
      <c r="A52" s="99" t="s">
        <v>201</v>
      </c>
      <c r="B52" s="49">
        <v>26654592</v>
      </c>
      <c r="C52" s="49">
        <v>8399025</v>
      </c>
      <c r="D52" s="49">
        <v>72384900</v>
      </c>
      <c r="E52" s="50"/>
      <c r="F52" s="173">
        <f>C52/B52</f>
        <v>0.31510611755002665</v>
      </c>
    </row>
    <row r="53" spans="1:6" x14ac:dyDescent="0.25">
      <c r="A53" s="99" t="s">
        <v>202</v>
      </c>
      <c r="B53" s="49">
        <v>68852343</v>
      </c>
      <c r="C53" s="49">
        <v>37121250</v>
      </c>
      <c r="D53" s="49">
        <v>16125398</v>
      </c>
      <c r="E53" s="50">
        <f>VLOOKUP($A53,'Data shares'!$C:$FA,154)*100</f>
        <v>55.089999999999996</v>
      </c>
      <c r="F53" s="173">
        <f>C53/B53</f>
        <v>0.53914287274145489</v>
      </c>
    </row>
    <row r="54" spans="1:6" x14ac:dyDescent="0.25">
      <c r="A54" s="99" t="s">
        <v>523</v>
      </c>
      <c r="B54" s="49">
        <v>128770582</v>
      </c>
      <c r="C54" s="49">
        <v>49840200</v>
      </c>
      <c r="D54" s="49">
        <v>24660712</v>
      </c>
      <c r="E54" s="50">
        <f>VLOOKUP($A54,'Data shares'!$C:$FA,154)*100</f>
        <v>39.019999999999996</v>
      </c>
      <c r="F54" s="173">
        <f>C54/B54</f>
        <v>0.38704647618972476</v>
      </c>
    </row>
    <row r="55" spans="1:6" x14ac:dyDescent="0.25">
      <c r="A55" s="99" t="s">
        <v>203</v>
      </c>
      <c r="B55" s="49">
        <v>27165600</v>
      </c>
      <c r="C55" s="49">
        <v>5323800</v>
      </c>
      <c r="D55" s="49">
        <v>294716519</v>
      </c>
      <c r="E55" s="50">
        <f>VLOOKUP($A55,'Data shares'!$C:$FA,154)*100</f>
        <v>19.86</v>
      </c>
      <c r="F55" s="173">
        <f>C55/B55</f>
        <v>0.19597579291456843</v>
      </c>
    </row>
    <row r="56" spans="1:6" x14ac:dyDescent="0.25">
      <c r="A56" s="99" t="s">
        <v>573</v>
      </c>
      <c r="B56" s="49">
        <v>16888762</v>
      </c>
      <c r="C56" s="49">
        <v>4764675</v>
      </c>
      <c r="D56" s="49">
        <v>35881800</v>
      </c>
      <c r="E56" s="50">
        <f>VLOOKUP($A56,'Data shares'!$C:$FA,154)*100</f>
        <v>28.46</v>
      </c>
      <c r="F56" s="173">
        <f>C56/B56</f>
        <v>0.28212103409355876</v>
      </c>
    </row>
    <row r="57" spans="1:6" x14ac:dyDescent="0.25">
      <c r="A57" s="99" t="s">
        <v>204</v>
      </c>
      <c r="B57" s="49">
        <v>119831037</v>
      </c>
      <c r="C57" s="49">
        <v>35493750</v>
      </c>
      <c r="D57" s="49">
        <v>130936945</v>
      </c>
      <c r="E57" s="50">
        <f>VLOOKUP($A57,'Data shares'!$C:$FA,154)*100</f>
        <v>30.580000000000002</v>
      </c>
      <c r="F57" s="173">
        <f>C57/B57</f>
        <v>0.29619830461785956</v>
      </c>
    </row>
    <row r="58" spans="1:6" x14ac:dyDescent="0.25">
      <c r="A58" s="99" t="s">
        <v>524</v>
      </c>
      <c r="B58" s="49">
        <v>16566722</v>
      </c>
      <c r="C58" s="49">
        <v>3654950</v>
      </c>
      <c r="D58" s="49">
        <v>23447901</v>
      </c>
      <c r="E58" s="50">
        <f>VLOOKUP($A58,'Data shares'!$C:$FA,154)*100</f>
        <v>22.54</v>
      </c>
      <c r="F58" s="173">
        <f>C58/B58</f>
        <v>0.22061998746644026</v>
      </c>
    </row>
    <row r="59" spans="1:6" x14ac:dyDescent="0.25">
      <c r="A59" s="99" t="s">
        <v>601</v>
      </c>
      <c r="B59" s="49">
        <v>149256689</v>
      </c>
      <c r="C59" s="49">
        <v>35106925</v>
      </c>
      <c r="D59" s="49">
        <v>579085354</v>
      </c>
      <c r="E59" s="50">
        <f>VLOOKUP($A59,'Data shares'!$C:$FA,154)*100</f>
        <v>24.41</v>
      </c>
      <c r="F59" s="173">
        <f>C59/B59</f>
        <v>0.23521173647366653</v>
      </c>
    </row>
    <row r="60" spans="1:6" x14ac:dyDescent="0.25">
      <c r="A60" s="99" t="s">
        <v>205</v>
      </c>
      <c r="B60" s="49">
        <v>25544698</v>
      </c>
      <c r="C60" s="49">
        <v>5422300</v>
      </c>
      <c r="D60" s="49">
        <v>263606423</v>
      </c>
      <c r="E60" s="50">
        <f>VLOOKUP($A60,'Data shares'!$C:$FA,154)*100</f>
        <v>21.8</v>
      </c>
      <c r="F60" s="173">
        <f>C60/B60</f>
        <v>0.21226714052364212</v>
      </c>
    </row>
    <row r="61" spans="1:6" x14ac:dyDescent="0.25">
      <c r="A61" s="99" t="s">
        <v>512</v>
      </c>
      <c r="B61" s="49">
        <v>8593923</v>
      </c>
      <c r="C61" s="49">
        <v>3297250</v>
      </c>
      <c r="D61" s="49">
        <v>9885969</v>
      </c>
      <c r="E61" s="50">
        <f>VLOOKUP($A61,'Data shares'!$C:$FA,154)*100</f>
        <v>40.06</v>
      </c>
      <c r="F61" s="173">
        <f>C61/B61</f>
        <v>0.38367227632828454</v>
      </c>
    </row>
    <row r="62" spans="1:6" x14ac:dyDescent="0.25">
      <c r="A62" s="99" t="s">
        <v>207</v>
      </c>
      <c r="B62" s="49">
        <v>128335064</v>
      </c>
      <c r="C62" s="49">
        <v>64820250</v>
      </c>
      <c r="D62" s="49">
        <v>564878806</v>
      </c>
      <c r="E62" s="50">
        <f>VLOOKUP($A62,'Data shares'!$C:$FA,154)*100</f>
        <v>52.04</v>
      </c>
      <c r="F62" s="173">
        <f>C62/B62</f>
        <v>0.50508604569675519</v>
      </c>
    </row>
    <row r="63" spans="1:6" x14ac:dyDescent="0.25">
      <c r="A63" s="99" t="s">
        <v>584</v>
      </c>
      <c r="B63" s="49">
        <v>32987182</v>
      </c>
      <c r="C63" s="49">
        <v>8665200</v>
      </c>
      <c r="D63" s="49">
        <v>100095000</v>
      </c>
      <c r="E63" s="50">
        <f>VLOOKUP($A63,'Data shares'!$C:$FA,154)*100</f>
        <v>27.22</v>
      </c>
      <c r="F63" s="173">
        <f>C63/B63</f>
        <v>0.26268385095762348</v>
      </c>
    </row>
    <row r="64" spans="1:6" x14ac:dyDescent="0.25">
      <c r="A64" s="99" t="s">
        <v>208</v>
      </c>
      <c r="B64" s="49">
        <v>122013042</v>
      </c>
      <c r="C64" s="49">
        <v>24520625</v>
      </c>
      <c r="D64" s="49">
        <v>1814577127</v>
      </c>
      <c r="E64" s="50">
        <f>VLOOKUP($A64,'Data shares'!$C:$FA,154)*100</f>
        <v>20.72</v>
      </c>
      <c r="F64" s="173">
        <f>C64/B64</f>
        <v>0.20096724578016831</v>
      </c>
    </row>
    <row r="65" spans="1:6" x14ac:dyDescent="0.25">
      <c r="A65" s="99" t="s">
        <v>209</v>
      </c>
      <c r="B65" s="49">
        <v>27937459</v>
      </c>
      <c r="C65" s="49">
        <v>8016925</v>
      </c>
      <c r="D65" s="49">
        <v>178967755</v>
      </c>
      <c r="E65" s="50">
        <f>VLOOKUP($A65,'Data shares'!$C:$FA,154)*100</f>
        <v>29.349999999999998</v>
      </c>
      <c r="F65" s="173">
        <f>C65/B65</f>
        <v>0.28695970524735265</v>
      </c>
    </row>
    <row r="66" spans="1:6" x14ac:dyDescent="0.25">
      <c r="A66" s="99" t="s">
        <v>669</v>
      </c>
      <c r="B66" s="49">
        <v>1815984389</v>
      </c>
      <c r="C66" s="49">
        <v>359397125</v>
      </c>
      <c r="D66" s="49">
        <v>4762380</v>
      </c>
      <c r="E66" s="50">
        <f>VLOOKUP($A66,'Data shares'!$C:$FA,154)*100</f>
        <v>20.13</v>
      </c>
      <c r="F66" s="173">
        <f>C66/B66</f>
        <v>0.19790760712315794</v>
      </c>
    </row>
    <row r="67" spans="1:6" x14ac:dyDescent="0.25">
      <c r="A67" s="99" t="s">
        <v>211</v>
      </c>
      <c r="B67" s="49">
        <v>91809066</v>
      </c>
      <c r="C67" s="49">
        <v>59432400</v>
      </c>
      <c r="D67" s="49">
        <v>50833981</v>
      </c>
      <c r="E67" s="50">
        <f>VLOOKUP($A67,'Data shares'!$C:$FA,154)*100</f>
        <v>67.5</v>
      </c>
      <c r="F67" s="173">
        <f>C67/B67</f>
        <v>0.64734783381850325</v>
      </c>
    </row>
    <row r="68" spans="1:6" x14ac:dyDescent="0.25">
      <c r="A68" s="99" t="s">
        <v>212</v>
      </c>
      <c r="B68" s="49">
        <v>486567856</v>
      </c>
      <c r="C68" s="49">
        <v>186815000</v>
      </c>
      <c r="D68" s="49">
        <v>89501464</v>
      </c>
      <c r="E68" s="50">
        <f>VLOOKUP($A68,'Data shares'!$C:$FA,154)*100</f>
        <v>39.42</v>
      </c>
      <c r="F68" s="173">
        <f>C68/B68</f>
        <v>0.38394439274262293</v>
      </c>
    </row>
    <row r="69" spans="1:6" x14ac:dyDescent="0.25">
      <c r="A69" s="99" t="s">
        <v>679</v>
      </c>
      <c r="B69" s="49">
        <v>103932806</v>
      </c>
      <c r="C69" s="49">
        <v>17232900</v>
      </c>
      <c r="D69" s="49">
        <v>21452008</v>
      </c>
      <c r="E69" s="50">
        <f>VLOOKUP($A69,'Data shares'!$C:$FA,154)*100</f>
        <v>17.130000000000003</v>
      </c>
      <c r="F69" s="173">
        <f>C69/B69</f>
        <v>0.16580808950736883</v>
      </c>
    </row>
    <row r="70" spans="1:6" x14ac:dyDescent="0.25">
      <c r="A70" s="99" t="s">
        <v>213</v>
      </c>
      <c r="B70" s="49">
        <v>628470345</v>
      </c>
      <c r="C70" s="49">
        <v>174465900</v>
      </c>
      <c r="D70" s="49">
        <v>76642895</v>
      </c>
      <c r="E70" s="50">
        <f>VLOOKUP($A70,'Data shares'!$C:$FA,154)*100</f>
        <v>28.139999999999997</v>
      </c>
      <c r="F70" s="173">
        <f>C70/B70</f>
        <v>0.27760402919249916</v>
      </c>
    </row>
    <row r="71" spans="1:6" x14ac:dyDescent="0.25">
      <c r="A71" s="99" t="s">
        <v>214</v>
      </c>
      <c r="B71" s="49">
        <v>30113574</v>
      </c>
      <c r="C71" s="49">
        <v>13470750</v>
      </c>
      <c r="D71" s="49">
        <v>256482590</v>
      </c>
      <c r="E71" s="50">
        <f>VLOOKUP($A71,'Data shares'!$C:$FA,154)*100</f>
        <v>45.86</v>
      </c>
      <c r="F71" s="173">
        <f>C71/B71</f>
        <v>0.44733149243593601</v>
      </c>
    </row>
    <row r="72" spans="1:6" x14ac:dyDescent="0.25">
      <c r="A72" s="99" t="s">
        <v>632</v>
      </c>
      <c r="B72" s="49">
        <v>712939229</v>
      </c>
      <c r="C72" s="49">
        <v>291080700</v>
      </c>
      <c r="D72" s="49">
        <v>11638502</v>
      </c>
      <c r="E72" s="50">
        <f>VLOOKUP($A72,'Data shares'!$C:$FA,154)*100</f>
        <v>41.13</v>
      </c>
      <c r="F72" s="173">
        <f>C72/B72</f>
        <v>0.40828262516607849</v>
      </c>
    </row>
    <row r="73" spans="1:6" x14ac:dyDescent="0.25">
      <c r="A73" s="99" t="s">
        <v>217</v>
      </c>
      <c r="B73" s="49">
        <v>96028079</v>
      </c>
      <c r="C73" s="49">
        <v>12533000</v>
      </c>
      <c r="D73" s="49">
        <v>121306033</v>
      </c>
      <c r="E73" s="50">
        <f>VLOOKUP($A73,'Data shares'!$C:$FA,154)*100</f>
        <v>13.15</v>
      </c>
      <c r="F73" s="173">
        <f>C73/B73</f>
        <v>0.13051390937436122</v>
      </c>
    </row>
    <row r="74" spans="1:6" x14ac:dyDescent="0.25">
      <c r="A74" s="99" t="s">
        <v>218</v>
      </c>
      <c r="B74" s="49">
        <v>32110506</v>
      </c>
      <c r="C74" s="49">
        <v>13455475</v>
      </c>
      <c r="D74" s="49">
        <v>206526272</v>
      </c>
      <c r="E74" s="50">
        <f>VLOOKUP($A74,'Data shares'!$C:$FA,154)*100</f>
        <v>42.51</v>
      </c>
      <c r="F74" s="173">
        <f>C74/B74</f>
        <v>0.41903652966415417</v>
      </c>
    </row>
    <row r="75" spans="1:6" x14ac:dyDescent="0.25">
      <c r="A75" s="99" t="s">
        <v>492</v>
      </c>
      <c r="B75" s="49">
        <v>29688038</v>
      </c>
      <c r="C75" s="49">
        <v>16215300</v>
      </c>
      <c r="D75" s="49">
        <v>8159946</v>
      </c>
      <c r="E75" s="50">
        <f>VLOOKUP($A75,'Data shares'!$C:$FA,154)*100</f>
        <v>55.379999999999995</v>
      </c>
      <c r="F75" s="173">
        <f>C75/B75</f>
        <v>0.54618968084047859</v>
      </c>
    </row>
    <row r="76" spans="1:6" x14ac:dyDescent="0.25">
      <c r="A76" s="99" t="s">
        <v>219</v>
      </c>
      <c r="B76" s="49">
        <v>77028315</v>
      </c>
      <c r="C76" s="49">
        <v>16866500</v>
      </c>
      <c r="D76" s="49">
        <v>16266067</v>
      </c>
      <c r="E76" s="50">
        <f>VLOOKUP($A76,'Data shares'!$C:$FA,154)*100</f>
        <v>22.09</v>
      </c>
      <c r="F76" s="173">
        <f>C76/B76</f>
        <v>0.21896493516702267</v>
      </c>
    </row>
    <row r="77" spans="1:6" x14ac:dyDescent="0.25">
      <c r="A77" s="99" t="s">
        <v>513</v>
      </c>
      <c r="B77" s="49">
        <v>37934515</v>
      </c>
      <c r="C77" s="49">
        <v>24540450</v>
      </c>
      <c r="D77" s="49">
        <v>37816323</v>
      </c>
      <c r="E77" s="50">
        <f>VLOOKUP($A77,'Data shares'!$C:$FA,154)*100</f>
        <v>67.08</v>
      </c>
      <c r="F77" s="173">
        <f>C77/B77</f>
        <v>0.64691613956313931</v>
      </c>
    </row>
    <row r="78" spans="1:6" x14ac:dyDescent="0.25">
      <c r="A78" s="99" t="s">
        <v>220</v>
      </c>
      <c r="B78" s="49">
        <v>50845022</v>
      </c>
      <c r="C78" s="49">
        <v>13778500</v>
      </c>
      <c r="D78" s="49">
        <v>44274984</v>
      </c>
      <c r="E78" s="50">
        <f>VLOOKUP($A78,'Data shares'!$C:$FA,154)*100</f>
        <v>27.55</v>
      </c>
      <c r="F78" s="173">
        <f>C78/B78</f>
        <v>0.27099014727538123</v>
      </c>
    </row>
    <row r="79" spans="1:6" x14ac:dyDescent="0.25">
      <c r="A79" s="99" t="s">
        <v>222</v>
      </c>
      <c r="B79" s="49">
        <v>211800872</v>
      </c>
      <c r="C79" s="49">
        <v>33784100</v>
      </c>
      <c r="D79" s="49">
        <v>134884086</v>
      </c>
      <c r="E79" s="50">
        <f>VLOOKUP($A79,'Data shares'!$C:$FA,154)*100</f>
        <v>16.350000000000001</v>
      </c>
      <c r="F79" s="173">
        <f>C79/B79</f>
        <v>0.15950878615834971</v>
      </c>
    </row>
    <row r="80" spans="1:6" x14ac:dyDescent="0.25">
      <c r="A80" s="99" t="s">
        <v>475</v>
      </c>
      <c r="B80" s="49">
        <v>20345944</v>
      </c>
      <c r="C80" s="49">
        <v>4125750</v>
      </c>
      <c r="D80" s="49">
        <v>64423956</v>
      </c>
      <c r="E80" s="50">
        <f>VLOOKUP($A80,'Data shares'!$C:$FA,154)*100</f>
        <v>20.79</v>
      </c>
      <c r="F80" s="173">
        <f>C80/B80</f>
        <v>0.20277997422975311</v>
      </c>
    </row>
    <row r="81" spans="1:6" x14ac:dyDescent="0.25">
      <c r="A81" s="99" t="s">
        <v>224</v>
      </c>
      <c r="B81" s="49">
        <v>1327901982</v>
      </c>
      <c r="C81" s="49">
        <v>146511750</v>
      </c>
      <c r="D81" s="49">
        <v>242361229</v>
      </c>
      <c r="E81" s="50">
        <f>VLOOKUP($A81,'Data shares'!$C:$FA,154)*100</f>
        <v>11.21</v>
      </c>
      <c r="F81" s="173">
        <f>C81/B81</f>
        <v>0.11033325650989201</v>
      </c>
    </row>
    <row r="82" spans="1:6" x14ac:dyDescent="0.25">
      <c r="A82" s="99" t="s">
        <v>225</v>
      </c>
      <c r="B82" s="49">
        <v>214162344</v>
      </c>
      <c r="C82" s="49">
        <v>47232900</v>
      </c>
      <c r="D82" s="49">
        <v>159683698</v>
      </c>
      <c r="E82" s="50">
        <f>VLOOKUP($A82,'Data shares'!$C:$FA,154)*100</f>
        <v>22.85</v>
      </c>
      <c r="F82" s="173">
        <f>C82/B82</f>
        <v>0.22054717518407438</v>
      </c>
    </row>
    <row r="83" spans="1:6" x14ac:dyDescent="0.25">
      <c r="A83" s="99" t="s">
        <v>226</v>
      </c>
      <c r="B83" s="49">
        <v>26105505</v>
      </c>
      <c r="C83" s="49">
        <v>15472800</v>
      </c>
      <c r="D83" s="49">
        <v>11118199</v>
      </c>
      <c r="E83" s="50">
        <f>VLOOKUP($A83,'Data shares'!$C:$FA,154)*100</f>
        <v>62.5</v>
      </c>
      <c r="F83" s="173">
        <f>C83/B83</f>
        <v>0.59270257365256873</v>
      </c>
    </row>
    <row r="84" spans="1:6" x14ac:dyDescent="0.25">
      <c r="A84" s="99" t="s">
        <v>577</v>
      </c>
      <c r="B84" s="49">
        <v>197306132</v>
      </c>
      <c r="C84" s="49">
        <v>143009400</v>
      </c>
      <c r="D84" s="49">
        <v>290447407</v>
      </c>
      <c r="E84" s="50">
        <f>VLOOKUP($A84,'Data shares'!$C:$FA,154)*100</f>
        <v>73.350000000000009</v>
      </c>
      <c r="F84" s="173">
        <f>C84/B84</f>
        <v>0.72480970839770964</v>
      </c>
    </row>
    <row r="85" spans="1:6" x14ac:dyDescent="0.25">
      <c r="A85" s="99" t="s">
        <v>228</v>
      </c>
      <c r="B85" s="49">
        <v>291718772</v>
      </c>
      <c r="C85" s="49">
        <v>81858000</v>
      </c>
      <c r="D85" s="49">
        <v>408027660</v>
      </c>
      <c r="E85" s="50">
        <f>VLOOKUP($A85,'Data shares'!$C:$FA,154)*100</f>
        <v>28.849999999999998</v>
      </c>
      <c r="F85" s="173">
        <f>C85/B85</f>
        <v>0.28060587064311376</v>
      </c>
    </row>
    <row r="86" spans="1:6" x14ac:dyDescent="0.25">
      <c r="A86" s="99" t="s">
        <v>229</v>
      </c>
      <c r="B86" s="49">
        <v>191910891</v>
      </c>
      <c r="C86" s="49">
        <v>82423575</v>
      </c>
      <c r="D86" s="49">
        <v>76179695</v>
      </c>
      <c r="E86" s="50">
        <f>VLOOKUP($A86,'Data shares'!$C:$FA,154)*100</f>
        <v>43.61</v>
      </c>
      <c r="F86" s="173">
        <f>C86/B86</f>
        <v>0.42948878289559916</v>
      </c>
    </row>
    <row r="87" spans="1:6" x14ac:dyDescent="0.25">
      <c r="A87" s="99" t="s">
        <v>230</v>
      </c>
      <c r="B87" s="49">
        <v>179035680</v>
      </c>
      <c r="C87" s="49">
        <v>28791600</v>
      </c>
      <c r="D87" s="49">
        <v>121580965</v>
      </c>
      <c r="E87" s="50">
        <f>VLOOKUP($A87,'Data shares'!$C:$FA,154)*100</f>
        <v>16.59</v>
      </c>
      <c r="F87" s="173">
        <f>C87/B87</f>
        <v>0.16081487220871282</v>
      </c>
    </row>
    <row r="88" spans="1:6" x14ac:dyDescent="0.25">
      <c r="A88" s="99" t="s">
        <v>670</v>
      </c>
      <c r="B88" s="49">
        <v>322494116</v>
      </c>
      <c r="C88" s="49">
        <v>45105725</v>
      </c>
      <c r="D88" s="49">
        <v>948263976</v>
      </c>
      <c r="E88" s="50">
        <f>VLOOKUP($A88,'Data shares'!$C:$FA,154)*100</f>
        <v>14.26</v>
      </c>
      <c r="F88" s="173">
        <f>C88/B88</f>
        <v>0.13986526501463364</v>
      </c>
    </row>
    <row r="89" spans="1:6" x14ac:dyDescent="0.25">
      <c r="A89" s="99" t="s">
        <v>609</v>
      </c>
      <c r="B89" s="49">
        <v>100095000</v>
      </c>
      <c r="C89" s="49">
        <v>57589575</v>
      </c>
      <c r="D89" s="49">
        <v>562142812</v>
      </c>
      <c r="E89" s="50">
        <f>VLOOKUP($A89,'Data shares'!$C:$FA,154)*100</f>
        <v>58.589999999999996</v>
      </c>
      <c r="F89" s="173">
        <f>C89/B89</f>
        <v>0.57534916829012439</v>
      </c>
    </row>
    <row r="90" spans="1:6" x14ac:dyDescent="0.25">
      <c r="A90" s="99" t="s">
        <v>232</v>
      </c>
      <c r="B90" s="49">
        <v>1159570344</v>
      </c>
      <c r="C90" s="49">
        <v>143134600</v>
      </c>
      <c r="D90" s="49">
        <v>127258876</v>
      </c>
      <c r="E90" s="50">
        <f>VLOOKUP($A90,'Data shares'!$C:$FA,154)*100</f>
        <v>12.47</v>
      </c>
      <c r="F90" s="173">
        <f>C90/B90</f>
        <v>0.12343761699376472</v>
      </c>
    </row>
    <row r="91" spans="1:6" x14ac:dyDescent="0.25">
      <c r="A91" s="99" t="s">
        <v>472</v>
      </c>
      <c r="B91" s="49">
        <v>48215701</v>
      </c>
      <c r="C91" s="49">
        <v>6316700</v>
      </c>
      <c r="D91" s="49">
        <v>268798007</v>
      </c>
      <c r="E91" s="50">
        <f>VLOOKUP($A91,'Data shares'!$C:$FA,154)*100</f>
        <v>13.16</v>
      </c>
      <c r="F91" s="173">
        <f>C91/B91</f>
        <v>0.13100919138352879</v>
      </c>
    </row>
    <row r="92" spans="1:6" x14ac:dyDescent="0.25">
      <c r="A92" s="99" t="s">
        <v>233</v>
      </c>
      <c r="B92" s="49">
        <v>78208959</v>
      </c>
      <c r="C92" s="49">
        <v>17678600</v>
      </c>
      <c r="D92" s="49">
        <v>127569096</v>
      </c>
      <c r="E92" s="50">
        <f>VLOOKUP($A92,'Data shares'!$C:$FA,154)*100</f>
        <v>22.759999999999998</v>
      </c>
      <c r="F92" s="173">
        <f>C92/B92</f>
        <v>0.22604315702501551</v>
      </c>
    </row>
    <row r="93" spans="1:6" x14ac:dyDescent="0.25">
      <c r="A93" s="99" t="s">
        <v>234</v>
      </c>
      <c r="B93" s="49">
        <v>16128051291</v>
      </c>
      <c r="C93" s="49">
        <v>7564699575</v>
      </c>
      <c r="D93" s="49">
        <v>25086000</v>
      </c>
      <c r="E93" s="50">
        <f>VLOOKUP($A93,'Data shares'!$C:$FA,154)*100</f>
        <v>47.39</v>
      </c>
      <c r="F93" s="173">
        <f>C93/B93</f>
        <v>0.46903990063705708</v>
      </c>
    </row>
    <row r="94" spans="1:6" x14ac:dyDescent="0.25">
      <c r="A94" s="99" t="s">
        <v>235</v>
      </c>
      <c r="B94" s="49">
        <v>1466865171</v>
      </c>
      <c r="C94" s="49">
        <v>584436300</v>
      </c>
      <c r="D94" s="49">
        <v>22129978</v>
      </c>
      <c r="E94" s="50">
        <f>VLOOKUP($A94,'Data shares'!$C:$FA,154)*100</f>
        <v>40.07</v>
      </c>
      <c r="F94" s="173">
        <f>C94/B94</f>
        <v>0.39842537102546011</v>
      </c>
    </row>
    <row r="95" spans="1:6" x14ac:dyDescent="0.25">
      <c r="A95" s="99" t="s">
        <v>514</v>
      </c>
      <c r="B95" s="49">
        <v>177860058</v>
      </c>
      <c r="C95" s="49">
        <v>118305000</v>
      </c>
      <c r="D95" s="49">
        <v>60081955</v>
      </c>
      <c r="E95" s="50">
        <f>VLOOKUP($A95,'Data shares'!$C:$FA,154)*100</f>
        <v>68.95</v>
      </c>
      <c r="F95" s="173">
        <f>C95/B95</f>
        <v>0.66515777252248509</v>
      </c>
    </row>
    <row r="96" spans="1:6" x14ac:dyDescent="0.25">
      <c r="A96" s="99" t="s">
        <v>236</v>
      </c>
      <c r="B96" s="49">
        <v>154000160</v>
      </c>
      <c r="C96" s="49">
        <v>32958750</v>
      </c>
      <c r="D96" s="49">
        <v>114117893</v>
      </c>
      <c r="E96" s="50">
        <f>VLOOKUP($A96,'Data shares'!$C:$FA,154)*100</f>
        <v>21.67</v>
      </c>
      <c r="F96" s="173">
        <f>C96/B96</f>
        <v>0.21401763478687294</v>
      </c>
    </row>
    <row r="97" spans="1:6" x14ac:dyDescent="0.25">
      <c r="A97" s="99" t="s">
        <v>668</v>
      </c>
      <c r="B97" s="49">
        <v>63851160</v>
      </c>
      <c r="C97" s="49">
        <v>21514350</v>
      </c>
      <c r="D97" s="49">
        <v>123755903</v>
      </c>
      <c r="E97" s="50">
        <f>VLOOKUP($A97,'Data shares'!$C:$FA,154)*100</f>
        <v>34.11</v>
      </c>
      <c r="F97" s="173">
        <f>C97/B97</f>
        <v>0.33694532722663145</v>
      </c>
    </row>
    <row r="98" spans="1:6" x14ac:dyDescent="0.25">
      <c r="A98" s="99" t="s">
        <v>501</v>
      </c>
      <c r="B98" s="49">
        <v>176172833</v>
      </c>
      <c r="C98" s="49">
        <v>41099000</v>
      </c>
      <c r="D98" s="49">
        <v>148272870</v>
      </c>
      <c r="E98" s="50">
        <f>VLOOKUP($A98,'Data shares'!$C:$FA,154)*100</f>
        <v>23.78</v>
      </c>
      <c r="F98" s="173">
        <f>C98/B98</f>
        <v>0.23328795535688523</v>
      </c>
    </row>
    <row r="99" spans="1:6" x14ac:dyDescent="0.25">
      <c r="A99" s="99" t="s">
        <v>579</v>
      </c>
      <c r="B99" s="49">
        <v>70482876</v>
      </c>
      <c r="C99" s="49">
        <v>11834000</v>
      </c>
      <c r="D99" s="49">
        <v>39789217</v>
      </c>
      <c r="E99" s="50">
        <f>VLOOKUP($A99,'Data shares'!$C:$FA,154)*100</f>
        <v>17.010000000000002</v>
      </c>
      <c r="F99" s="173">
        <f>C99/B99</f>
        <v>0.16789893760861857</v>
      </c>
    </row>
    <row r="100" spans="1:6" x14ac:dyDescent="0.25">
      <c r="A100" s="99" t="s">
        <v>238</v>
      </c>
      <c r="B100" s="49">
        <v>43643814</v>
      </c>
      <c r="C100" s="49">
        <v>10550700</v>
      </c>
      <c r="D100" s="49">
        <v>37374767</v>
      </c>
      <c r="E100" s="50">
        <f>VLOOKUP($A100,'Data shares'!$C:$FA,154)*100</f>
        <v>24.58</v>
      </c>
      <c r="F100" s="173">
        <f>C100/B100</f>
        <v>0.24174559996062672</v>
      </c>
    </row>
    <row r="101" spans="1:6" x14ac:dyDescent="0.25">
      <c r="A101" s="99" t="s">
        <v>239</v>
      </c>
      <c r="B101" s="49">
        <v>125074379</v>
      </c>
      <c r="C101" s="49">
        <v>80084900</v>
      </c>
      <c r="D101" s="49">
        <v>36328758</v>
      </c>
      <c r="E101" s="50">
        <f>VLOOKUP($A101,'Data shares'!$C:$FA,154)*100</f>
        <v>65.22</v>
      </c>
      <c r="F101" s="173">
        <f>C101/B101</f>
        <v>0.64029820208021981</v>
      </c>
    </row>
    <row r="102" spans="1:6" x14ac:dyDescent="0.25">
      <c r="A102" s="99" t="s">
        <v>473</v>
      </c>
      <c r="B102" s="49">
        <v>263607438</v>
      </c>
      <c r="C102" s="49">
        <v>116521400</v>
      </c>
      <c r="D102" s="49">
        <v>16566722</v>
      </c>
      <c r="E102" s="50">
        <f>VLOOKUP($A102,'Data shares'!$C:$FA,154)*100</f>
        <v>44.64</v>
      </c>
      <c r="F102" s="173">
        <f>C102/B102</f>
        <v>0.4420262223405092</v>
      </c>
    </row>
    <row r="103" spans="1:6" x14ac:dyDescent="0.25">
      <c r="A103" s="99" t="s">
        <v>240</v>
      </c>
      <c r="B103" s="49">
        <v>632016998</v>
      </c>
      <c r="C103" s="49">
        <v>122083200</v>
      </c>
      <c r="D103" s="49">
        <v>67819703</v>
      </c>
      <c r="E103" s="50">
        <f>VLOOKUP($A103,'Data shares'!$C:$FA,154)*100</f>
        <v>19.939999999999998</v>
      </c>
      <c r="F103" s="173">
        <f>C103/B103</f>
        <v>0.1931644249859242</v>
      </c>
    </row>
    <row r="104" spans="1:6" x14ac:dyDescent="0.25">
      <c r="A104" s="99" t="s">
        <v>671</v>
      </c>
      <c r="B104" s="49">
        <v>183964271</v>
      </c>
      <c r="C104" s="49">
        <v>80965640</v>
      </c>
      <c r="D104" s="49">
        <v>177849950</v>
      </c>
      <c r="E104" s="50">
        <f>VLOOKUP($A104,'Data shares'!$C:$FA,154)*100</f>
        <v>45.739999999999995</v>
      </c>
      <c r="F104" s="173">
        <f>C104/B104</f>
        <v>0.44011611363382619</v>
      </c>
    </row>
    <row r="105" spans="1:6" x14ac:dyDescent="0.25">
      <c r="A105" s="99" t="s">
        <v>241</v>
      </c>
      <c r="B105" s="49">
        <v>1369807723</v>
      </c>
      <c r="C105" s="49">
        <v>157711125</v>
      </c>
      <c r="D105" s="49">
        <v>112299677</v>
      </c>
      <c r="E105" s="50">
        <f>VLOOKUP($A105,'Data shares'!$C:$FA,154)*100</f>
        <v>11.67</v>
      </c>
      <c r="F105" s="173">
        <f>C105/B105</f>
        <v>0.11513376830333436</v>
      </c>
    </row>
    <row r="106" spans="1:6" x14ac:dyDescent="0.25">
      <c r="A106" s="99" t="s">
        <v>595</v>
      </c>
      <c r="B106" s="49">
        <v>840388804</v>
      </c>
      <c r="C106" s="49">
        <v>113142425</v>
      </c>
      <c r="D106" s="49">
        <v>249446067</v>
      </c>
      <c r="E106" s="50">
        <f>VLOOKUP($A106,'Data shares'!$C:$FA,154)*100</f>
        <v>13.530000000000001</v>
      </c>
      <c r="F106" s="173">
        <f>C106/B106</f>
        <v>0.13463104751214652</v>
      </c>
    </row>
    <row r="107" spans="1:6" x14ac:dyDescent="0.25">
      <c r="A107" s="99" t="s">
        <v>490</v>
      </c>
      <c r="B107" s="49">
        <v>60165566</v>
      </c>
      <c r="C107" s="49">
        <v>30527875</v>
      </c>
      <c r="D107" s="49">
        <v>687763516</v>
      </c>
      <c r="E107" s="50">
        <f>VLOOKUP($A107,'Data shares'!$C:$FA,154)*100</f>
        <v>51.690000000000005</v>
      </c>
      <c r="F107" s="173">
        <f>C107/B107</f>
        <v>0.5073977863018857</v>
      </c>
    </row>
    <row r="108" spans="1:6" x14ac:dyDescent="0.25">
      <c r="A108" s="99" t="s">
        <v>666</v>
      </c>
      <c r="B108" s="49">
        <v>158681547</v>
      </c>
      <c r="C108" s="49">
        <v>67371600</v>
      </c>
      <c r="D108" s="49">
        <v>268960013</v>
      </c>
      <c r="E108" s="50">
        <f>VLOOKUP($A108,'Data shares'!$C:$FA,154)*100</f>
        <v>43.64</v>
      </c>
      <c r="F108" s="173">
        <f>C108/B108</f>
        <v>0.42457110655721048</v>
      </c>
    </row>
    <row r="109" spans="1:6" x14ac:dyDescent="0.25">
      <c r="A109" s="99" t="s">
        <v>593</v>
      </c>
      <c r="B109" s="49">
        <v>356413800</v>
      </c>
      <c r="C109" s="49">
        <v>96632250</v>
      </c>
      <c r="D109" s="49">
        <v>10730378</v>
      </c>
      <c r="E109" s="50">
        <f>VLOOKUP($A109,'Data shares'!$C:$FA,154)*100</f>
        <v>27.57</v>
      </c>
      <c r="F109" s="173">
        <f>C109/B109</f>
        <v>0.2711237612011656</v>
      </c>
    </row>
    <row r="110" spans="1:6" x14ac:dyDescent="0.25">
      <c r="A110" s="99" t="s">
        <v>242</v>
      </c>
      <c r="B110" s="49">
        <v>2502825682</v>
      </c>
      <c r="C110" s="49">
        <v>194641600</v>
      </c>
      <c r="D110" s="49">
        <v>20322651</v>
      </c>
      <c r="E110" s="50">
        <f>VLOOKUP($A110,'Data shares'!$C:$FA,154)*100</f>
        <v>7.9399999999999995</v>
      </c>
      <c r="F110" s="173">
        <f>C110/B110</f>
        <v>7.776874010836525E-2</v>
      </c>
    </row>
    <row r="111" spans="1:6" x14ac:dyDescent="0.25">
      <c r="A111" s="99" t="s">
        <v>243</v>
      </c>
      <c r="B111" s="49">
        <v>76274904</v>
      </c>
      <c r="C111" s="49">
        <v>21345625</v>
      </c>
      <c r="D111" s="49">
        <v>55985194</v>
      </c>
      <c r="E111" s="50">
        <f>VLOOKUP($A111,'Data shares'!$C:$FA,154)*100</f>
        <v>28.42</v>
      </c>
      <c r="F111" s="173">
        <f>C111/B111</f>
        <v>0.27985122078947489</v>
      </c>
    </row>
    <row r="112" spans="1:6" x14ac:dyDescent="0.25">
      <c r="A112" s="99" t="s">
        <v>571</v>
      </c>
      <c r="B112" s="49">
        <v>671850851</v>
      </c>
      <c r="C112" s="49">
        <v>213445800</v>
      </c>
      <c r="D112" s="49">
        <v>162442174</v>
      </c>
      <c r="E112" s="50">
        <f>VLOOKUP($A112,'Data shares'!$C:$FA,154)*100</f>
        <v>32.269999999999996</v>
      </c>
      <c r="F112" s="173">
        <f>C112/B112</f>
        <v>0.31769819102305491</v>
      </c>
    </row>
    <row r="113" spans="1:6" x14ac:dyDescent="0.25">
      <c r="A113" s="99" t="s">
        <v>582</v>
      </c>
      <c r="B113" s="49">
        <v>64072344</v>
      </c>
      <c r="C113" s="49">
        <v>7298100</v>
      </c>
      <c r="D113" s="49">
        <v>23823080</v>
      </c>
      <c r="E113" s="50">
        <f>VLOOKUP($A113,'Data shares'!$C:$FA,154)*100</f>
        <v>11.65</v>
      </c>
      <c r="F113" s="173">
        <f>C113/B113</f>
        <v>0.11390405820021193</v>
      </c>
    </row>
    <row r="114" spans="1:6" x14ac:dyDescent="0.25">
      <c r="A114" s="99" t="s">
        <v>581</v>
      </c>
      <c r="B114" s="49">
        <v>106938341</v>
      </c>
      <c r="C114" s="49">
        <v>49586000</v>
      </c>
      <c r="D114" s="49">
        <v>125014099</v>
      </c>
      <c r="E114" s="50">
        <f>VLOOKUP($A114,'Data shares'!$C:$FA,154)*100</f>
        <v>46.94</v>
      </c>
      <c r="F114" s="173">
        <f>C114/B114</f>
        <v>0.46368776190384325</v>
      </c>
    </row>
    <row r="115" spans="1:6" x14ac:dyDescent="0.25">
      <c r="A115" s="99" t="s">
        <v>244</v>
      </c>
      <c r="B115" s="49">
        <v>266333238</v>
      </c>
      <c r="C115" s="49">
        <v>55568700</v>
      </c>
      <c r="D115" s="49">
        <v>70482876</v>
      </c>
      <c r="E115" s="50">
        <f>VLOOKUP($A115,'Data shares'!$C:$FA,154)*100</f>
        <v>21.23</v>
      </c>
      <c r="F115" s="173">
        <f>C115/B115</f>
        <v>0.20864350397001519</v>
      </c>
    </row>
    <row r="116" spans="1:6" x14ac:dyDescent="0.25">
      <c r="A116" s="99" t="s">
        <v>245</v>
      </c>
      <c r="B116" s="49">
        <v>78379986</v>
      </c>
      <c r="C116" s="49">
        <v>36848750</v>
      </c>
      <c r="D116" s="49">
        <v>191910891</v>
      </c>
      <c r="E116" s="50">
        <f>VLOOKUP($A116,'Data shares'!$C:$FA,154)*100</f>
        <v>47.82</v>
      </c>
      <c r="F116" s="173">
        <f>C116/B116</f>
        <v>0.47012958129387777</v>
      </c>
    </row>
    <row r="117" spans="1:6" x14ac:dyDescent="0.25">
      <c r="A117" s="99" t="s">
        <v>583</v>
      </c>
      <c r="B117" s="49">
        <v>76736012</v>
      </c>
      <c r="C117" s="49">
        <v>69509475</v>
      </c>
      <c r="D117" s="49">
        <v>121575211</v>
      </c>
      <c r="E117" s="50">
        <f>VLOOKUP($A117,'Data shares'!$C:$FA,154)*100</f>
        <v>94.67</v>
      </c>
      <c r="F117" s="173">
        <f>C117/B117</f>
        <v>0.9058260025292949</v>
      </c>
    </row>
    <row r="118" spans="1:6" x14ac:dyDescent="0.25">
      <c r="A118" s="99" t="s">
        <v>678</v>
      </c>
      <c r="B118" s="49">
        <v>6223712</v>
      </c>
      <c r="C118" s="49">
        <v>2336200</v>
      </c>
      <c r="D118" s="49">
        <v>6270823064</v>
      </c>
      <c r="E118" s="50">
        <f>VLOOKUP($A118,'Data shares'!$C:$FA,154)*100</f>
        <v>38.690000000000005</v>
      </c>
      <c r="F118" s="173">
        <f>C118/B118</f>
        <v>0.37537083978178937</v>
      </c>
    </row>
    <row r="119" spans="1:6" x14ac:dyDescent="0.25">
      <c r="A119" s="99" t="s">
        <v>611</v>
      </c>
      <c r="B119" s="49">
        <v>12418320</v>
      </c>
      <c r="C119" s="49">
        <v>2010750</v>
      </c>
      <c r="D119" s="49">
        <v>32997182</v>
      </c>
      <c r="E119" s="50">
        <f>VLOOKUP($A119,'Data shares'!$C:$FA,154)*100</f>
        <v>16.439999999999998</v>
      </c>
      <c r="F119" s="173">
        <f>C119/B119</f>
        <v>0.16191803722242623</v>
      </c>
    </row>
    <row r="120" spans="1:6" x14ac:dyDescent="0.25">
      <c r="A120" s="99" t="s">
        <v>685</v>
      </c>
      <c r="B120" s="49">
        <v>26548239</v>
      </c>
      <c r="C120" s="49">
        <v>3679650</v>
      </c>
      <c r="D120" s="49">
        <v>4859756</v>
      </c>
      <c r="E120" s="50">
        <f>VLOOKUP($A120,'Data shares'!$C:$FA,154)*100</f>
        <v>14.030000000000001</v>
      </c>
      <c r="F120" s="173">
        <f>C120/B120</f>
        <v>0.13860241351601513</v>
      </c>
    </row>
    <row r="121" spans="1:6" x14ac:dyDescent="0.25">
      <c r="A121" s="99" t="s">
        <v>246</v>
      </c>
      <c r="B121" s="49">
        <v>294735983</v>
      </c>
      <c r="C121" s="49">
        <v>46446000</v>
      </c>
      <c r="D121" s="49">
        <v>46126252</v>
      </c>
      <c r="E121" s="50">
        <f>VLOOKUP($A121,'Data shares'!$C:$FA,154)*100</f>
        <v>15.989999999999998</v>
      </c>
      <c r="F121" s="173">
        <f>C121/B121</f>
        <v>0.15758510218957555</v>
      </c>
    </row>
    <row r="122" spans="1:6" x14ac:dyDescent="0.25">
      <c r="A122" s="99" t="s">
        <v>578</v>
      </c>
      <c r="B122" s="49">
        <v>32757726</v>
      </c>
      <c r="C122" s="49">
        <v>9548400</v>
      </c>
      <c r="D122" s="49">
        <v>204305778</v>
      </c>
      <c r="E122" s="50">
        <f>VLOOKUP($A122,'Data shares'!$C:$FA,154)*100</f>
        <v>29.64</v>
      </c>
      <c r="F122" s="173">
        <f>C122/B122</f>
        <v>0.29148543461166992</v>
      </c>
    </row>
    <row r="123" spans="1:6" x14ac:dyDescent="0.25">
      <c r="A123" s="99" t="s">
        <v>535</v>
      </c>
      <c r="B123" s="49">
        <v>78172636</v>
      </c>
      <c r="C123" s="49">
        <v>38715800</v>
      </c>
      <c r="D123" s="49">
        <v>32126257</v>
      </c>
      <c r="E123" s="50">
        <f>VLOOKUP($A123,'Data shares'!$C:$FA,154)*100</f>
        <v>50.949999999999996</v>
      </c>
      <c r="F123" s="173">
        <f>C123/B123</f>
        <v>0.49526025961309528</v>
      </c>
    </row>
    <row r="124" spans="1:6" x14ac:dyDescent="0.25">
      <c r="A124" s="99" t="s">
        <v>248</v>
      </c>
      <c r="B124" s="49">
        <v>60244101</v>
      </c>
      <c r="C124" s="49">
        <v>51253000</v>
      </c>
      <c r="D124" s="49">
        <v>39206614</v>
      </c>
      <c r="E124" s="50">
        <f>VLOOKUP($A124,'Data shares'!$C:$FA,154)*100</f>
        <v>86.15</v>
      </c>
      <c r="F124" s="173">
        <f>C124/B124</f>
        <v>0.85075549554636065</v>
      </c>
    </row>
    <row r="125" spans="1:6" x14ac:dyDescent="0.25">
      <c r="A125" s="99" t="s">
        <v>608</v>
      </c>
      <c r="B125" s="49">
        <v>44274984</v>
      </c>
      <c r="C125" s="49">
        <v>15695400</v>
      </c>
      <c r="D125" s="49">
        <v>59744408</v>
      </c>
      <c r="E125" s="50">
        <f>VLOOKUP($A125,'Data shares'!$C:$FA,154)*100</f>
        <v>36.61</v>
      </c>
      <c r="F125" s="173">
        <f>C125/B125</f>
        <v>0.35449815182316047</v>
      </c>
    </row>
    <row r="126" spans="1:6" x14ac:dyDescent="0.25">
      <c r="A126" s="99" t="s">
        <v>589</v>
      </c>
      <c r="B126" s="49">
        <v>56080191</v>
      </c>
      <c r="C126" s="49">
        <v>12118500</v>
      </c>
      <c r="D126" s="49">
        <v>291659008</v>
      </c>
      <c r="E126" s="50">
        <f>VLOOKUP($A126,'Data shares'!$C:$FA,154)*100</f>
        <v>21.8</v>
      </c>
      <c r="F126" s="173">
        <f>C126/B126</f>
        <v>0.21609234533455851</v>
      </c>
    </row>
    <row r="127" spans="1:6" x14ac:dyDescent="0.25">
      <c r="A127" s="99" t="s">
        <v>249</v>
      </c>
      <c r="B127" s="49">
        <v>272014607</v>
      </c>
      <c r="C127" s="49">
        <v>24184825</v>
      </c>
      <c r="D127" s="49">
        <v>16128051291</v>
      </c>
      <c r="E127" s="50">
        <f>VLOOKUP($A127,'Data shares'!$C:$FA,154)*100</f>
        <v>9.0499999999999989</v>
      </c>
      <c r="F127" s="173">
        <f>C127/B127</f>
        <v>8.8910023129750534E-2</v>
      </c>
    </row>
    <row r="128" spans="1:6" x14ac:dyDescent="0.25">
      <c r="A128" s="99" t="s">
        <v>565</v>
      </c>
      <c r="B128" s="49">
        <v>169036274</v>
      </c>
      <c r="C128" s="49">
        <v>101943314</v>
      </c>
      <c r="D128" s="49">
        <v>75417775</v>
      </c>
      <c r="E128" s="50">
        <f>VLOOKUP($A128,'Data shares'!$C:$FA,154)*100</f>
        <v>62.260000000000005</v>
      </c>
      <c r="F128" s="173">
        <f>C128/B128</f>
        <v>0.60308543005390669</v>
      </c>
    </row>
    <row r="129" spans="1:6" x14ac:dyDescent="0.25">
      <c r="A129" s="99" t="s">
        <v>561</v>
      </c>
      <c r="B129" s="49">
        <v>18631884</v>
      </c>
      <c r="C129" s="49">
        <v>4116450</v>
      </c>
      <c r="D129" s="49">
        <v>57287573</v>
      </c>
      <c r="E129" s="50">
        <f>VLOOKUP($A129,'Data shares'!$C:$FA,154)*100</f>
        <v>22.689999999999998</v>
      </c>
      <c r="F129" s="173">
        <f>C129/B129</f>
        <v>0.22093578942419351</v>
      </c>
    </row>
    <row r="130" spans="1:6" x14ac:dyDescent="0.25">
      <c r="A130" s="99" t="s">
        <v>250</v>
      </c>
      <c r="B130" s="49">
        <v>48501721</v>
      </c>
      <c r="C130" s="49">
        <v>17397800</v>
      </c>
      <c r="D130" s="49">
        <v>31728204</v>
      </c>
      <c r="E130" s="50">
        <f>VLOOKUP($A130,'Data shares'!$C:$FA,154)*100</f>
        <v>36.35</v>
      </c>
      <c r="F130" s="173">
        <f>C130/B130</f>
        <v>0.35870479729987315</v>
      </c>
    </row>
    <row r="131" spans="1:6" x14ac:dyDescent="0.25">
      <c r="A131" s="99" t="s">
        <v>251</v>
      </c>
      <c r="B131" s="49">
        <v>190812745</v>
      </c>
      <c r="C131" s="49">
        <v>31953800</v>
      </c>
      <c r="D131" s="49">
        <v>65482129</v>
      </c>
      <c r="E131" s="50">
        <f>VLOOKUP($A131,'Data shares'!$C:$FA,154)*100</f>
        <v>17.059999999999999</v>
      </c>
      <c r="F131" s="173">
        <f>C131/B131</f>
        <v>0.16746156028518955</v>
      </c>
    </row>
    <row r="132" spans="1:6" x14ac:dyDescent="0.25">
      <c r="A132" s="99" t="s">
        <v>253</v>
      </c>
      <c r="B132" s="49">
        <v>109606743</v>
      </c>
      <c r="C132" s="49">
        <v>59202000</v>
      </c>
      <c r="D132" s="49">
        <v>12418320</v>
      </c>
      <c r="E132" s="50">
        <f>VLOOKUP($A132,'Data shares'!$C:$FA,154)*100</f>
        <v>56.100000000000009</v>
      </c>
      <c r="F132" s="173">
        <f>C132/B132</f>
        <v>0.54013100270664915</v>
      </c>
    </row>
    <row r="133" spans="1:6" x14ac:dyDescent="0.25">
      <c r="A133" s="99" t="s">
        <v>674</v>
      </c>
      <c r="B133" s="49">
        <v>22553627</v>
      </c>
      <c r="C133" s="49">
        <v>2992275</v>
      </c>
      <c r="D133" s="49"/>
      <c r="E133" s="50"/>
      <c r="F133" s="173"/>
    </row>
    <row r="134" spans="1:6" x14ac:dyDescent="0.25">
      <c r="A134" s="99" t="s">
        <v>254</v>
      </c>
      <c r="B134" s="49">
        <v>105878039</v>
      </c>
      <c r="C134" s="49">
        <v>35412000</v>
      </c>
      <c r="D134" s="49">
        <v>905143907</v>
      </c>
      <c r="E134" s="50">
        <f>VLOOKUP($A134,'Data shares'!$C:$FA,154)*100</f>
        <v>34.270000000000003</v>
      </c>
      <c r="F134" s="173">
        <f>C134/B134</f>
        <v>0.33446029350808054</v>
      </c>
    </row>
    <row r="135" spans="1:6" x14ac:dyDescent="0.25">
      <c r="A135" s="99" t="s">
        <v>255</v>
      </c>
      <c r="B135" s="49">
        <v>26231219</v>
      </c>
      <c r="C135" s="49">
        <v>12362750</v>
      </c>
      <c r="D135" s="49">
        <v>372635498</v>
      </c>
      <c r="E135" s="50">
        <f>VLOOKUP($A135,'Data shares'!$C:$FA,154)*100</f>
        <v>49.99</v>
      </c>
      <c r="F135" s="173">
        <f>C135/B135</f>
        <v>0.47129910356053223</v>
      </c>
    </row>
    <row r="136" spans="1:6" x14ac:dyDescent="0.25">
      <c r="A136" s="99" t="s">
        <v>604</v>
      </c>
      <c r="B136" s="49">
        <v>148273828</v>
      </c>
      <c r="C136" s="49">
        <v>19267500</v>
      </c>
      <c r="D136" s="49">
        <v>309154116</v>
      </c>
      <c r="E136" s="50">
        <f>VLOOKUP($A136,'Data shares'!$C:$FA,154)*100</f>
        <v>13.15</v>
      </c>
      <c r="F136" s="173">
        <f>C136/B136</f>
        <v>0.12994538726011715</v>
      </c>
    </row>
    <row r="137" spans="1:6" x14ac:dyDescent="0.25">
      <c r="A137" s="99" t="s">
        <v>675</v>
      </c>
      <c r="B137" s="49">
        <v>15152299</v>
      </c>
      <c r="C137" s="49">
        <v>6351800</v>
      </c>
      <c r="D137" s="49">
        <v>32698512</v>
      </c>
      <c r="E137" s="50">
        <f>VLOOKUP($A137,'Data shares'!$C:$FA,154)*100</f>
        <v>42.74</v>
      </c>
      <c r="F137" s="173">
        <f>C137/B137</f>
        <v>0.4191971132565428</v>
      </c>
    </row>
    <row r="138" spans="1:6" x14ac:dyDescent="0.25">
      <c r="A138" s="99" t="s">
        <v>517</v>
      </c>
      <c r="B138" s="49">
        <v>10180563</v>
      </c>
      <c r="C138" s="49">
        <v>5198500</v>
      </c>
      <c r="D138" s="49">
        <v>106935382</v>
      </c>
      <c r="E138" s="50">
        <f>VLOOKUP($A138,'Data shares'!$C:$FA,154)*100</f>
        <v>53.010000000000005</v>
      </c>
      <c r="F138" s="173">
        <f>C138/B138</f>
        <v>0.51062991310009087</v>
      </c>
    </row>
    <row r="139" spans="1:6" x14ac:dyDescent="0.25">
      <c r="A139" s="99" t="s">
        <v>257</v>
      </c>
      <c r="B139" s="49">
        <v>67819703</v>
      </c>
      <c r="C139" s="49">
        <v>8004000</v>
      </c>
      <c r="D139" s="49">
        <v>48034132</v>
      </c>
      <c r="E139" s="50"/>
      <c r="F139" s="173">
        <f>C139/B139</f>
        <v>0.11801880052467939</v>
      </c>
    </row>
    <row r="140" spans="1:6" x14ac:dyDescent="0.25">
      <c r="A140" s="99" t="s">
        <v>559</v>
      </c>
      <c r="B140" s="49">
        <v>1085045697</v>
      </c>
      <c r="C140" s="49">
        <v>242033250</v>
      </c>
      <c r="D140" s="49">
        <v>22523583</v>
      </c>
      <c r="E140" s="50">
        <f>VLOOKUP($A140,'Data shares'!$C:$FA,154)*100</f>
        <v>22.650000000000002</v>
      </c>
      <c r="F140" s="173">
        <f>C140/B140</f>
        <v>0.22306272507156905</v>
      </c>
    </row>
    <row r="141" spans="1:6" x14ac:dyDescent="0.25">
      <c r="A141" s="99" t="s">
        <v>487</v>
      </c>
      <c r="B141" s="49">
        <v>22789603</v>
      </c>
      <c r="C141" s="49">
        <v>5541800</v>
      </c>
      <c r="D141" s="49">
        <v>654977669</v>
      </c>
      <c r="E141" s="50">
        <f>VLOOKUP($A141,'Data shares'!$C:$FA,154)*100</f>
        <v>24.65</v>
      </c>
      <c r="F141" s="173">
        <f>C141/B141</f>
        <v>0.24317229220710865</v>
      </c>
    </row>
    <row r="142" spans="1:6" x14ac:dyDescent="0.25">
      <c r="A142" s="99" t="s">
        <v>262</v>
      </c>
      <c r="B142" s="49">
        <v>21400920</v>
      </c>
      <c r="C142" s="49">
        <v>12512225</v>
      </c>
      <c r="D142" s="49">
        <v>158681547</v>
      </c>
      <c r="E142" s="50">
        <f>VLOOKUP($A142,'Data shares'!$C:$FA,154)*100</f>
        <v>61.199999999999996</v>
      </c>
      <c r="F142" s="173">
        <f>C142/B142</f>
        <v>0.58465827637316525</v>
      </c>
    </row>
    <row r="143" spans="1:6" x14ac:dyDescent="0.25">
      <c r="A143" s="99" t="s">
        <v>263</v>
      </c>
      <c r="B143" s="49">
        <v>178967755</v>
      </c>
      <c r="C143" s="49">
        <v>111495000</v>
      </c>
      <c r="D143" s="49">
        <v>189248684</v>
      </c>
      <c r="E143" s="50">
        <f>VLOOKUP($A143,'Data shares'!$C:$FA,154)*100</f>
        <v>63.080000000000005</v>
      </c>
      <c r="F143" s="173">
        <f>C143/B143</f>
        <v>0.62298932005935925</v>
      </c>
    </row>
    <row r="144" spans="1:6" x14ac:dyDescent="0.25">
      <c r="A144" s="99" t="s">
        <v>264</v>
      </c>
      <c r="B144" s="49">
        <v>80707882</v>
      </c>
      <c r="C144" s="49">
        <v>15327000</v>
      </c>
      <c r="D144" s="49">
        <v>714371379</v>
      </c>
      <c r="E144" s="50">
        <f>VLOOKUP($A144,'Data shares'!$C:$FA,154)*100</f>
        <v>19.18</v>
      </c>
      <c r="F144" s="173">
        <f>C144/B144</f>
        <v>0.18990710225799259</v>
      </c>
    </row>
    <row r="145" spans="1:6" x14ac:dyDescent="0.25">
      <c r="A145" s="99" t="s">
        <v>550</v>
      </c>
      <c r="B145" s="49">
        <v>206526272</v>
      </c>
      <c r="C145" s="49">
        <v>75322000</v>
      </c>
      <c r="D145" s="49">
        <v>49292045</v>
      </c>
      <c r="E145" s="50">
        <f>VLOOKUP($A145,'Data shares'!$C:$FA,154)*100</f>
        <v>37.6</v>
      </c>
      <c r="F145" s="173">
        <f>C145/B145</f>
        <v>0.36470904776705598</v>
      </c>
    </row>
    <row r="146" spans="1:6" x14ac:dyDescent="0.25">
      <c r="A146" s="99" t="s">
        <v>592</v>
      </c>
      <c r="B146" s="49">
        <v>97811871</v>
      </c>
      <c r="C146" s="49">
        <v>27758700</v>
      </c>
      <c r="D146" s="49">
        <v>2702310</v>
      </c>
      <c r="E146" s="50">
        <f>VLOOKUP($A146,'Data shares'!$C:$FA,154)*100</f>
        <v>28.79</v>
      </c>
      <c r="F146" s="173">
        <f>C146/B146</f>
        <v>0.28379684097853519</v>
      </c>
    </row>
    <row r="147" spans="1:6" x14ac:dyDescent="0.25">
      <c r="A147" s="99" t="s">
        <v>265</v>
      </c>
      <c r="B147" s="49">
        <v>143602548</v>
      </c>
      <c r="C147" s="49">
        <v>29192500</v>
      </c>
      <c r="D147" s="49">
        <v>90791585</v>
      </c>
      <c r="E147" s="50">
        <f>VLOOKUP($A147,'Data shares'!$C:$FA,154)*100</f>
        <v>20.62</v>
      </c>
      <c r="F147" s="173">
        <f>C147/B147</f>
        <v>0.20328678290582977</v>
      </c>
    </row>
    <row r="148" spans="1:6" x14ac:dyDescent="0.25">
      <c r="A148" s="99" t="s">
        <v>586</v>
      </c>
      <c r="B148" s="49">
        <v>654977669</v>
      </c>
      <c r="C148" s="49">
        <v>86393600</v>
      </c>
      <c r="D148" s="49">
        <v>32988281</v>
      </c>
      <c r="E148" s="50">
        <f>VLOOKUP($A148,'Data shares'!$C:$FA,154)*100</f>
        <v>13.34</v>
      </c>
      <c r="F148" s="173">
        <f>C148/B148</f>
        <v>0.13190312294448622</v>
      </c>
    </row>
    <row r="149" spans="1:6" x14ac:dyDescent="0.25">
      <c r="A149" s="99" t="s">
        <v>267</v>
      </c>
      <c r="B149" s="49">
        <v>689383367</v>
      </c>
      <c r="C149" s="49">
        <v>480262500</v>
      </c>
      <c r="D149" s="49">
        <v>72215231</v>
      </c>
      <c r="E149" s="50"/>
      <c r="F149" s="173">
        <f>C149/B149</f>
        <v>0.69665518924537673</v>
      </c>
    </row>
    <row r="150" spans="1:6" x14ac:dyDescent="0.25">
      <c r="A150" s="99" t="s">
        <v>268</v>
      </c>
      <c r="B150" s="49">
        <v>948263976</v>
      </c>
      <c r="C150" s="49">
        <v>169693500</v>
      </c>
      <c r="D150" s="49">
        <v>271909552</v>
      </c>
      <c r="E150" s="50">
        <f>VLOOKUP($A150,'Data shares'!$C:$FA,154)*100</f>
        <v>18.260000000000002</v>
      </c>
      <c r="F150" s="173">
        <f>C150/B150</f>
        <v>0.17895175214375117</v>
      </c>
    </row>
    <row r="151" spans="1:6" x14ac:dyDescent="0.25">
      <c r="A151" s="99" t="s">
        <v>687</v>
      </c>
      <c r="B151" s="49">
        <v>3259553</v>
      </c>
      <c r="C151" s="49">
        <v>694200</v>
      </c>
      <c r="D151" s="49">
        <v>41876170</v>
      </c>
      <c r="E151" s="50">
        <f>VLOOKUP($A151,'Data shares'!$C:$FA,154)*100</f>
        <v>21.8</v>
      </c>
      <c r="F151" s="173">
        <f>C151/B151</f>
        <v>0.212973987537555</v>
      </c>
    </row>
    <row r="152" spans="1:6" x14ac:dyDescent="0.25">
      <c r="A152" s="99" t="s">
        <v>614</v>
      </c>
      <c r="B152" s="49">
        <v>273765570</v>
      </c>
      <c r="C152" s="49">
        <v>79409375</v>
      </c>
      <c r="D152" s="49">
        <v>672420574</v>
      </c>
      <c r="E152" s="50">
        <f>VLOOKUP($A152,'Data shares'!$C:$FA,154)*100</f>
        <v>29.709999999999997</v>
      </c>
      <c r="F152" s="173">
        <f>C152/B152</f>
        <v>0.2900634108226246</v>
      </c>
    </row>
    <row r="153" spans="1:6" x14ac:dyDescent="0.25">
      <c r="A153" s="99" t="s">
        <v>528</v>
      </c>
      <c r="B153" s="49">
        <v>23485458</v>
      </c>
      <c r="C153" s="49">
        <v>7614600</v>
      </c>
      <c r="D153" s="49">
        <v>17806118</v>
      </c>
      <c r="E153" s="50">
        <f>VLOOKUP($A153,'Data shares'!$C:$FA,154)*100</f>
        <v>33.28</v>
      </c>
      <c r="F153" s="173">
        <f>C153/B153</f>
        <v>0.32422616582567815</v>
      </c>
    </row>
    <row r="154" spans="1:6" x14ac:dyDescent="0.25">
      <c r="A154" s="99" t="s">
        <v>518</v>
      </c>
      <c r="B154" s="49">
        <v>4769908</v>
      </c>
      <c r="C154" s="49">
        <v>1531425</v>
      </c>
      <c r="D154" s="49">
        <v>37710874</v>
      </c>
      <c r="E154" s="50">
        <f>VLOOKUP($A154,'Data shares'!$C:$FA,154)*100</f>
        <v>32.519999999999996</v>
      </c>
      <c r="F154" s="173">
        <f>C154/B154</f>
        <v>0.32105965146497584</v>
      </c>
    </row>
    <row r="155" spans="1:6" x14ac:dyDescent="0.25">
      <c r="A155" s="99" t="s">
        <v>588</v>
      </c>
      <c r="B155" s="49">
        <v>141008560</v>
      </c>
      <c r="C155" s="49">
        <v>21333200</v>
      </c>
      <c r="D155" s="49"/>
      <c r="E155" s="50"/>
      <c r="F155" s="173"/>
    </row>
    <row r="156" spans="1:6" x14ac:dyDescent="0.25">
      <c r="A156" s="99" t="s">
        <v>269</v>
      </c>
      <c r="B156" s="49">
        <v>1034282422</v>
      </c>
      <c r="C156" s="49">
        <v>155333250</v>
      </c>
      <c r="D156" s="49">
        <v>21630854</v>
      </c>
      <c r="E156" s="50">
        <f>VLOOKUP($A156,'Data shares'!$C:$FA,154)*100</f>
        <v>15.36</v>
      </c>
      <c r="F156" s="173">
        <f>C156/B156</f>
        <v>0.15018455955156898</v>
      </c>
    </row>
    <row r="157" spans="1:6" x14ac:dyDescent="0.25">
      <c r="A157" s="99" t="s">
        <v>270</v>
      </c>
      <c r="B157" s="49">
        <v>1274066</v>
      </c>
      <c r="C157" s="49">
        <v>434610</v>
      </c>
      <c r="D157" s="49">
        <v>141008560</v>
      </c>
      <c r="E157" s="50">
        <f>VLOOKUP($A157,'Data shares'!$C:$FA,154)*100</f>
        <v>35.18</v>
      </c>
      <c r="F157" s="173">
        <f>C157/B157</f>
        <v>0.34112047570534021</v>
      </c>
    </row>
    <row r="158" spans="1:6" x14ac:dyDescent="0.25">
      <c r="A158" s="99" t="s">
        <v>667</v>
      </c>
      <c r="B158" s="49">
        <v>22595616</v>
      </c>
      <c r="C158" s="49">
        <v>14876700</v>
      </c>
      <c r="D158" s="49">
        <v>16037381</v>
      </c>
      <c r="E158" s="50">
        <f>VLOOKUP($A158,'Data shares'!$C:$FA,154)*100</f>
        <v>66.759999999999991</v>
      </c>
      <c r="F158" s="173">
        <f>C158/B158</f>
        <v>0.65838877771688098</v>
      </c>
    </row>
    <row r="159" spans="1:6" x14ac:dyDescent="0.25">
      <c r="A159" s="99" t="s">
        <v>576</v>
      </c>
      <c r="B159" s="49">
        <v>127620510</v>
      </c>
      <c r="C159" s="49">
        <v>51643200</v>
      </c>
      <c r="D159" s="49">
        <v>29488465</v>
      </c>
      <c r="E159" s="50">
        <f>VLOOKUP($A159,'Data shares'!$C:$FA,154)*100</f>
        <v>41.760000000000005</v>
      </c>
      <c r="F159" s="173">
        <f>C159/B159</f>
        <v>0.40466222866528273</v>
      </c>
    </row>
    <row r="160" spans="1:6" x14ac:dyDescent="0.25">
      <c r="A160" s="99" t="s">
        <v>529</v>
      </c>
      <c r="B160" s="49">
        <v>21535802</v>
      </c>
      <c r="C160" s="49">
        <v>4941900</v>
      </c>
      <c r="D160" s="49">
        <v>16859165</v>
      </c>
      <c r="E160" s="50">
        <f>VLOOKUP($A160,'Data shares'!$C:$FA,154)*100</f>
        <v>23.32</v>
      </c>
      <c r="F160" s="173">
        <f>C160/B160</f>
        <v>0.22947369222655373</v>
      </c>
    </row>
    <row r="161" spans="1:6" x14ac:dyDescent="0.25">
      <c r="A161" s="99" t="s">
        <v>272</v>
      </c>
      <c r="B161" s="49">
        <v>150000017</v>
      </c>
      <c r="C161" s="49">
        <v>68389200</v>
      </c>
      <c r="D161" s="49">
        <v>21354101</v>
      </c>
      <c r="E161" s="50">
        <f>VLOOKUP($A161,'Data shares'!$C:$FA,154)*100</f>
        <v>47.27</v>
      </c>
      <c r="F161" s="173">
        <f>C161/B161</f>
        <v>0.45592794832816586</v>
      </c>
    </row>
    <row r="162" spans="1:6" x14ac:dyDescent="0.25">
      <c r="A162" s="99" t="s">
        <v>273</v>
      </c>
      <c r="B162" s="49">
        <v>290447407</v>
      </c>
      <c r="C162" s="49">
        <v>100601800</v>
      </c>
      <c r="D162" s="49">
        <v>20320323</v>
      </c>
      <c r="E162" s="50">
        <f>VLOOKUP($A162,'Data shares'!$C:$FA,154)*100</f>
        <v>35.24</v>
      </c>
      <c r="F162" s="173">
        <f>C162/B162</f>
        <v>0.34636838744440918</v>
      </c>
    </row>
    <row r="163" spans="1:6" x14ac:dyDescent="0.25">
      <c r="A163" s="99" t="s">
        <v>682</v>
      </c>
      <c r="B163" s="49">
        <v>31863579</v>
      </c>
      <c r="C163" s="49">
        <v>31803100</v>
      </c>
      <c r="D163" s="49">
        <v>119554853</v>
      </c>
      <c r="E163" s="50">
        <f>VLOOKUP($A163,'Data shares'!$C:$FA,154)*100</f>
        <v>110.01</v>
      </c>
      <c r="F163" s="173">
        <f>C163/B163</f>
        <v>0.99810193952160864</v>
      </c>
    </row>
    <row r="164" spans="1:6" x14ac:dyDescent="0.25">
      <c r="A164" s="99" t="s">
        <v>646</v>
      </c>
      <c r="B164" s="49">
        <v>37710874</v>
      </c>
      <c r="C164" s="49">
        <v>5812800</v>
      </c>
      <c r="D164" s="49">
        <v>273572068</v>
      </c>
      <c r="E164" s="50">
        <f>VLOOKUP($A164,'Data shares'!$C:$FA,154)*100</f>
        <v>15.540000000000001</v>
      </c>
      <c r="F164" s="173">
        <f>C164/B164</f>
        <v>0.15414121666869879</v>
      </c>
    </row>
    <row r="165" spans="1:6" x14ac:dyDescent="0.25">
      <c r="A165" s="99" t="s">
        <v>274</v>
      </c>
      <c r="B165" s="49">
        <v>31170515</v>
      </c>
      <c r="C165" s="49">
        <v>5657750</v>
      </c>
      <c r="D165" s="49">
        <v>2502122210</v>
      </c>
      <c r="E165" s="50">
        <f>VLOOKUP($A165,'Data shares'!$C:$FA,154)*100</f>
        <v>18.29</v>
      </c>
      <c r="F165" s="173">
        <f>C165/B165</f>
        <v>0.18150967348470182</v>
      </c>
    </row>
    <row r="166" spans="1:6" x14ac:dyDescent="0.25">
      <c r="A166" s="99" t="s">
        <v>483</v>
      </c>
      <c r="B166" s="49">
        <v>16356551</v>
      </c>
      <c r="C166" s="49">
        <v>3527825</v>
      </c>
      <c r="D166" s="49">
        <v>25542698</v>
      </c>
      <c r="E166" s="50">
        <f>VLOOKUP($A166,'Data shares'!$C:$FA,154)*100</f>
        <v>22.14</v>
      </c>
      <c r="F166" s="173">
        <f>C166/B166</f>
        <v>0.21568269496423786</v>
      </c>
    </row>
    <row r="167" spans="1:6" x14ac:dyDescent="0.25">
      <c r="A167" s="99" t="s">
        <v>275</v>
      </c>
      <c r="B167" s="49">
        <v>687763516</v>
      </c>
      <c r="C167" s="49">
        <v>462688000</v>
      </c>
      <c r="D167" s="49">
        <v>1159424540</v>
      </c>
      <c r="E167" s="50"/>
      <c r="F167" s="173">
        <f>C167/B167</f>
        <v>0.67274286762253899</v>
      </c>
    </row>
    <row r="168" spans="1:6" x14ac:dyDescent="0.25">
      <c r="A168" s="99" t="s">
        <v>672</v>
      </c>
      <c r="B168" s="49">
        <v>37416542</v>
      </c>
      <c r="C168" s="49">
        <v>31978700</v>
      </c>
      <c r="D168" s="49">
        <v>31030515</v>
      </c>
      <c r="E168" s="50">
        <f>VLOOKUP($A168,'Data shares'!$C:$FA,154)*100</f>
        <v>88.77000000000001</v>
      </c>
      <c r="F168" s="173">
        <f>C168/B168</f>
        <v>0.85466743559573199</v>
      </c>
    </row>
    <row r="169" spans="1:6" x14ac:dyDescent="0.25">
      <c r="A169" s="99" t="s">
        <v>574</v>
      </c>
      <c r="B169" s="49">
        <v>91593795</v>
      </c>
      <c r="C169" s="49">
        <v>9271500</v>
      </c>
      <c r="D169" s="49">
        <v>44787316</v>
      </c>
      <c r="E169" s="50">
        <f>VLOOKUP($A169,'Data shares'!$C:$FA,154)*100</f>
        <v>10.199999999999999</v>
      </c>
      <c r="F169" s="173">
        <f>C169/B169</f>
        <v>0.10122410584690808</v>
      </c>
    </row>
    <row r="170" spans="1:6" x14ac:dyDescent="0.25">
      <c r="A170" s="99" t="s">
        <v>519</v>
      </c>
      <c r="B170" s="49">
        <v>11134251</v>
      </c>
      <c r="C170" s="49">
        <v>3138500</v>
      </c>
      <c r="D170" s="49">
        <v>18620728</v>
      </c>
      <c r="E170" s="50">
        <f>VLOOKUP($A170,'Data shares'!$C:$FA,154)*100</f>
        <v>28.78</v>
      </c>
      <c r="F170" s="173">
        <f>C170/B170</f>
        <v>0.28187796377142926</v>
      </c>
    </row>
    <row r="171" spans="1:6" x14ac:dyDescent="0.25">
      <c r="A171" s="99" t="s">
        <v>597</v>
      </c>
      <c r="B171" s="49">
        <v>57468540</v>
      </c>
      <c r="C171" s="49">
        <v>13584700</v>
      </c>
      <c r="D171" s="49">
        <v>91593795</v>
      </c>
      <c r="E171" s="50">
        <f>VLOOKUP($A171,'Data shares'!$C:$FA,154)*100</f>
        <v>24.59</v>
      </c>
      <c r="F171" s="173">
        <f>C171/B171</f>
        <v>0.23638498559385709</v>
      </c>
    </row>
    <row r="172" spans="1:6" x14ac:dyDescent="0.25">
      <c r="A172" s="99" t="s">
        <v>276</v>
      </c>
      <c r="B172" s="49">
        <v>905143907</v>
      </c>
      <c r="C172" s="49">
        <v>105936400</v>
      </c>
      <c r="D172" s="49">
        <v>1464421396</v>
      </c>
      <c r="E172" s="50">
        <f>VLOOKUP($A172,'Data shares'!$C:$FA,154)*100</f>
        <v>11.88</v>
      </c>
      <c r="F172" s="173">
        <f>C172/B172</f>
        <v>0.11703818495681483</v>
      </c>
    </row>
    <row r="173" spans="1:6" x14ac:dyDescent="0.25">
      <c r="A173" s="99" t="s">
        <v>680</v>
      </c>
      <c r="B173" s="49">
        <v>171670855</v>
      </c>
      <c r="C173" s="49">
        <v>24657500</v>
      </c>
      <c r="D173" s="49">
        <v>37934515</v>
      </c>
      <c r="E173" s="50">
        <f>VLOOKUP($A173,'Data shares'!$C:$FA,154)*100</f>
        <v>14.59</v>
      </c>
      <c r="F173" s="173">
        <f>C173/B173</f>
        <v>0.14363241797799634</v>
      </c>
    </row>
    <row r="174" spans="1:6" x14ac:dyDescent="0.25">
      <c r="A174" s="99" t="s">
        <v>606</v>
      </c>
      <c r="B174" s="49">
        <v>33646046</v>
      </c>
      <c r="C174" s="49">
        <v>8045100</v>
      </c>
      <c r="D174" s="49">
        <v>77020742</v>
      </c>
      <c r="E174" s="50">
        <f>VLOOKUP($A174,'Data shares'!$C:$FA,154)*100</f>
        <v>24.42</v>
      </c>
      <c r="F174" s="173">
        <f>C174/B174</f>
        <v>0.23910981991762123</v>
      </c>
    </row>
    <row r="175" spans="1:6" x14ac:dyDescent="0.25">
      <c r="A175" s="99" t="s">
        <v>279</v>
      </c>
      <c r="B175" s="49">
        <v>121801958</v>
      </c>
      <c r="C175" s="49">
        <v>114861975</v>
      </c>
      <c r="D175" s="49">
        <v>33646046</v>
      </c>
      <c r="E175" s="50">
        <f>VLOOKUP($A175,'Data shares'!$C:$FA,154)*100</f>
        <v>97.84</v>
      </c>
      <c r="F175" s="173">
        <f>C175/B175</f>
        <v>0.9430224019879877</v>
      </c>
    </row>
    <row r="176" spans="1:6" x14ac:dyDescent="0.25">
      <c r="A176" s="99" t="s">
        <v>280</v>
      </c>
      <c r="B176" s="49">
        <v>249446067</v>
      </c>
      <c r="C176" s="49">
        <v>138633300</v>
      </c>
      <c r="D176" s="49">
        <v>47184665</v>
      </c>
      <c r="E176" s="50">
        <f>VLOOKUP($A176,'Data shares'!$C:$FA,154)*100</f>
        <v>56.710000000000008</v>
      </c>
      <c r="F176" s="173">
        <f>C176/B176</f>
        <v>0.55576462546511107</v>
      </c>
    </row>
    <row r="177" spans="1:6" x14ac:dyDescent="0.25">
      <c r="A177" s="99" t="s">
        <v>281</v>
      </c>
      <c r="B177" s="49">
        <v>1325402121</v>
      </c>
      <c r="C177" s="49">
        <v>218494500</v>
      </c>
      <c r="D177" s="49">
        <v>149116295</v>
      </c>
      <c r="E177" s="50">
        <f>VLOOKUP($A177,'Data shares'!$C:$FA,154)*100</f>
        <v>16.950000000000003</v>
      </c>
      <c r="F177" s="173">
        <f>C177/B177</f>
        <v>0.16485147906293413</v>
      </c>
    </row>
    <row r="178" spans="1:6" x14ac:dyDescent="0.25">
      <c r="A178" s="99" t="s">
        <v>677</v>
      </c>
      <c r="B178" s="49">
        <v>113255281</v>
      </c>
      <c r="C178" s="49">
        <v>35796750</v>
      </c>
      <c r="D178" s="49">
        <v>486316409</v>
      </c>
      <c r="E178" s="50">
        <f>VLOOKUP($A178,'Data shares'!$C:$FA,154)*100</f>
        <v>33.22</v>
      </c>
      <c r="F178" s="173">
        <f>C178/B178</f>
        <v>0.31607135388238539</v>
      </c>
    </row>
    <row r="179" spans="1:6" x14ac:dyDescent="0.25">
      <c r="A179" s="99" t="s">
        <v>282</v>
      </c>
      <c r="B179" s="49">
        <v>289148547</v>
      </c>
      <c r="C179" s="49">
        <v>221741300</v>
      </c>
      <c r="D179" s="49">
        <v>150000017</v>
      </c>
      <c r="E179" s="50">
        <f>VLOOKUP($A179,'Data shares'!$C:$FA,154)*100</f>
        <v>79.86</v>
      </c>
      <c r="F179" s="173">
        <f>C179/B179</f>
        <v>0.76687675694943058</v>
      </c>
    </row>
    <row r="180" spans="1:6" x14ac:dyDescent="0.25">
      <c r="A180" s="99" t="s">
        <v>536</v>
      </c>
      <c r="B180" s="49">
        <v>59778558</v>
      </c>
      <c r="C180" s="49">
        <v>22741600</v>
      </c>
      <c r="D180" s="49">
        <v>80673469</v>
      </c>
      <c r="E180" s="50">
        <f>VLOOKUP($A180,'Data shares'!$C:$FA,154)*100</f>
        <v>38.58</v>
      </c>
      <c r="F180" s="173">
        <f>C180/B180</f>
        <v>0.38043072233358322</v>
      </c>
    </row>
    <row r="181" spans="1:6" x14ac:dyDescent="0.25">
      <c r="A181" s="99" t="s">
        <v>462</v>
      </c>
      <c r="B181" s="49">
        <v>89470264</v>
      </c>
      <c r="C181" s="49">
        <v>12192750</v>
      </c>
      <c r="D181" s="49">
        <v>840388804</v>
      </c>
      <c r="E181" s="50">
        <f>VLOOKUP($A181,'Data shares'!$C:$FA,154)*100</f>
        <v>13.81</v>
      </c>
      <c r="F181" s="173">
        <f>C181/B181</f>
        <v>0.1362771210779036</v>
      </c>
    </row>
    <row r="182" spans="1:6" x14ac:dyDescent="0.25">
      <c r="A182" s="99" t="s">
        <v>283</v>
      </c>
      <c r="B182" s="49">
        <v>814614425</v>
      </c>
      <c r="C182" s="49">
        <v>202177500</v>
      </c>
      <c r="D182" s="49">
        <v>5409447</v>
      </c>
      <c r="E182" s="50">
        <f>VLOOKUP($A182,'Data shares'!$C:$FA,154)*100</f>
        <v>25.34</v>
      </c>
      <c r="F182" s="173">
        <f>C182/B182</f>
        <v>0.24818796941878363</v>
      </c>
    </row>
    <row r="183" spans="1:6" x14ac:dyDescent="0.25">
      <c r="A183" s="99" t="s">
        <v>284</v>
      </c>
      <c r="B183" s="49">
        <v>2702310</v>
      </c>
      <c r="C183" s="49">
        <v>377975</v>
      </c>
      <c r="D183" s="49">
        <v>60165566</v>
      </c>
      <c r="E183" s="50">
        <f>VLOOKUP($A183,'Data shares'!$C:$FA,154)*100</f>
        <v>14.24</v>
      </c>
      <c r="F183" s="173">
        <f>C183/B183</f>
        <v>0.1398710732669457</v>
      </c>
    </row>
    <row r="184" spans="1:6" x14ac:dyDescent="0.25">
      <c r="A184" s="99" t="s">
        <v>562</v>
      </c>
      <c r="B184" s="49">
        <v>280612368</v>
      </c>
      <c r="C184" s="49">
        <v>54526725</v>
      </c>
      <c r="D184" s="49">
        <v>50321935</v>
      </c>
      <c r="E184" s="50">
        <f>VLOOKUP($A184,'Data shares'!$C:$FA,154)*100</f>
        <v>19.71</v>
      </c>
      <c r="F184" s="173">
        <f>C184/B184</f>
        <v>0.19431333475650653</v>
      </c>
    </row>
    <row r="185" spans="1:6" x14ac:dyDescent="0.25">
      <c r="A185" s="99" t="s">
        <v>285</v>
      </c>
      <c r="B185" s="49">
        <v>17806118</v>
      </c>
      <c r="C185" s="49">
        <v>4400375</v>
      </c>
      <c r="D185" s="49">
        <v>671850851</v>
      </c>
      <c r="E185" s="50">
        <f>VLOOKUP($A185,'Data shares'!$C:$FA,154)*100</f>
        <v>25.27</v>
      </c>
      <c r="F185" s="173">
        <f>C185/B185</f>
        <v>0.24712713911027659</v>
      </c>
    </row>
    <row r="186" spans="1:6" x14ac:dyDescent="0.25">
      <c r="A186" s="99" t="s">
        <v>600</v>
      </c>
      <c r="B186" s="49">
        <v>142687689</v>
      </c>
      <c r="C186" s="49">
        <v>41260125</v>
      </c>
      <c r="D186" s="49">
        <v>628365076</v>
      </c>
      <c r="E186" s="50">
        <f>VLOOKUP($A186,'Data shares'!$C:$FA,154)*100</f>
        <v>30.06</v>
      </c>
      <c r="F186" s="173">
        <f>C186/B186</f>
        <v>0.28916387453720693</v>
      </c>
    </row>
    <row r="187" spans="1:6" x14ac:dyDescent="0.25">
      <c r="A187" s="99" t="s">
        <v>647</v>
      </c>
      <c r="B187" s="49">
        <v>4859756</v>
      </c>
      <c r="C187" s="49">
        <v>1661925</v>
      </c>
      <c r="D187" s="49">
        <v>63536556</v>
      </c>
      <c r="E187" s="50">
        <f>VLOOKUP($A187,'Data shares'!$C:$FA,154)*100</f>
        <v>34.65</v>
      </c>
      <c r="F187" s="173">
        <f>C187/B187</f>
        <v>0.34197704576114524</v>
      </c>
    </row>
    <row r="188" spans="1:6" x14ac:dyDescent="0.25">
      <c r="A188" s="99" t="s">
        <v>615</v>
      </c>
      <c r="B188" s="49">
        <v>89502064</v>
      </c>
      <c r="C188" s="49">
        <v>36236550</v>
      </c>
      <c r="D188" s="49">
        <v>55429320</v>
      </c>
      <c r="E188" s="50">
        <f>VLOOKUP($A188,'Data shares'!$C:$FA,154)*100</f>
        <v>40.880000000000003</v>
      </c>
      <c r="F188" s="173">
        <f>C188/B188</f>
        <v>0.4048683167798231</v>
      </c>
    </row>
    <row r="189" spans="1:6" x14ac:dyDescent="0.25">
      <c r="A189" s="99" t="s">
        <v>286</v>
      </c>
      <c r="B189" s="49">
        <v>29488465</v>
      </c>
      <c r="C189" s="49">
        <v>7502000</v>
      </c>
      <c r="D189" s="49">
        <v>23088182</v>
      </c>
      <c r="E189" s="50"/>
      <c r="F189" s="173">
        <f>C189/B189</f>
        <v>0.25440456124114974</v>
      </c>
    </row>
    <row r="190" spans="1:6" x14ac:dyDescent="0.25">
      <c r="A190" s="99" t="s">
        <v>288</v>
      </c>
      <c r="B190" s="49">
        <v>218440087</v>
      </c>
      <c r="C190" s="49">
        <v>27381200</v>
      </c>
      <c r="D190" s="49">
        <v>549885930</v>
      </c>
      <c r="E190" s="50">
        <f>VLOOKUP($A190,'Data shares'!$C:$FA,154)*100</f>
        <v>12.76</v>
      </c>
      <c r="F190" s="173">
        <f>C190/B190</f>
        <v>0.12534878728554982</v>
      </c>
    </row>
    <row r="191" spans="1:6" x14ac:dyDescent="0.25">
      <c r="A191" s="99" t="s">
        <v>575</v>
      </c>
      <c r="B191" s="49">
        <v>12981810</v>
      </c>
      <c r="C191" s="49">
        <v>1941800</v>
      </c>
      <c r="D191" s="49">
        <v>1034282422</v>
      </c>
      <c r="E191" s="50">
        <f>VLOOKUP($A191,'Data shares'!$C:$FA,154)*100</f>
        <v>15.14</v>
      </c>
      <c r="F191" s="173">
        <f>C191/B191</f>
        <v>0.14957852564472904</v>
      </c>
    </row>
    <row r="192" spans="1:6" x14ac:dyDescent="0.25">
      <c r="A192" s="99" t="s">
        <v>686</v>
      </c>
      <c r="B192" s="49">
        <v>2418045131</v>
      </c>
      <c r="C192" s="49">
        <v>292360000</v>
      </c>
      <c r="D192" s="49">
        <v>31601465</v>
      </c>
      <c r="E192" s="50">
        <f>VLOOKUP($A192,'Data shares'!$C:$FA,154)*100</f>
        <v>12.5</v>
      </c>
      <c r="F192" s="173">
        <f>C192/B192</f>
        <v>0.1209075861537342</v>
      </c>
    </row>
    <row r="193" spans="1:6" x14ac:dyDescent="0.25">
      <c r="A193" s="99" t="s">
        <v>520</v>
      </c>
      <c r="B193" s="49">
        <v>37877778</v>
      </c>
      <c r="C193" s="49">
        <v>13294000</v>
      </c>
      <c r="D193" s="49">
        <v>4078053</v>
      </c>
      <c r="E193" s="50">
        <f>VLOOKUP($A193,'Data shares'!$C:$FA,154)*100</f>
        <v>35.42</v>
      </c>
      <c r="F193" s="173">
        <f>C193/B193</f>
        <v>0.35097095716649485</v>
      </c>
    </row>
    <row r="194" spans="1:6" x14ac:dyDescent="0.25">
      <c r="A194" s="99" t="s">
        <v>290</v>
      </c>
      <c r="B194" s="49">
        <v>31600651</v>
      </c>
      <c r="C194" s="49">
        <v>14597050</v>
      </c>
      <c r="D194" s="49">
        <v>78039794</v>
      </c>
      <c r="E194" s="50">
        <f>VLOOKUP($A194,'Data shares'!$C:$FA,154)*100</f>
        <v>47.25</v>
      </c>
      <c r="F194" s="173">
        <f>C194/B194</f>
        <v>0.46192244583822023</v>
      </c>
    </row>
    <row r="195" spans="1:6" x14ac:dyDescent="0.25">
      <c r="A195" s="99" t="s">
        <v>291</v>
      </c>
      <c r="B195" s="49">
        <v>130943056</v>
      </c>
      <c r="C195" s="49">
        <v>20779550</v>
      </c>
      <c r="D195" s="49">
        <v>193371109</v>
      </c>
      <c r="E195" s="50">
        <f>VLOOKUP($A195,'Data shares'!$C:$FA,154)*100</f>
        <v>16.09</v>
      </c>
      <c r="F195" s="173">
        <f>C195/B195</f>
        <v>0.15869150021975964</v>
      </c>
    </row>
    <row r="196" spans="1:6" x14ac:dyDescent="0.25">
      <c r="A196" s="99" t="s">
        <v>605</v>
      </c>
      <c r="B196" s="49">
        <v>6987155</v>
      </c>
      <c r="C196" s="49">
        <v>3365400</v>
      </c>
      <c r="D196" s="49">
        <v>96028079</v>
      </c>
      <c r="E196" s="50">
        <f>VLOOKUP($A196,'Data shares'!$C:$FA,154)*100</f>
        <v>49.02</v>
      </c>
      <c r="F196" s="173">
        <f>C196/B196</f>
        <v>0.48165526598451014</v>
      </c>
    </row>
    <row r="197" spans="1:6" x14ac:dyDescent="0.25">
      <c r="A197" s="99" t="s">
        <v>292</v>
      </c>
      <c r="B197" s="49">
        <v>422818502</v>
      </c>
      <c r="C197" s="49">
        <v>158114400</v>
      </c>
      <c r="D197" s="49">
        <v>26654592</v>
      </c>
      <c r="E197" s="50">
        <f>VLOOKUP($A197,'Data shares'!$C:$FA,154)*100</f>
        <v>38.57</v>
      </c>
      <c r="F197" s="173">
        <f>C197/B197</f>
        <v>0.37395336119893824</v>
      </c>
    </row>
    <row r="198" spans="1:6" x14ac:dyDescent="0.25">
      <c r="A198" s="99" t="s">
        <v>293</v>
      </c>
      <c r="B198" s="49">
        <v>339616396</v>
      </c>
      <c r="C198" s="49">
        <v>125052350</v>
      </c>
      <c r="D198" s="49">
        <v>29668038</v>
      </c>
      <c r="E198" s="50">
        <f>VLOOKUP($A198,'Data shares'!$C:$FA,154)*100</f>
        <v>37.669999999999995</v>
      </c>
      <c r="F198" s="173">
        <f>C198/B198</f>
        <v>0.36821646855942725</v>
      </c>
    </row>
    <row r="199" spans="1:6" x14ac:dyDescent="0.25">
      <c r="A199" s="99" t="s">
        <v>294</v>
      </c>
      <c r="B199" s="49">
        <v>1667975279</v>
      </c>
      <c r="C199" s="49">
        <v>369737500</v>
      </c>
      <c r="D199" s="49">
        <v>30111043</v>
      </c>
      <c r="E199" s="50">
        <f>VLOOKUP($A199,'Data shares'!$C:$FA,154)*100</f>
        <v>22.67</v>
      </c>
      <c r="F199" s="173">
        <f>C199/B199</f>
        <v>0.22166845315697273</v>
      </c>
    </row>
    <row r="200" spans="1:6" x14ac:dyDescent="0.25">
      <c r="A200" s="99" t="s">
        <v>665</v>
      </c>
      <c r="B200" s="49">
        <v>36328758</v>
      </c>
      <c r="C200" s="49">
        <v>16661600</v>
      </c>
      <c r="D200" s="49">
        <v>570590784</v>
      </c>
      <c r="E200" s="50">
        <f>VLOOKUP($A200,'Data shares'!$C:$FA,154)*100</f>
        <v>46.660000000000004</v>
      </c>
      <c r="F200" s="173">
        <f>C200/B200</f>
        <v>0.458633900999313</v>
      </c>
    </row>
    <row r="201" spans="1:6" x14ac:dyDescent="0.25">
      <c r="A201" s="99" t="s">
        <v>295</v>
      </c>
      <c r="B201" s="49">
        <v>204305778</v>
      </c>
      <c r="C201" s="49">
        <v>61211675</v>
      </c>
      <c r="D201" s="49">
        <v>27165600</v>
      </c>
      <c r="E201" s="50">
        <f>VLOOKUP($A201,'Data shares'!$C:$FA,154)*100</f>
        <v>31.05</v>
      </c>
      <c r="F201" s="173">
        <f>C201/B201</f>
        <v>0.29960814421998383</v>
      </c>
    </row>
    <row r="202" spans="1:6" x14ac:dyDescent="0.25">
      <c r="A202" s="99" t="s">
        <v>296</v>
      </c>
      <c r="B202" s="49">
        <v>127301710</v>
      </c>
      <c r="C202" s="49">
        <v>27348600</v>
      </c>
      <c r="D202" s="49">
        <v>131950203</v>
      </c>
      <c r="E202" s="50">
        <f>VLOOKUP($A202,'Data shares'!$C:$FA,154)*100</f>
        <v>21.89</v>
      </c>
      <c r="F202" s="173">
        <f>C202/B202</f>
        <v>0.21483293507997653</v>
      </c>
    </row>
    <row r="203" spans="1:6" x14ac:dyDescent="0.25">
      <c r="A203" s="99" t="s">
        <v>596</v>
      </c>
      <c r="B203" s="49">
        <v>21637874</v>
      </c>
      <c r="C203" s="49">
        <v>2497800</v>
      </c>
      <c r="D203" s="49">
        <v>128335464</v>
      </c>
      <c r="E203" s="50">
        <f>VLOOKUP($A203,'Data shares'!$C:$FA,154)*100</f>
        <v>11.65</v>
      </c>
      <c r="F203" s="173">
        <f>C203/B203</f>
        <v>0.11543647957280831</v>
      </c>
    </row>
    <row r="204" spans="1:6" x14ac:dyDescent="0.25">
      <c r="A204" s="99" t="s">
        <v>664</v>
      </c>
      <c r="B204" s="49">
        <v>16037381</v>
      </c>
      <c r="C204" s="49">
        <v>12100250</v>
      </c>
      <c r="D204" s="49">
        <v>26123462</v>
      </c>
      <c r="E204" s="50">
        <f>VLOOKUP($A204,'Data shares'!$C:$FA,154)*100</f>
        <v>84.49</v>
      </c>
      <c r="F204" s="173">
        <f>C204/B204</f>
        <v>0.75450287051233611</v>
      </c>
    </row>
    <row r="205" spans="1:6" x14ac:dyDescent="0.25">
      <c r="A205" s="99" t="s">
        <v>297</v>
      </c>
      <c r="B205" s="49">
        <v>83488668</v>
      </c>
      <c r="C205" s="49">
        <v>14672000</v>
      </c>
      <c r="D205" s="49">
        <v>18382289</v>
      </c>
      <c r="E205" s="50">
        <f>VLOOKUP($A205,'Data shares'!$C:$FA,154)*100</f>
        <v>17.86</v>
      </c>
      <c r="F205" s="173">
        <f>C205/B205</f>
        <v>0.17573642449296234</v>
      </c>
    </row>
    <row r="206" spans="1:6" x14ac:dyDescent="0.25">
      <c r="A206" s="99" t="s">
        <v>298</v>
      </c>
      <c r="B206" s="49">
        <v>21452008</v>
      </c>
      <c r="C206" s="49">
        <v>3439500</v>
      </c>
      <c r="D206" s="49">
        <v>1369807723</v>
      </c>
      <c r="E206" s="50">
        <f>VLOOKUP($A206,'Data shares'!$C:$FA,154)*100</f>
        <v>16.27</v>
      </c>
      <c r="F206" s="173">
        <f>C206/B206</f>
        <v>0.16033464093431254</v>
      </c>
    </row>
    <row r="207" spans="1:6" x14ac:dyDescent="0.25">
      <c r="A207" s="99" t="s">
        <v>299</v>
      </c>
      <c r="B207" s="49">
        <v>49292045</v>
      </c>
      <c r="C207" s="49">
        <v>4158375</v>
      </c>
      <c r="D207" s="49">
        <v>454398477</v>
      </c>
      <c r="E207" s="50">
        <f>VLOOKUP($A207,'Data shares'!$C:$FA,154)*100</f>
        <v>8.49</v>
      </c>
      <c r="F207" s="173">
        <f>C207/B207</f>
        <v>8.4361989850492106E-2</v>
      </c>
    </row>
    <row r="208" spans="1:6" x14ac:dyDescent="0.25">
      <c r="A208" s="99" t="s">
        <v>482</v>
      </c>
      <c r="B208" s="49">
        <v>44787316</v>
      </c>
      <c r="C208" s="49">
        <v>10870200</v>
      </c>
      <c r="D208" s="49">
        <v>24011656</v>
      </c>
      <c r="E208" s="50">
        <f>VLOOKUP($A208,'Data shares'!$C:$FA,154)*100</f>
        <v>24.79</v>
      </c>
      <c r="F208" s="173">
        <f>C208/B208</f>
        <v>0.24270710930746553</v>
      </c>
    </row>
    <row r="209" spans="1:6" x14ac:dyDescent="0.25">
      <c r="A209" s="99" t="s">
        <v>300</v>
      </c>
      <c r="B209" s="49">
        <v>47159260</v>
      </c>
      <c r="C209" s="49">
        <v>15367100</v>
      </c>
      <c r="D209" s="49">
        <v>66878856</v>
      </c>
      <c r="E209" s="50">
        <f>VLOOKUP($A209,'Data shares'!$C:$FA,154)*100</f>
        <v>33.550000000000004</v>
      </c>
      <c r="F209" s="173">
        <f>C209/B209</f>
        <v>0.32585540994493978</v>
      </c>
    </row>
    <row r="210" spans="1:6" x14ac:dyDescent="0.25">
      <c r="A210" s="99" t="s">
        <v>302</v>
      </c>
      <c r="B210" s="49">
        <v>23924132</v>
      </c>
      <c r="C210" s="49">
        <v>3659550</v>
      </c>
      <c r="D210" s="49">
        <v>171573821</v>
      </c>
      <c r="E210" s="50">
        <f>VLOOKUP($A210,'Data shares'!$C:$FA,154)*100</f>
        <v>15.659999999999998</v>
      </c>
      <c r="F210" s="173">
        <f>C210/B210</f>
        <v>0.15296479721813941</v>
      </c>
    </row>
    <row r="211" spans="1:6" x14ac:dyDescent="0.25">
      <c r="A211" s="99" t="s">
        <v>594</v>
      </c>
      <c r="B211" s="49">
        <v>385388951</v>
      </c>
      <c r="C211" s="49">
        <v>138670650</v>
      </c>
      <c r="D211" s="49">
        <v>6987041</v>
      </c>
      <c r="E211" s="50"/>
      <c r="F211" s="173">
        <f>C211/B211</f>
        <v>0.35981999390532604</v>
      </c>
    </row>
    <row r="212" spans="1:6" x14ac:dyDescent="0.25">
      <c r="A212" s="99" t="s">
        <v>569</v>
      </c>
      <c r="B212" s="49">
        <v>63025888</v>
      </c>
      <c r="C212" s="49">
        <v>20768800</v>
      </c>
      <c r="D212" s="49">
        <v>126959974</v>
      </c>
      <c r="E212" s="50">
        <f>VLOOKUP($A212,'Data shares'!$C:$FA,154)*100</f>
        <v>33.339999999999996</v>
      </c>
      <c r="F212" s="173">
        <f>C212/B212</f>
        <v>0.32952808217474067</v>
      </c>
    </row>
    <row r="213" spans="1:6" x14ac:dyDescent="0.25">
      <c r="A213" s="99" t="s">
        <v>676</v>
      </c>
      <c r="B213" s="49">
        <v>35953552</v>
      </c>
      <c r="C213" s="49">
        <v>6531250</v>
      </c>
      <c r="D213" s="49">
        <v>13335005</v>
      </c>
      <c r="E213" s="50">
        <f>VLOOKUP($A213,'Data shares'!$C:$FA,154)*100</f>
        <v>18.84</v>
      </c>
      <c r="F213" s="173">
        <f>C213/B213</f>
        <v>0.18165799028702365</v>
      </c>
    </row>
    <row r="214" spans="1:6" x14ac:dyDescent="0.25">
      <c r="A214" s="99" t="s">
        <v>303</v>
      </c>
      <c r="B214" s="49">
        <v>112304777</v>
      </c>
      <c r="C214" s="49">
        <v>52728470</v>
      </c>
      <c r="D214" s="49">
        <v>10180563</v>
      </c>
      <c r="E214" s="50">
        <f>VLOOKUP($A214,'Data shares'!$C:$FA,154)*100</f>
        <v>48.55</v>
      </c>
      <c r="F214" s="173">
        <f>C214/B214</f>
        <v>0.46951226304469668</v>
      </c>
    </row>
    <row r="215" spans="1:6" x14ac:dyDescent="0.25">
      <c r="A215" s="99" t="s">
        <v>587</v>
      </c>
      <c r="B215" s="49">
        <v>271739119</v>
      </c>
      <c r="C215" s="49">
        <v>58104175</v>
      </c>
      <c r="D215" s="49">
        <v>218440087</v>
      </c>
      <c r="E215" s="50">
        <f>VLOOKUP($A215,'Data shares'!$C:$FA,154)*100</f>
        <v>21.65</v>
      </c>
      <c r="F215" s="173">
        <f>C215/B215</f>
        <v>0.21382337299768753</v>
      </c>
    </row>
    <row r="216" spans="1:6" x14ac:dyDescent="0.25">
      <c r="A216" s="99" t="s">
        <v>304</v>
      </c>
      <c r="B216" s="49">
        <v>340121475</v>
      </c>
      <c r="C216" s="49">
        <v>126533350</v>
      </c>
      <c r="D216" s="49">
        <v>1324758679</v>
      </c>
      <c r="E216" s="50">
        <f>VLOOKUP($A216,'Data shares'!$C:$FA,154)*100</f>
        <v>38.15</v>
      </c>
      <c r="F216" s="173">
        <f>C216/B216</f>
        <v>0.37202399525052043</v>
      </c>
    </row>
    <row r="217" spans="1:6" x14ac:dyDescent="0.25">
      <c r="A217" s="99" t="s">
        <v>305</v>
      </c>
      <c r="B217" s="49">
        <v>46126252</v>
      </c>
      <c r="C217" s="49">
        <v>17455875</v>
      </c>
      <c r="D217" s="49">
        <v>689383367</v>
      </c>
      <c r="E217" s="50">
        <f>VLOOKUP($A217,'Data shares'!$C:$FA,154)*100</f>
        <v>38.97</v>
      </c>
      <c r="F217" s="173">
        <f>C217/B217</f>
        <v>0.3784368823202891</v>
      </c>
    </row>
    <row r="218" spans="1:6" x14ac:dyDescent="0.25">
      <c r="A218" s="99" t="s">
        <v>306</v>
      </c>
      <c r="B218" s="49">
        <v>570714350</v>
      </c>
      <c r="C218" s="49">
        <v>253686000</v>
      </c>
      <c r="D218" s="49">
        <v>53477001</v>
      </c>
      <c r="E218" s="50">
        <f>VLOOKUP($A218,'Data shares'!$C:$FA,154)*100</f>
        <v>45.94</v>
      </c>
      <c r="F218" s="173">
        <f>C218/B218</f>
        <v>0.44450608259631108</v>
      </c>
    </row>
    <row r="219" spans="1:6" x14ac:dyDescent="0.25">
      <c r="A219" s="99" t="s">
        <v>591</v>
      </c>
      <c r="B219" s="49">
        <v>6273124692</v>
      </c>
      <c r="C219" s="49">
        <v>1484838400</v>
      </c>
      <c r="D219" s="49">
        <v>142687689</v>
      </c>
      <c r="E219" s="50">
        <f>VLOOKUP($A219,'Data shares'!$C:$FA,154)*100</f>
        <v>23.98</v>
      </c>
      <c r="F219" s="173">
        <f>C219/B219</f>
        <v>0.23669837168924554</v>
      </c>
    </row>
    <row r="220" spans="1:6" x14ac:dyDescent="0.25">
      <c r="A220" s="99" t="s">
        <v>557</v>
      </c>
      <c r="B220" s="49">
        <v>50321935</v>
      </c>
      <c r="C220" s="49">
        <v>13921200</v>
      </c>
      <c r="D220" s="49">
        <v>753011455</v>
      </c>
      <c r="E220" s="50">
        <f>VLOOKUP($A220,'Data shares'!$C:$FA,154)*100</f>
        <v>28.28</v>
      </c>
      <c r="F220" s="173">
        <f>C220/B220</f>
        <v>0.2766427801315669</v>
      </c>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20">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P32" sqref="P32"/>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6.6199999999999992</v>
      </c>
      <c r="F6" s="49">
        <f>VLOOKUP($A6,'Data shares'!$C:$FA,129)</f>
        <v>799500</v>
      </c>
      <c r="G6" s="17"/>
    </row>
    <row r="7" spans="1:7" x14ac:dyDescent="0.25">
      <c r="A7" s="101" t="s">
        <v>228</v>
      </c>
      <c r="B7" s="17">
        <v>292206563</v>
      </c>
      <c r="C7" s="17">
        <v>71903525</v>
      </c>
      <c r="D7" s="17">
        <f t="shared" ref="D7:D70" si="0">C7</f>
        <v>71903525</v>
      </c>
      <c r="E7" s="49">
        <f>VLOOKUP($A7,'Data shares'!$C:$FA,128)*100</f>
        <v>14.91</v>
      </c>
      <c r="F7" s="49">
        <f>VLOOKUP($A7,'Data shares'!$C:$FA,129)</f>
        <v>7128800</v>
      </c>
      <c r="G7" s="17"/>
    </row>
    <row r="8" spans="1:7" x14ac:dyDescent="0.25">
      <c r="A8" s="101" t="s">
        <v>200</v>
      </c>
      <c r="B8" s="17">
        <v>417418754</v>
      </c>
      <c r="C8" s="17">
        <v>109662000</v>
      </c>
      <c r="D8" s="17">
        <f t="shared" si="0"/>
        <v>109662000</v>
      </c>
      <c r="E8" s="49">
        <f>VLOOKUP($A8,'Data shares'!$C:$FA,128)*100</f>
        <v>6.99</v>
      </c>
      <c r="F8" s="49">
        <f>VLOOKUP($A8,'Data shares'!$C:$FA,129)</f>
        <v>4538700</v>
      </c>
      <c r="G8" s="17"/>
    </row>
    <row r="9" spans="1:7" x14ac:dyDescent="0.25">
      <c r="A9" s="101" t="s">
        <v>214</v>
      </c>
      <c r="B9" s="17">
        <v>30110093</v>
      </c>
      <c r="C9" s="17">
        <v>10703050</v>
      </c>
      <c r="D9" s="17">
        <f t="shared" si="0"/>
        <v>10703050</v>
      </c>
      <c r="E9" s="49">
        <f>VLOOKUP($A9,'Data shares'!$C:$FA,128)*100</f>
        <v>4.68</v>
      </c>
      <c r="F9" s="49">
        <f>VLOOKUP($A9,'Data shares'!$C:$FA,129)</f>
        <v>311250</v>
      </c>
      <c r="G9" s="17"/>
    </row>
    <row r="10" spans="1:7" x14ac:dyDescent="0.25">
      <c r="A10" s="101" t="s">
        <v>243</v>
      </c>
      <c r="B10" s="17">
        <v>80699820</v>
      </c>
      <c r="C10" s="17">
        <v>65367500</v>
      </c>
      <c r="D10" s="17">
        <f t="shared" si="0"/>
        <v>65367500</v>
      </c>
      <c r="E10" s="49">
        <f>VLOOKUP($A10,'Data shares'!$C:$FA,128)*100</f>
        <v>13.900000000000002</v>
      </c>
      <c r="F10" s="49">
        <f>VLOOKUP($A10,'Data shares'!$C:$FA,129)</f>
        <v>815000</v>
      </c>
      <c r="G10" s="17"/>
    </row>
    <row r="11" spans="1:7" x14ac:dyDescent="0.25">
      <c r="A11" s="101" t="s">
        <v>231</v>
      </c>
      <c r="B11" s="17">
        <v>80556813</v>
      </c>
      <c r="C11" s="17">
        <v>62967200</v>
      </c>
      <c r="D11" s="17">
        <f t="shared" si="0"/>
        <v>62967200</v>
      </c>
      <c r="E11" s="49">
        <f>VLOOKUP($A11,'Data shares'!$C:$FA,128)*100</f>
        <v>10.6</v>
      </c>
      <c r="F11" s="49">
        <f>VLOOKUP($A11,'Data shares'!$C:$FA,129)</f>
        <v>3116325</v>
      </c>
      <c r="G11" s="17"/>
    </row>
    <row r="12" spans="1:7" x14ac:dyDescent="0.25">
      <c r="A12" s="101" t="s">
        <v>195</v>
      </c>
      <c r="B12" s="17">
        <v>23823080</v>
      </c>
      <c r="C12" s="17">
        <v>2862400</v>
      </c>
      <c r="D12" s="17">
        <f t="shared" si="0"/>
        <v>2862400</v>
      </c>
      <c r="E12" s="49">
        <f>VLOOKUP($A12,'Data shares'!$C:$FA,128)*100</f>
        <v>3.9</v>
      </c>
      <c r="F12" s="49">
        <f>VLOOKUP($A12,'Data shares'!$C:$FA,129)</f>
        <v>100750</v>
      </c>
      <c r="G12" s="17"/>
    </row>
    <row r="13" spans="1:7" x14ac:dyDescent="0.25">
      <c r="A13" s="101" t="s">
        <v>304</v>
      </c>
      <c r="B13" s="17">
        <v>223492679</v>
      </c>
      <c r="C13" s="17">
        <v>98465300</v>
      </c>
      <c r="D13" s="17">
        <f t="shared" si="0"/>
        <v>98465300</v>
      </c>
      <c r="E13" s="49">
        <f>VLOOKUP($A13,'Data shares'!$C:$FA,128)*100</f>
        <v>6.41</v>
      </c>
      <c r="F13" s="49">
        <f>VLOOKUP($A13,'Data shares'!$C:$FA,129)</f>
        <v>3308550</v>
      </c>
      <c r="G13" s="17"/>
    </row>
    <row r="14" spans="1:7" x14ac:dyDescent="0.25">
      <c r="A14" s="101" t="s">
        <v>167</v>
      </c>
      <c r="B14" s="17">
        <v>282181803</v>
      </c>
      <c r="C14" s="17">
        <v>95526000</v>
      </c>
      <c r="D14" s="17">
        <f t="shared" si="0"/>
        <v>95526000</v>
      </c>
      <c r="E14" s="49">
        <f>VLOOKUP($A14,'Data shares'!$C:$FA,128)*100</f>
        <v>8.3699999999999992</v>
      </c>
      <c r="F14" s="49">
        <f>VLOOKUP($A14,'Data shares'!$C:$FA,129)</f>
        <v>6740000</v>
      </c>
      <c r="G14" s="17"/>
    </row>
    <row r="15" spans="1:7" x14ac:dyDescent="0.25">
      <c r="A15" s="101" t="s">
        <v>222</v>
      </c>
      <c r="B15" s="17">
        <v>214194964</v>
      </c>
      <c r="C15" s="17">
        <v>37437400</v>
      </c>
      <c r="D15" s="17">
        <f t="shared" si="0"/>
        <v>37437400</v>
      </c>
      <c r="E15" s="49">
        <f>VLOOKUP($A15,'Data shares'!$C:$FA,128)*100</f>
        <v>16.75</v>
      </c>
      <c r="F15" s="49">
        <f>VLOOKUP($A15,'Data shares'!$C:$FA,129)</f>
        <v>1410150</v>
      </c>
      <c r="G15" s="17"/>
    </row>
    <row r="16" spans="1:7" x14ac:dyDescent="0.25">
      <c r="A16" s="101" t="s">
        <v>290</v>
      </c>
      <c r="B16" s="17">
        <v>31601465</v>
      </c>
      <c r="C16" s="17">
        <v>13192000</v>
      </c>
      <c r="D16" s="17">
        <f t="shared" si="0"/>
        <v>13192000</v>
      </c>
      <c r="E16" s="49">
        <f>VLOOKUP($A16,'Data shares'!$C:$FA,128)*100</f>
        <v>6.97</v>
      </c>
      <c r="F16" s="49">
        <f>VLOOKUP($A16,'Data shares'!$C:$FA,129)</f>
        <v>364650</v>
      </c>
      <c r="G16" s="17"/>
    </row>
    <row r="17" spans="1:7" x14ac:dyDescent="0.25">
      <c r="A17" s="101" t="s">
        <v>500</v>
      </c>
      <c r="B17" s="17">
        <v>24930381</v>
      </c>
      <c r="C17" s="17">
        <v>1925625</v>
      </c>
      <c r="D17" s="17">
        <f t="shared" si="0"/>
        <v>1925625</v>
      </c>
      <c r="E17" s="49">
        <f>VLOOKUP($A17,'Data shares'!$C:$FA,128)*100</f>
        <v>13.389999999999999</v>
      </c>
      <c r="F17" s="49">
        <f>VLOOKUP($A17,'Data shares'!$C:$FA,129)</f>
        <v>2685000</v>
      </c>
      <c r="G17" s="17"/>
    </row>
    <row r="18" spans="1:7" x14ac:dyDescent="0.25">
      <c r="A18" s="101" t="s">
        <v>491</v>
      </c>
      <c r="B18" s="17">
        <v>53841317</v>
      </c>
      <c r="C18" s="17">
        <v>9268750</v>
      </c>
      <c r="D18" s="17">
        <f t="shared" si="0"/>
        <v>9268750</v>
      </c>
      <c r="E18" s="49">
        <f>VLOOKUP($A18,'Data shares'!$C:$FA,128)*100</f>
        <v>2.41</v>
      </c>
      <c r="F18" s="49">
        <f>VLOOKUP($A18,'Data shares'!$C:$FA,129)</f>
        <v>221750</v>
      </c>
      <c r="G18" s="17"/>
    </row>
    <row r="19" spans="1:7" x14ac:dyDescent="0.25">
      <c r="A19" s="101" t="s">
        <v>257</v>
      </c>
      <c r="B19" s="17">
        <v>43771086</v>
      </c>
      <c r="C19" s="17">
        <v>2865850</v>
      </c>
      <c r="D19" s="17">
        <f t="shared" si="0"/>
        <v>2865850</v>
      </c>
      <c r="E19" s="49">
        <f>VLOOKUP($A19,'Data shares'!$C:$FA,128)*100</f>
        <v>3.83</v>
      </c>
      <c r="F19" s="49">
        <f>VLOOKUP($A19,'Data shares'!$C:$FA,129)</f>
        <v>192000</v>
      </c>
      <c r="G19" s="17"/>
    </row>
    <row r="20" spans="1:7" x14ac:dyDescent="0.25">
      <c r="A20" s="101" t="s">
        <v>259</v>
      </c>
      <c r="B20" s="17">
        <v>12838406</v>
      </c>
      <c r="C20" s="17">
        <v>3561800</v>
      </c>
      <c r="D20" s="17">
        <f t="shared" si="0"/>
        <v>3561800</v>
      </c>
      <c r="E20" s="49">
        <f>VLOOKUP($A20,'Data shares'!$C:$FA,128)*100</f>
        <v>7.1400000000000006</v>
      </c>
      <c r="F20" s="49">
        <f>VLOOKUP($A20,'Data shares'!$C:$FA,129)</f>
        <v>157220</v>
      </c>
      <c r="G20" s="17"/>
    </row>
    <row r="21" spans="1:7" x14ac:dyDescent="0.25">
      <c r="A21" s="101" t="s">
        <v>212</v>
      </c>
      <c r="B21" s="17">
        <v>393764205</v>
      </c>
      <c r="C21" s="17">
        <v>124730000</v>
      </c>
      <c r="D21" s="17">
        <f t="shared" si="0"/>
        <v>124730000</v>
      </c>
      <c r="E21" s="49">
        <f>VLOOKUP($A21,'Data shares'!$C:$FA,128)*100</f>
        <v>5.74</v>
      </c>
      <c r="F21" s="49">
        <f>VLOOKUP($A21,'Data shares'!$C:$FA,129)</f>
        <v>4780000</v>
      </c>
      <c r="G21" s="17"/>
    </row>
    <row r="22" spans="1:7" x14ac:dyDescent="0.25">
      <c r="A22" s="101" t="s">
        <v>209</v>
      </c>
      <c r="B22" s="17">
        <v>27768950</v>
      </c>
      <c r="C22" s="17">
        <v>5371100</v>
      </c>
      <c r="D22" s="17">
        <f t="shared" si="0"/>
        <v>5371100</v>
      </c>
      <c r="E22" s="49">
        <f>VLOOKUP($A22,'Data shares'!$C:$FA,128)*100</f>
        <v>9.91</v>
      </c>
      <c r="F22" s="49">
        <f>VLOOKUP($A22,'Data shares'!$C:$FA,129)</f>
        <v>392000</v>
      </c>
      <c r="G22" s="17"/>
    </row>
    <row r="23" spans="1:7" x14ac:dyDescent="0.25">
      <c r="A23" s="101" t="s">
        <v>501</v>
      </c>
      <c r="B23" s="17">
        <v>155792872</v>
      </c>
      <c r="C23" s="17">
        <v>50166406</v>
      </c>
      <c r="D23" s="17">
        <f t="shared" si="0"/>
        <v>50166406</v>
      </c>
      <c r="E23" s="49">
        <f>VLOOKUP($A23,'Data shares'!$C:$FA,128)*100</f>
        <v>6.13</v>
      </c>
      <c r="F23" s="49">
        <f>VLOOKUP($A23,'Data shares'!$C:$FA,129)</f>
        <v>1206000</v>
      </c>
      <c r="G23" s="17"/>
    </row>
    <row r="24" spans="1:7" x14ac:dyDescent="0.25">
      <c r="A24" s="101" t="s">
        <v>276</v>
      </c>
      <c r="B24" s="17">
        <v>678857930</v>
      </c>
      <c r="C24" s="17">
        <v>84677374</v>
      </c>
      <c r="D24" s="17">
        <f t="shared" si="0"/>
        <v>84677374</v>
      </c>
      <c r="E24" s="49">
        <f>VLOOKUP($A24,'Data shares'!$C:$FA,128)*100</f>
        <v>6.2600000000000007</v>
      </c>
      <c r="F24" s="49">
        <f>VLOOKUP($A24,'Data shares'!$C:$FA,129)</f>
        <v>3684100</v>
      </c>
      <c r="G24" s="17"/>
    </row>
    <row r="25" spans="1:7" x14ac:dyDescent="0.25">
      <c r="A25" s="101" t="s">
        <v>210</v>
      </c>
      <c r="B25" s="17">
        <v>14114257</v>
      </c>
      <c r="C25" s="17">
        <v>11000000</v>
      </c>
      <c r="D25" s="17">
        <f t="shared" si="0"/>
        <v>11000000</v>
      </c>
      <c r="E25" s="49">
        <f>VLOOKUP($A25,'Data shares'!$C:$FA,128)*100</f>
        <v>9.91</v>
      </c>
      <c r="F25" s="49">
        <f>VLOOKUP($A25,'Data shares'!$C:$FA,129)</f>
        <v>392000</v>
      </c>
      <c r="G25" s="17"/>
    </row>
    <row r="26" spans="1:7" x14ac:dyDescent="0.25">
      <c r="A26" s="101" t="s">
        <v>267</v>
      </c>
      <c r="B26" s="17">
        <v>229794455</v>
      </c>
      <c r="C26" s="17">
        <v>133289800</v>
      </c>
      <c r="D26" s="17">
        <f t="shared" si="0"/>
        <v>133289800</v>
      </c>
      <c r="E26" s="49">
        <f>VLOOKUP($A26,'Data shares'!$C:$FA,128)*100</f>
        <v>21.529999999999998</v>
      </c>
      <c r="F26" s="49">
        <f>VLOOKUP($A26,'Data shares'!$C:$FA,129)</f>
        <v>50058000</v>
      </c>
      <c r="G26" s="17"/>
    </row>
    <row r="27" spans="1:7" x14ac:dyDescent="0.25">
      <c r="A27" s="101" t="s">
        <v>533</v>
      </c>
      <c r="B27" s="17">
        <v>61337685</v>
      </c>
      <c r="C27" s="17">
        <v>24741600</v>
      </c>
      <c r="D27" s="17">
        <f t="shared" si="0"/>
        <v>24741600</v>
      </c>
      <c r="E27" s="49">
        <f>VLOOKUP($A27,'Data shares'!$C:$FA,128)*100</f>
        <v>7.1999999999999993</v>
      </c>
      <c r="F27" s="49">
        <f>VLOOKUP($A27,'Data shares'!$C:$FA,129)</f>
        <v>648675</v>
      </c>
      <c r="G27" s="17"/>
    </row>
    <row r="28" spans="1:7" x14ac:dyDescent="0.25">
      <c r="A28" s="101" t="s">
        <v>502</v>
      </c>
      <c r="B28" s="17">
        <v>5165920</v>
      </c>
      <c r="C28" s="17">
        <v>1179400</v>
      </c>
      <c r="D28" s="17">
        <f t="shared" si="0"/>
        <v>1179400</v>
      </c>
      <c r="E28" s="49">
        <f>VLOOKUP($A28,'Data shares'!$C:$FA,128)*100</f>
        <v>7.1400000000000006</v>
      </c>
      <c r="F28" s="49">
        <f>VLOOKUP($A28,'Data shares'!$C:$FA,129)</f>
        <v>112375</v>
      </c>
      <c r="G28" s="17"/>
    </row>
    <row r="29" spans="1:7" x14ac:dyDescent="0.25">
      <c r="A29" s="101" t="s">
        <v>474</v>
      </c>
      <c r="B29" s="17">
        <v>7339737</v>
      </c>
      <c r="C29" s="17">
        <v>979625</v>
      </c>
      <c r="D29" s="17">
        <f t="shared" si="0"/>
        <v>979625</v>
      </c>
      <c r="E29" s="49">
        <f>VLOOKUP($A29,'Data shares'!$C:$FA,128)*100</f>
        <v>13.3</v>
      </c>
      <c r="F29" s="49">
        <f>VLOOKUP($A29,'Data shares'!$C:$FA,129)</f>
        <v>456400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9.99</v>
      </c>
      <c r="F31" s="49">
        <f>VLOOKUP($A31,'Data shares'!$C:$FA,129)</f>
        <v>8550000</v>
      </c>
      <c r="G31" s="17"/>
    </row>
    <row r="32" spans="1:7" x14ac:dyDescent="0.25">
      <c r="A32" s="101" t="s">
        <v>557</v>
      </c>
      <c r="B32" s="17">
        <v>51441633</v>
      </c>
      <c r="C32" s="17">
        <v>26329600</v>
      </c>
      <c r="D32" s="17">
        <f t="shared" si="0"/>
        <v>26329600</v>
      </c>
      <c r="E32" s="49">
        <f>VLOOKUP($A32,'Data shares'!$C:$FA,128)*100</f>
        <v>15.47</v>
      </c>
      <c r="F32" s="49">
        <f>VLOOKUP($A32,'Data shares'!$C:$FA,129)</f>
        <v>1064700</v>
      </c>
      <c r="G32" s="17"/>
    </row>
    <row r="33" spans="1:7" x14ac:dyDescent="0.25">
      <c r="A33" s="101" t="s">
        <v>549</v>
      </c>
      <c r="B33" s="17">
        <v>319287188</v>
      </c>
      <c r="C33" s="17">
        <v>149780000</v>
      </c>
      <c r="D33" s="17">
        <f t="shared" si="0"/>
        <v>149780000</v>
      </c>
      <c r="E33" s="49">
        <f>VLOOKUP($A33,'Data shares'!$C:$FA,128)*100</f>
        <v>20.169999999999998</v>
      </c>
      <c r="F33" s="49">
        <f>VLOOKUP($A33,'Data shares'!$C:$FA,129)</f>
        <v>968915100</v>
      </c>
      <c r="G33" s="17"/>
    </row>
    <row r="34" spans="1:7" x14ac:dyDescent="0.25">
      <c r="A34" s="101" t="s">
        <v>536</v>
      </c>
      <c r="B34" s="17">
        <v>57585215</v>
      </c>
      <c r="C34" s="17">
        <v>5314000</v>
      </c>
      <c r="D34" s="17">
        <f t="shared" si="0"/>
        <v>5314000</v>
      </c>
      <c r="E34" s="49">
        <f>VLOOKUP($A34,'Data shares'!$C:$FA,128)*100</f>
        <v>9.4700000000000006</v>
      </c>
      <c r="F34" s="49">
        <f>VLOOKUP($A34,'Data shares'!$C:$FA,129)</f>
        <v>1064800</v>
      </c>
      <c r="G34" s="17"/>
    </row>
    <row r="35" spans="1:7" x14ac:dyDescent="0.25">
      <c r="A35" s="101" t="s">
        <v>270</v>
      </c>
      <c r="B35" s="17">
        <v>1178038</v>
      </c>
      <c r="C35" s="17">
        <v>100890</v>
      </c>
      <c r="D35" s="17">
        <f t="shared" si="0"/>
        <v>100890</v>
      </c>
      <c r="E35" s="49">
        <f>VLOOKUP($A35,'Data shares'!$C:$FA,128)*100</f>
        <v>6.2399999999999993</v>
      </c>
      <c r="F35" s="49">
        <f>VLOOKUP($A35,'Data shares'!$C:$FA,129)</f>
        <v>15285</v>
      </c>
      <c r="G35" s="17"/>
    </row>
    <row r="36" spans="1:7" x14ac:dyDescent="0.25">
      <c r="A36" s="101" t="s">
        <v>258</v>
      </c>
      <c r="B36" s="17">
        <v>13335005</v>
      </c>
      <c r="C36" s="17">
        <v>5970600</v>
      </c>
      <c r="D36" s="17">
        <f t="shared" si="0"/>
        <v>5970600</v>
      </c>
      <c r="E36" s="49">
        <f>VLOOKUP($A36,'Data shares'!$C:$FA,128)*100</f>
        <v>3.83</v>
      </c>
      <c r="F36" s="49">
        <f>VLOOKUP($A36,'Data shares'!$C:$FA,129)</f>
        <v>192000</v>
      </c>
      <c r="G36" s="17"/>
    </row>
    <row r="37" spans="1:7" x14ac:dyDescent="0.25">
      <c r="A37" s="101" t="s">
        <v>301</v>
      </c>
      <c r="B37" s="17">
        <v>14428803</v>
      </c>
      <c r="C37" s="17">
        <v>2171400</v>
      </c>
      <c r="D37" s="17">
        <f t="shared" si="0"/>
        <v>2171400</v>
      </c>
      <c r="E37" s="49">
        <f>VLOOKUP($A37,'Data shares'!$C:$FA,128)*100</f>
        <v>9.9599999999999991</v>
      </c>
      <c r="F37" s="49">
        <f>VLOOKUP($A37,'Data shares'!$C:$FA,129)</f>
        <v>863100</v>
      </c>
      <c r="G37" s="17"/>
    </row>
    <row r="38" spans="1:7" x14ac:dyDescent="0.25">
      <c r="A38" s="101" t="s">
        <v>283</v>
      </c>
      <c r="B38" s="17">
        <v>747713393</v>
      </c>
      <c r="C38" s="17">
        <v>158166000</v>
      </c>
      <c r="D38" s="17">
        <f t="shared" si="0"/>
        <v>158166000</v>
      </c>
      <c r="E38" s="49">
        <f>VLOOKUP($A38,'Data shares'!$C:$FA,128)*100</f>
        <v>11.450000000000001</v>
      </c>
      <c r="F38" s="49">
        <f>VLOOKUP($A38,'Data shares'!$C:$FA,129)</f>
        <v>10423500</v>
      </c>
      <c r="G38" s="17"/>
    </row>
    <row r="39" spans="1:7" x14ac:dyDescent="0.25">
      <c r="A39" s="101" t="s">
        <v>281</v>
      </c>
      <c r="B39" s="17">
        <v>648405756</v>
      </c>
      <c r="C39" s="17">
        <v>61815500</v>
      </c>
      <c r="D39" s="17">
        <f t="shared" si="0"/>
        <v>61815500</v>
      </c>
      <c r="E39" s="49">
        <f>VLOOKUP($A39,'Data shares'!$C:$FA,128)*100</f>
        <v>21.69</v>
      </c>
      <c r="F39" s="49">
        <f>VLOOKUP($A39,'Data shares'!$C:$FA,129)</f>
        <v>24203500</v>
      </c>
      <c r="G39" s="17"/>
    </row>
    <row r="40" spans="1:7" x14ac:dyDescent="0.25">
      <c r="A40" s="101" t="s">
        <v>198</v>
      </c>
      <c r="B40" s="17">
        <v>79546680</v>
      </c>
      <c r="C40" s="17">
        <v>13283750</v>
      </c>
      <c r="D40" s="17">
        <f t="shared" si="0"/>
        <v>13283750</v>
      </c>
      <c r="E40" s="49">
        <f>VLOOKUP($A40,'Data shares'!$C:$FA,128)*100</f>
        <v>6.5600000000000005</v>
      </c>
      <c r="F40" s="49">
        <f>VLOOKUP($A40,'Data shares'!$C:$FA,129)</f>
        <v>554375</v>
      </c>
      <c r="G40" s="17"/>
    </row>
    <row r="41" spans="1:7" x14ac:dyDescent="0.25">
      <c r="A41" s="101" t="s">
        <v>299</v>
      </c>
      <c r="B41" s="17">
        <v>44634693</v>
      </c>
      <c r="C41" s="17">
        <v>3805500</v>
      </c>
      <c r="D41" s="17">
        <f t="shared" si="0"/>
        <v>3805500</v>
      </c>
      <c r="E41" s="49">
        <f>VLOOKUP($A41,'Data shares'!$C:$FA,128)*100</f>
        <v>6.5699999999999994</v>
      </c>
      <c r="F41" s="49">
        <f>VLOOKUP($A41,'Data shares'!$C:$FA,129)</f>
        <v>127125</v>
      </c>
      <c r="G41" s="17"/>
    </row>
    <row r="42" spans="1:7" x14ac:dyDescent="0.25">
      <c r="A42" s="101" t="s">
        <v>273</v>
      </c>
      <c r="B42" s="17">
        <v>232357926</v>
      </c>
      <c r="C42" s="17">
        <v>67053000</v>
      </c>
      <c r="D42" s="17">
        <f t="shared" si="0"/>
        <v>67053000</v>
      </c>
      <c r="E42" s="49">
        <f>VLOOKUP($A42,'Data shares'!$C:$FA,128)*100</f>
        <v>19.05</v>
      </c>
      <c r="F42" s="49">
        <f>VLOOKUP($A42,'Data shares'!$C:$FA,129)</f>
        <v>9874800</v>
      </c>
      <c r="G42" s="17"/>
    </row>
    <row r="43" spans="1:7" x14ac:dyDescent="0.25">
      <c r="A43" s="101" t="s">
        <v>207</v>
      </c>
      <c r="B43" s="17">
        <v>124016568</v>
      </c>
      <c r="C43" s="17">
        <v>57530550</v>
      </c>
      <c r="D43" s="17">
        <f t="shared" si="0"/>
        <v>57530550</v>
      </c>
      <c r="E43" s="49">
        <f>VLOOKUP($A43,'Data shares'!$C:$FA,128)*100</f>
        <v>7.23</v>
      </c>
      <c r="F43" s="49">
        <f>VLOOKUP($A43,'Data shares'!$C:$FA,129)</f>
        <v>2144175</v>
      </c>
      <c r="G43" s="17"/>
    </row>
    <row r="44" spans="1:7" x14ac:dyDescent="0.25">
      <c r="A44" s="101" t="s">
        <v>191</v>
      </c>
      <c r="B44" s="17">
        <v>92946457</v>
      </c>
      <c r="C44" s="17">
        <v>36478000</v>
      </c>
      <c r="D44" s="17">
        <f t="shared" si="0"/>
        <v>36478000</v>
      </c>
      <c r="E44" s="49">
        <f>VLOOKUP($A44,'Data shares'!$C:$FA,128)*100</f>
        <v>8.51</v>
      </c>
      <c r="F44" s="49">
        <f>VLOOKUP($A44,'Data shares'!$C:$FA,129)</f>
        <v>3382500</v>
      </c>
      <c r="G44" s="17"/>
    </row>
    <row r="45" spans="1:7" x14ac:dyDescent="0.25">
      <c r="A45" s="101" t="s">
        <v>288</v>
      </c>
      <c r="B45" s="17">
        <v>218440087</v>
      </c>
      <c r="C45" s="17">
        <v>44080400</v>
      </c>
      <c r="D45" s="17">
        <f t="shared" si="0"/>
        <v>44080400</v>
      </c>
      <c r="E45" s="49">
        <f>VLOOKUP($A45,'Data shares'!$C:$FA,128)*100</f>
        <v>11.81</v>
      </c>
      <c r="F45" s="49">
        <f>VLOOKUP($A45,'Data shares'!$C:$FA,129)</f>
        <v>1755950</v>
      </c>
      <c r="G45" s="17"/>
    </row>
    <row r="46" spans="1:7" x14ac:dyDescent="0.25">
      <c r="A46" s="101" t="s">
        <v>275</v>
      </c>
      <c r="B46" s="17">
        <v>591377974</v>
      </c>
      <c r="C46" s="17">
        <v>493488000</v>
      </c>
      <c r="D46" s="17">
        <f t="shared" si="0"/>
        <v>493488000</v>
      </c>
      <c r="E46" s="49">
        <f>VLOOKUP($A46,'Data shares'!$C:$FA,128)*100</f>
        <v>10.459999999999999</v>
      </c>
      <c r="F46" s="49">
        <f>VLOOKUP($A46,'Data shares'!$C:$FA,129)</f>
        <v>22400000</v>
      </c>
      <c r="G46" s="17"/>
    </row>
    <row r="47" spans="1:7" x14ac:dyDescent="0.25">
      <c r="A47" s="101" t="s">
        <v>277</v>
      </c>
      <c r="B47" s="17">
        <v>10116165</v>
      </c>
      <c r="C47" s="17">
        <v>7378910</v>
      </c>
      <c r="D47" s="17">
        <f t="shared" si="0"/>
        <v>7378910</v>
      </c>
      <c r="E47" s="49">
        <f>VLOOKUP($A47,'Data shares'!$C:$FA,128)*100</f>
        <v>3.62</v>
      </c>
      <c r="F47" s="49">
        <f>VLOOKUP($A47,'Data shares'!$C:$FA,129)</f>
        <v>123300</v>
      </c>
      <c r="G47" s="17"/>
    </row>
    <row r="48" spans="1:7" x14ac:dyDescent="0.25">
      <c r="A48" s="101" t="s">
        <v>196</v>
      </c>
      <c r="B48" s="17">
        <v>134484114</v>
      </c>
      <c r="C48" s="17">
        <v>73278000</v>
      </c>
      <c r="D48" s="17">
        <f t="shared" si="0"/>
        <v>73278000</v>
      </c>
      <c r="E48" s="49">
        <f>VLOOKUP($A48,'Data shares'!$C:$FA,128)*100</f>
        <v>8.1199999999999992</v>
      </c>
      <c r="F48" s="49">
        <f>VLOOKUP($A48,'Data shares'!$C:$FA,129)</f>
        <v>15126750</v>
      </c>
      <c r="G48" s="17"/>
    </row>
    <row r="49" spans="1:7" x14ac:dyDescent="0.25">
      <c r="A49" s="101" t="s">
        <v>287</v>
      </c>
      <c r="B49" s="17">
        <v>40005132</v>
      </c>
      <c r="C49" s="17">
        <v>6264400</v>
      </c>
      <c r="D49" s="17">
        <f t="shared" si="0"/>
        <v>6264400</v>
      </c>
      <c r="E49" s="49">
        <f>VLOOKUP($A49,'Data shares'!$C:$FA,128)*100</f>
        <v>5.66</v>
      </c>
      <c r="F49" s="49">
        <f>VLOOKUP($A49,'Data shares'!$C:$FA,129)</f>
        <v>196800</v>
      </c>
      <c r="G49" s="17"/>
    </row>
    <row r="50" spans="1:7" x14ac:dyDescent="0.25">
      <c r="A50" s="101" t="s">
        <v>553</v>
      </c>
      <c r="B50" s="17">
        <v>10595418</v>
      </c>
      <c r="C50" s="17">
        <v>250250</v>
      </c>
      <c r="D50" s="17">
        <f t="shared" si="0"/>
        <v>250250</v>
      </c>
      <c r="E50" s="49">
        <f>VLOOKUP($A50,'Data shares'!$C:$FA,128)*100</f>
        <v>9.48</v>
      </c>
      <c r="F50" s="49">
        <f>VLOOKUP($A50,'Data shares'!$C:$FA,129)</f>
        <v>246250</v>
      </c>
      <c r="G50" s="17"/>
    </row>
    <row r="51" spans="1:7" x14ac:dyDescent="0.25">
      <c r="A51" s="101" t="s">
        <v>519</v>
      </c>
      <c r="B51" s="17">
        <v>9516271</v>
      </c>
      <c r="C51" s="17">
        <v>1000800</v>
      </c>
      <c r="D51" s="17">
        <f t="shared" si="0"/>
        <v>1000800</v>
      </c>
      <c r="E51" s="49">
        <f>VLOOKUP($A51,'Data shares'!$C:$FA,128)*100</f>
        <v>4.96</v>
      </c>
      <c r="F51" s="49">
        <f>VLOOKUP($A51,'Data shares'!$C:$FA,129)</f>
        <v>82375</v>
      </c>
      <c r="G51" s="17"/>
    </row>
    <row r="52" spans="1:7" x14ac:dyDescent="0.25">
      <c r="A52" s="101" t="s">
        <v>550</v>
      </c>
      <c r="B52" s="17">
        <v>137684181</v>
      </c>
      <c r="C52" s="17">
        <v>42696000</v>
      </c>
      <c r="D52" s="17">
        <f t="shared" si="0"/>
        <v>42696000</v>
      </c>
      <c r="E52" s="49">
        <f>VLOOKUP($A52,'Data shares'!$C:$FA,128)*100</f>
        <v>11</v>
      </c>
      <c r="F52" s="49">
        <f>VLOOKUP($A52,'Data shares'!$C:$FA,129)</f>
        <v>4478500</v>
      </c>
      <c r="G52" s="17"/>
    </row>
    <row r="53" spans="1:7" x14ac:dyDescent="0.25">
      <c r="A53" s="101" t="s">
        <v>284</v>
      </c>
      <c r="B53" s="17">
        <v>2702190</v>
      </c>
      <c r="C53" s="17">
        <v>250575</v>
      </c>
      <c r="D53" s="17">
        <f t="shared" si="0"/>
        <v>250575</v>
      </c>
      <c r="E53" s="49">
        <f>VLOOKUP($A53,'Data shares'!$C:$FA,128)*100</f>
        <v>3.52</v>
      </c>
      <c r="F53" s="49">
        <f>VLOOKUP($A53,'Data shares'!$C:$FA,129)</f>
        <v>8275</v>
      </c>
      <c r="G53" s="17"/>
    </row>
    <row r="54" spans="1:7" x14ac:dyDescent="0.25">
      <c r="A54" s="101" t="s">
        <v>488</v>
      </c>
      <c r="B54" s="17">
        <v>5499709</v>
      </c>
      <c r="C54" s="17">
        <v>1097600</v>
      </c>
      <c r="D54" s="17">
        <f t="shared" si="0"/>
        <v>1097600</v>
      </c>
      <c r="E54" s="49">
        <f>VLOOKUP($A54,'Data shares'!$C:$FA,128)*100</f>
        <v>12.4</v>
      </c>
      <c r="F54" s="49">
        <f>VLOOKUP($A54,'Data shares'!$C:$FA,129)</f>
        <v>237750</v>
      </c>
      <c r="G54" s="17"/>
    </row>
    <row r="55" spans="1:7" x14ac:dyDescent="0.25">
      <c r="A55" s="101" t="s">
        <v>523</v>
      </c>
      <c r="B55" s="17">
        <v>118085392</v>
      </c>
      <c r="C55" s="17">
        <v>6549400</v>
      </c>
      <c r="D55" s="17">
        <f t="shared" si="0"/>
        <v>6549400</v>
      </c>
      <c r="E55" s="49">
        <f>VLOOKUP($A55,'Data shares'!$C:$FA,128)*100</f>
        <v>4.7600000000000007</v>
      </c>
      <c r="F55" s="49">
        <f>VLOOKUP($A55,'Data shares'!$C:$FA,129)</f>
        <v>1584000</v>
      </c>
      <c r="G55" s="17"/>
    </row>
    <row r="56" spans="1:7" x14ac:dyDescent="0.25">
      <c r="A56" s="101" t="s">
        <v>485</v>
      </c>
      <c r="B56" s="17">
        <v>6917069</v>
      </c>
      <c r="C56" s="17">
        <v>762075</v>
      </c>
      <c r="D56" s="17">
        <f t="shared" si="0"/>
        <v>762075</v>
      </c>
      <c r="E56" s="49">
        <f>VLOOKUP($A56,'Data shares'!$C:$FA,128)*100</f>
        <v>3.93</v>
      </c>
      <c r="F56" s="49">
        <f>VLOOKUP($A56,'Data shares'!$C:$FA,129)</f>
        <v>252000</v>
      </c>
      <c r="G56" s="17"/>
    </row>
    <row r="57" spans="1:7" x14ac:dyDescent="0.25">
      <c r="A57" s="101" t="s">
        <v>178</v>
      </c>
      <c r="B57" s="17">
        <v>16125398</v>
      </c>
      <c r="C57" s="17">
        <v>1552600</v>
      </c>
      <c r="D57" s="17">
        <f t="shared" si="0"/>
        <v>1552600</v>
      </c>
      <c r="E57" s="49">
        <f>VLOOKUP($A57,'Data shares'!$C:$FA,128)*100</f>
        <v>14.7</v>
      </c>
      <c r="F57" s="49">
        <f>VLOOKUP($A57,'Data shares'!$C:$FA,129)</f>
        <v>12594000</v>
      </c>
      <c r="G57" s="17"/>
    </row>
    <row r="58" spans="1:7" x14ac:dyDescent="0.25">
      <c r="A58" s="101" t="s">
        <v>240</v>
      </c>
      <c r="B58" s="17">
        <v>727896180</v>
      </c>
      <c r="C58" s="17">
        <v>46526100</v>
      </c>
      <c r="D58" s="17">
        <f t="shared" si="0"/>
        <v>46526100</v>
      </c>
      <c r="E58" s="49">
        <f>VLOOKUP($A58,'Data shares'!$C:$FA,128)*100</f>
        <v>10.119999999999999</v>
      </c>
      <c r="F58" s="49">
        <f>VLOOKUP($A58,'Data shares'!$C:$FA,129)</f>
        <v>7138400</v>
      </c>
      <c r="G58" s="17"/>
    </row>
    <row r="59" spans="1:7" x14ac:dyDescent="0.25">
      <c r="A59" s="101" t="s">
        <v>202</v>
      </c>
      <c r="B59" s="17">
        <v>55081874</v>
      </c>
      <c r="C59" s="17">
        <v>10856000</v>
      </c>
      <c r="D59" s="17">
        <f t="shared" si="0"/>
        <v>10856000</v>
      </c>
      <c r="E59" s="49">
        <f>VLOOKUP($A59,'Data shares'!$C:$FA,128)*100</f>
        <v>13.389999999999999</v>
      </c>
      <c r="F59" s="49">
        <f>VLOOKUP($A59,'Data shares'!$C:$FA,129)</f>
        <v>2685000</v>
      </c>
      <c r="G59" s="17"/>
    </row>
    <row r="60" spans="1:7" x14ac:dyDescent="0.25">
      <c r="A60" s="101" t="s">
        <v>245</v>
      </c>
      <c r="B60" s="17">
        <v>15273675</v>
      </c>
      <c r="C60" s="17">
        <v>5077125</v>
      </c>
      <c r="D60" s="17">
        <f t="shared" si="0"/>
        <v>5077125</v>
      </c>
      <c r="E60" s="49">
        <f>VLOOKUP($A60,'Data shares'!$C:$FA,128)*100</f>
        <v>3.3000000000000003</v>
      </c>
      <c r="F60" s="49">
        <f>VLOOKUP($A60,'Data shares'!$C:$FA,129)</f>
        <v>706250</v>
      </c>
      <c r="G60" s="17"/>
    </row>
    <row r="61" spans="1:7" x14ac:dyDescent="0.25">
      <c r="A61" s="101" t="s">
        <v>173</v>
      </c>
      <c r="B61" s="17">
        <v>541823383</v>
      </c>
      <c r="C61" s="17">
        <v>95378400</v>
      </c>
      <c r="D61" s="17">
        <f t="shared" si="0"/>
        <v>95378400</v>
      </c>
      <c r="E61" s="49">
        <f>VLOOKUP($A61,'Data shares'!$C:$FA,128)*100</f>
        <v>9.1300000000000008</v>
      </c>
      <c r="F61" s="49">
        <f>VLOOKUP($A61,'Data shares'!$C:$FA,129)</f>
        <v>7295000</v>
      </c>
      <c r="G61" s="17"/>
    </row>
    <row r="62" spans="1:7" x14ac:dyDescent="0.25">
      <c r="A62" s="101" t="s">
        <v>234</v>
      </c>
      <c r="B62" s="17">
        <v>1606294231</v>
      </c>
      <c r="C62" s="17">
        <v>1302000000</v>
      </c>
      <c r="D62" s="17">
        <f t="shared" si="0"/>
        <v>1302000000</v>
      </c>
      <c r="E62" s="49">
        <f>VLOOKUP($A62,'Data shares'!$C:$FA,128)*100</f>
        <v>20.169999999999998</v>
      </c>
      <c r="F62" s="49">
        <f>VLOOKUP($A62,'Data shares'!$C:$FA,129)</f>
        <v>968915100</v>
      </c>
      <c r="G62" s="17"/>
    </row>
    <row r="63" spans="1:7" x14ac:dyDescent="0.25">
      <c r="A63" s="101" t="s">
        <v>235</v>
      </c>
      <c r="B63" s="17">
        <v>789260827</v>
      </c>
      <c r="C63" s="17">
        <v>462303900</v>
      </c>
      <c r="D63" s="17">
        <f t="shared" si="0"/>
        <v>462303900</v>
      </c>
      <c r="E63" s="49">
        <f>VLOOKUP($A63,'Data shares'!$C:$FA,128)*100</f>
        <v>10.67</v>
      </c>
      <c r="F63" s="49">
        <f>VLOOKUP($A63,'Data shares'!$C:$FA,129)</f>
        <v>32527425</v>
      </c>
      <c r="G63" s="17"/>
    </row>
    <row r="64" spans="1:7" x14ac:dyDescent="0.25">
      <c r="A64" s="101" t="s">
        <v>482</v>
      </c>
      <c r="B64" s="17">
        <v>44785930</v>
      </c>
      <c r="C64" s="17">
        <v>4025925</v>
      </c>
      <c r="D64" s="17">
        <f t="shared" si="0"/>
        <v>4025925</v>
      </c>
      <c r="E64" s="49">
        <f>VLOOKUP($A64,'Data shares'!$C:$FA,128)*100</f>
        <v>8.66</v>
      </c>
      <c r="F64" s="49">
        <f>VLOOKUP($A64,'Data shares'!$C:$FA,129)</f>
        <v>357200</v>
      </c>
      <c r="G64" s="17"/>
    </row>
    <row r="65" spans="1:7" x14ac:dyDescent="0.25">
      <c r="A65" s="101" t="s">
        <v>475</v>
      </c>
      <c r="B65" s="17">
        <v>13287700</v>
      </c>
      <c r="C65" s="17">
        <v>3968400</v>
      </c>
      <c r="D65" s="17">
        <f t="shared" si="0"/>
        <v>3968400</v>
      </c>
      <c r="E65" s="49">
        <f>VLOOKUP($A65,'Data shares'!$C:$FA,128)*100</f>
        <v>10.5</v>
      </c>
      <c r="F65" s="49">
        <f>VLOOKUP($A65,'Data shares'!$C:$FA,129)</f>
        <v>266700</v>
      </c>
      <c r="G65" s="17"/>
    </row>
    <row r="66" spans="1:7" x14ac:dyDescent="0.25">
      <c r="A66" s="101" t="s">
        <v>306</v>
      </c>
      <c r="B66" s="17">
        <v>292716179</v>
      </c>
      <c r="C66" s="17">
        <v>57797600</v>
      </c>
      <c r="D66" s="17">
        <f t="shared" si="0"/>
        <v>57797600</v>
      </c>
      <c r="E66" s="49">
        <f>VLOOKUP($A66,'Data shares'!$C:$FA,128)*100</f>
        <v>17.690000000000001</v>
      </c>
      <c r="F66" s="49">
        <f>VLOOKUP($A66,'Data shares'!$C:$FA,129)</f>
        <v>24258000</v>
      </c>
      <c r="G66" s="17"/>
    </row>
    <row r="67" spans="1:7" x14ac:dyDescent="0.25">
      <c r="A67" s="101" t="s">
        <v>262</v>
      </c>
      <c r="B67" s="17">
        <v>21376133</v>
      </c>
      <c r="C67" s="17">
        <v>5958375</v>
      </c>
      <c r="D67" s="17">
        <f t="shared" si="0"/>
        <v>5958375</v>
      </c>
      <c r="E67" s="49">
        <f>VLOOKUP($A67,'Data shares'!$C:$FA,128)*100</f>
        <v>12.870000000000001</v>
      </c>
      <c r="F67" s="49">
        <f>VLOOKUP($A67,'Data shares'!$C:$FA,129)</f>
        <v>440000</v>
      </c>
      <c r="G67" s="17"/>
    </row>
    <row r="68" spans="1:7" x14ac:dyDescent="0.25">
      <c r="A68" s="101" t="s">
        <v>174</v>
      </c>
      <c r="B68" s="17">
        <v>26775498</v>
      </c>
      <c r="C68" s="17">
        <v>3494750</v>
      </c>
      <c r="D68" s="17">
        <f t="shared" si="0"/>
        <v>3494750</v>
      </c>
      <c r="E68" s="49">
        <f>VLOOKUP($A68,'Data shares'!$C:$FA,128)*100</f>
        <v>6.18</v>
      </c>
      <c r="F68" s="49">
        <f>VLOOKUP($A68,'Data shares'!$C:$FA,129)</f>
        <v>128325</v>
      </c>
      <c r="G68" s="17"/>
    </row>
    <row r="69" spans="1:7" x14ac:dyDescent="0.25">
      <c r="A69" s="101" t="s">
        <v>286</v>
      </c>
      <c r="B69" s="17">
        <v>29168705</v>
      </c>
      <c r="C69" s="17">
        <v>6373125</v>
      </c>
      <c r="D69" s="17">
        <f t="shared" si="0"/>
        <v>6373125</v>
      </c>
      <c r="E69" s="49">
        <f>VLOOKUP($A69,'Data shares'!$C:$FA,128)*100</f>
        <v>5.66</v>
      </c>
      <c r="F69" s="49">
        <f>VLOOKUP($A69,'Data shares'!$C:$FA,129)</f>
        <v>196800</v>
      </c>
      <c r="G69" s="17"/>
    </row>
    <row r="70" spans="1:7" x14ac:dyDescent="0.25">
      <c r="A70" s="101" t="s">
        <v>297</v>
      </c>
      <c r="B70" s="17">
        <v>83636848</v>
      </c>
      <c r="C70" s="17">
        <v>13455750</v>
      </c>
      <c r="D70" s="17">
        <f t="shared" si="0"/>
        <v>13455750</v>
      </c>
      <c r="E70" s="49">
        <f>VLOOKUP($A70,'Data shares'!$C:$FA,128)*100</f>
        <v>7.7399999999999993</v>
      </c>
      <c r="F70" s="49">
        <f>VLOOKUP($A70,'Data shares'!$C:$FA,129)</f>
        <v>603575</v>
      </c>
      <c r="G70" s="17"/>
    </row>
    <row r="71" spans="1:7" x14ac:dyDescent="0.25">
      <c r="A71" s="101" t="s">
        <v>302</v>
      </c>
      <c r="B71" s="17">
        <v>23058222</v>
      </c>
      <c r="C71" s="17">
        <v>3980500</v>
      </c>
      <c r="D71" s="17">
        <f t="shared" ref="D71:D134" si="1">C71</f>
        <v>3980500</v>
      </c>
      <c r="E71" s="49">
        <f>VLOOKUP($A71,'Data shares'!$C:$FA,128)*100</f>
        <v>4.01</v>
      </c>
      <c r="F71" s="49">
        <f>VLOOKUP($A71,'Data shares'!$C:$FA,129)</f>
        <v>65400</v>
      </c>
      <c r="G71" s="17"/>
    </row>
    <row r="72" spans="1:7" x14ac:dyDescent="0.25">
      <c r="A72" s="101" t="s">
        <v>307</v>
      </c>
      <c r="B72" s="17">
        <v>184439886</v>
      </c>
      <c r="C72" s="17">
        <v>122460000</v>
      </c>
      <c r="D72" s="17">
        <f t="shared" si="1"/>
        <v>122460000</v>
      </c>
      <c r="E72" s="49">
        <f>VLOOKUP($A72,'Data shares'!$C:$FA,128)*100</f>
        <v>11.799999999999999</v>
      </c>
      <c r="F72" s="49">
        <f>VLOOKUP($A72,'Data shares'!$C:$FA,129)</f>
        <v>101914700</v>
      </c>
      <c r="G72" s="17"/>
    </row>
    <row r="73" spans="1:7" x14ac:dyDescent="0.25">
      <c r="A73" s="101" t="s">
        <v>177</v>
      </c>
      <c r="B73" s="17">
        <v>52956314</v>
      </c>
      <c r="C73" s="17">
        <v>7784625</v>
      </c>
      <c r="D73" s="17">
        <f t="shared" si="1"/>
        <v>7784625</v>
      </c>
      <c r="E73" s="49">
        <f>VLOOKUP($A73,'Data shares'!$C:$FA,128)*100</f>
        <v>14.7</v>
      </c>
      <c r="F73" s="49">
        <f>VLOOKUP($A73,'Data shares'!$C:$FA,129)</f>
        <v>12594000</v>
      </c>
      <c r="G73" s="17"/>
    </row>
    <row r="74" spans="1:7" x14ac:dyDescent="0.25">
      <c r="A74" s="101" t="s">
        <v>545</v>
      </c>
      <c r="B74" s="17">
        <v>23498849</v>
      </c>
      <c r="C74" s="17">
        <v>15745600</v>
      </c>
      <c r="D74" s="17">
        <f t="shared" si="1"/>
        <v>15745600</v>
      </c>
      <c r="E74" s="49">
        <f>VLOOKUP($A74,'Data shares'!$C:$FA,128)*100</f>
        <v>14.7</v>
      </c>
      <c r="F74" s="49">
        <f>VLOOKUP($A74,'Data shares'!$C:$FA,129)</f>
        <v>12594000</v>
      </c>
      <c r="G74" s="17"/>
    </row>
    <row r="75" spans="1:7" x14ac:dyDescent="0.25">
      <c r="A75" s="101" t="s">
        <v>185</v>
      </c>
      <c r="B75" s="17">
        <v>238123793</v>
      </c>
      <c r="C75" s="17">
        <v>59926000</v>
      </c>
      <c r="D75" s="17">
        <f t="shared" si="1"/>
        <v>59926000</v>
      </c>
      <c r="E75" s="49">
        <f>VLOOKUP($A75,'Data shares'!$C:$FA,128)*100</f>
        <v>14.799999999999999</v>
      </c>
      <c r="F75" s="49">
        <f>VLOOKUP($A75,'Data shares'!$C:$FA,129)</f>
        <v>12334800</v>
      </c>
      <c r="G75" s="17"/>
    </row>
    <row r="76" spans="1:7" x14ac:dyDescent="0.25">
      <c r="A76" s="101" t="s">
        <v>219</v>
      </c>
      <c r="B76" s="17">
        <v>75317259</v>
      </c>
      <c r="C76" s="17">
        <v>12188500</v>
      </c>
      <c r="D76" s="17">
        <f t="shared" si="1"/>
        <v>12188500</v>
      </c>
      <c r="E76" s="49">
        <f>VLOOKUP($A76,'Data shares'!$C:$FA,128)*100</f>
        <v>2.41</v>
      </c>
      <c r="F76" s="49">
        <f>VLOOKUP($A76,'Data shares'!$C:$FA,129)</f>
        <v>221750</v>
      </c>
      <c r="G76" s="17"/>
    </row>
    <row r="77" spans="1:7" x14ac:dyDescent="0.25">
      <c r="A77" s="101" t="s">
        <v>534</v>
      </c>
      <c r="B77" s="17">
        <v>70381221</v>
      </c>
      <c r="C77" s="17">
        <v>3354100</v>
      </c>
      <c r="D77" s="17">
        <f t="shared" si="1"/>
        <v>3354100</v>
      </c>
      <c r="E77" s="49">
        <f>VLOOKUP($A77,'Data shares'!$C:$FA,128)*100</f>
        <v>2.41</v>
      </c>
      <c r="F77" s="49">
        <f>VLOOKUP($A77,'Data shares'!$C:$FA,129)</f>
        <v>221750</v>
      </c>
      <c r="G77" s="17"/>
    </row>
    <row r="78" spans="1:7" x14ac:dyDescent="0.25">
      <c r="A78" s="101" t="s">
        <v>516</v>
      </c>
      <c r="B78" s="17">
        <v>27254349</v>
      </c>
      <c r="C78" s="17">
        <v>1133550</v>
      </c>
      <c r="D78" s="17">
        <f t="shared" si="1"/>
        <v>1133550</v>
      </c>
      <c r="E78" s="49">
        <f>VLOOKUP($A78,'Data shares'!$C:$FA,128)*100</f>
        <v>9.82</v>
      </c>
      <c r="F78" s="49">
        <f>VLOOKUP($A78,'Data shares'!$C:$FA,129)</f>
        <v>5679375</v>
      </c>
      <c r="G78" s="17"/>
    </row>
    <row r="79" spans="1:7" x14ac:dyDescent="0.25">
      <c r="A79" s="101" t="s">
        <v>271</v>
      </c>
      <c r="B79" s="17">
        <v>26746179</v>
      </c>
      <c r="C79" s="17">
        <v>5445825</v>
      </c>
      <c r="D79" s="17">
        <f t="shared" si="1"/>
        <v>5445825</v>
      </c>
      <c r="E79" s="49">
        <f>VLOOKUP($A79,'Data shares'!$C:$FA,128)*100</f>
        <v>6.61</v>
      </c>
      <c r="F79" s="49">
        <f>VLOOKUP($A79,'Data shares'!$C:$FA,129)</f>
        <v>1436225</v>
      </c>
      <c r="G79" s="17"/>
    </row>
    <row r="80" spans="1:7" x14ac:dyDescent="0.25">
      <c r="A80" s="101" t="s">
        <v>264</v>
      </c>
      <c r="B80" s="17">
        <v>15844192</v>
      </c>
      <c r="C80" s="17">
        <v>2354125</v>
      </c>
      <c r="D80" s="17">
        <f t="shared" si="1"/>
        <v>2354125</v>
      </c>
      <c r="E80" s="49">
        <f>VLOOKUP($A80,'Data shares'!$C:$FA,128)*100</f>
        <v>3.93</v>
      </c>
      <c r="F80" s="49">
        <f>VLOOKUP($A80,'Data shares'!$C:$FA,129)</f>
        <v>252000</v>
      </c>
      <c r="G80" s="17"/>
    </row>
    <row r="81" spans="1:7" x14ac:dyDescent="0.25">
      <c r="A81" s="101" t="s">
        <v>208</v>
      </c>
      <c r="B81" s="17">
        <v>24296838</v>
      </c>
      <c r="C81" s="17">
        <v>5125750</v>
      </c>
      <c r="D81" s="17">
        <f t="shared" si="1"/>
        <v>5125750</v>
      </c>
      <c r="E81" s="49">
        <f>VLOOKUP($A81,'Data shares'!$C:$FA,128)*100</f>
        <v>10.72</v>
      </c>
      <c r="F81" s="49">
        <f>VLOOKUP($A81,'Data shares'!$C:$FA,129)</f>
        <v>1188125</v>
      </c>
      <c r="G81" s="17"/>
    </row>
    <row r="82" spans="1:7" x14ac:dyDescent="0.25">
      <c r="A82" s="101" t="s">
        <v>552</v>
      </c>
      <c r="B82" s="17">
        <v>23447901</v>
      </c>
      <c r="C82" s="17">
        <v>3785600</v>
      </c>
      <c r="D82" s="17">
        <f t="shared" si="1"/>
        <v>3785600</v>
      </c>
      <c r="E82" s="49">
        <f>VLOOKUP($A82,'Data shares'!$C:$FA,128)*100</f>
        <v>6.97</v>
      </c>
      <c r="F82" s="49">
        <f>VLOOKUP($A82,'Data shares'!$C:$FA,129)</f>
        <v>364650</v>
      </c>
      <c r="G82" s="17"/>
    </row>
    <row r="83" spans="1:7" x14ac:dyDescent="0.25">
      <c r="A83" s="101" t="s">
        <v>204</v>
      </c>
      <c r="B83" s="17">
        <v>115362060</v>
      </c>
      <c r="C83" s="17">
        <v>19043750</v>
      </c>
      <c r="D83" s="17">
        <f t="shared" si="1"/>
        <v>19043750</v>
      </c>
      <c r="E83" s="49">
        <f>VLOOKUP($A83,'Data shares'!$C:$FA,128)*100</f>
        <v>8.6</v>
      </c>
      <c r="F83" s="49">
        <f>VLOOKUP($A83,'Data shares'!$C:$FA,129)</f>
        <v>1053750</v>
      </c>
      <c r="G83" s="17"/>
    </row>
    <row r="84" spans="1:7" x14ac:dyDescent="0.25">
      <c r="A84" s="101" t="s">
        <v>528</v>
      </c>
      <c r="B84" s="17">
        <v>23485458</v>
      </c>
      <c r="C84" s="17">
        <v>4272800</v>
      </c>
      <c r="D84" s="17">
        <f t="shared" si="1"/>
        <v>4272800</v>
      </c>
      <c r="E84" s="49">
        <f>VLOOKUP($A84,'Data shares'!$C:$FA,128)*100</f>
        <v>5.99</v>
      </c>
      <c r="F84" s="49">
        <f>VLOOKUP($A84,'Data shares'!$C:$FA,129)</f>
        <v>255500</v>
      </c>
      <c r="G84" s="17"/>
    </row>
    <row r="85" spans="1:7" x14ac:dyDescent="0.25">
      <c r="A85" s="101" t="s">
        <v>551</v>
      </c>
      <c r="B85" s="17">
        <v>39593365</v>
      </c>
      <c r="C85" s="17">
        <v>12215000</v>
      </c>
      <c r="D85" s="17">
        <f t="shared" si="1"/>
        <v>12215000</v>
      </c>
      <c r="E85" s="49">
        <f>VLOOKUP($A85,'Data shares'!$C:$FA,128)*100</f>
        <v>3.62</v>
      </c>
      <c r="F85" s="49">
        <f>VLOOKUP($A85,'Data shares'!$C:$FA,129)</f>
        <v>123300</v>
      </c>
      <c r="G85" s="17"/>
    </row>
    <row r="86" spans="1:7" x14ac:dyDescent="0.25">
      <c r="A86" s="101" t="s">
        <v>292</v>
      </c>
      <c r="B86" s="17">
        <v>355933451</v>
      </c>
      <c r="C86" s="17">
        <v>204117000</v>
      </c>
      <c r="D86" s="17">
        <f t="shared" si="1"/>
        <v>204117000</v>
      </c>
      <c r="E86" s="49">
        <f>VLOOKUP($A86,'Data shares'!$C:$FA,128)*100</f>
        <v>15.36</v>
      </c>
      <c r="F86" s="49">
        <f>VLOOKUP($A86,'Data shares'!$C:$FA,129)</f>
        <v>9608800</v>
      </c>
      <c r="G86" s="17"/>
    </row>
    <row r="87" spans="1:7" x14ac:dyDescent="0.25">
      <c r="A87" s="101" t="s">
        <v>239</v>
      </c>
      <c r="B87" s="17">
        <v>117569462</v>
      </c>
      <c r="C87" s="17">
        <v>39785400</v>
      </c>
      <c r="D87" s="17">
        <f t="shared" si="1"/>
        <v>39785400</v>
      </c>
      <c r="E87" s="49">
        <f>VLOOKUP($A87,'Data shares'!$C:$FA,128)*100</f>
        <v>8.129999999999999</v>
      </c>
      <c r="F87" s="49">
        <f>VLOOKUP($A87,'Data shares'!$C:$FA,129)</f>
        <v>2842700</v>
      </c>
      <c r="G87" s="17"/>
    </row>
    <row r="88" spans="1:7" x14ac:dyDescent="0.25">
      <c r="A88" s="101" t="s">
        <v>513</v>
      </c>
      <c r="B88" s="17">
        <v>16619018</v>
      </c>
      <c r="C88" s="17">
        <v>3155425</v>
      </c>
      <c r="D88" s="17">
        <f t="shared" si="1"/>
        <v>3155425</v>
      </c>
      <c r="E88" s="49">
        <f>VLOOKUP($A88,'Data shares'!$C:$FA,128)*100</f>
        <v>14.330000000000002</v>
      </c>
      <c r="F88" s="49">
        <f>VLOOKUP($A88,'Data shares'!$C:$FA,129)</f>
        <v>1011600</v>
      </c>
      <c r="G88" s="17"/>
    </row>
    <row r="89" spans="1:7" x14ac:dyDescent="0.25">
      <c r="A89" s="101" t="s">
        <v>224</v>
      </c>
      <c r="B89" s="17">
        <v>669931623</v>
      </c>
      <c r="C89" s="17">
        <v>82663350</v>
      </c>
      <c r="D89" s="17">
        <f t="shared" si="1"/>
        <v>82663350</v>
      </c>
      <c r="E89" s="49">
        <f>VLOOKUP($A89,'Data shares'!$C:$FA,128)*100</f>
        <v>18</v>
      </c>
      <c r="F89" s="49">
        <f>VLOOKUP($A89,'Data shares'!$C:$FA,129)</f>
        <v>17797450</v>
      </c>
      <c r="G89" s="17"/>
    </row>
    <row r="90" spans="1:7" x14ac:dyDescent="0.25">
      <c r="A90" s="101" t="s">
        <v>232</v>
      </c>
      <c r="B90" s="17">
        <v>1110506052</v>
      </c>
      <c r="C90" s="17">
        <v>174065375</v>
      </c>
      <c r="D90" s="17">
        <f t="shared" si="1"/>
        <v>174065375</v>
      </c>
      <c r="E90" s="49">
        <f>VLOOKUP($A90,'Data shares'!$C:$FA,128)*100</f>
        <v>12.64</v>
      </c>
      <c r="F90" s="49">
        <f>VLOOKUP($A90,'Data shares'!$C:$FA,129)</f>
        <v>10430000</v>
      </c>
      <c r="G90" s="17"/>
    </row>
    <row r="91" spans="1:7" x14ac:dyDescent="0.25">
      <c r="A91" s="101" t="s">
        <v>223</v>
      </c>
      <c r="B91" s="17">
        <v>362202362</v>
      </c>
      <c r="C91" s="17">
        <v>34249800</v>
      </c>
      <c r="D91" s="17">
        <f t="shared" si="1"/>
        <v>34249800</v>
      </c>
      <c r="E91" s="49">
        <f>VLOOKUP($A91,'Data shares'!$C:$FA,128)*100</f>
        <v>16.75</v>
      </c>
      <c r="F91" s="49">
        <f>VLOOKUP($A91,'Data shares'!$C:$FA,129)</f>
        <v>1410150</v>
      </c>
      <c r="G91" s="17"/>
    </row>
    <row r="92" spans="1:7" x14ac:dyDescent="0.25">
      <c r="A92" s="101" t="s">
        <v>218</v>
      </c>
      <c r="B92" s="17">
        <v>23110810</v>
      </c>
      <c r="C92" s="17">
        <v>6940375</v>
      </c>
      <c r="D92" s="17">
        <f t="shared" si="1"/>
        <v>6940375</v>
      </c>
      <c r="E92" s="49">
        <f>VLOOKUP($A92,'Data shares'!$C:$FA,128)*100</f>
        <v>7.28</v>
      </c>
      <c r="F92" s="49">
        <f>VLOOKUP($A92,'Data shares'!$C:$FA,129)</f>
        <v>546425</v>
      </c>
      <c r="G92" s="17"/>
    </row>
    <row r="93" spans="1:7" x14ac:dyDescent="0.25">
      <c r="A93" s="101" t="s">
        <v>236</v>
      </c>
      <c r="B93" s="17">
        <v>77000080</v>
      </c>
      <c r="C93" s="17">
        <v>25785375</v>
      </c>
      <c r="D93" s="17">
        <f t="shared" si="1"/>
        <v>25785375</v>
      </c>
      <c r="E93" s="49">
        <f>VLOOKUP($A93,'Data shares'!$C:$FA,128)*100</f>
        <v>16.27</v>
      </c>
      <c r="F93" s="49">
        <f>VLOOKUP($A93,'Data shares'!$C:$FA,129)</f>
        <v>2722500</v>
      </c>
      <c r="G93" s="17"/>
    </row>
    <row r="94" spans="1:7" x14ac:dyDescent="0.25">
      <c r="A94" s="101" t="s">
        <v>246</v>
      </c>
      <c r="B94" s="17">
        <v>293666614</v>
      </c>
      <c r="C94" s="17">
        <v>30730800</v>
      </c>
      <c r="D94" s="17">
        <f t="shared" si="1"/>
        <v>30730800</v>
      </c>
      <c r="E94" s="49">
        <f>VLOOKUP($A94,'Data shares'!$C:$FA,128)*100</f>
        <v>11.19</v>
      </c>
      <c r="F94" s="49">
        <f>VLOOKUP($A94,'Data shares'!$C:$FA,129)</f>
        <v>2967200</v>
      </c>
      <c r="G94" s="17"/>
    </row>
    <row r="95" spans="1:7" x14ac:dyDescent="0.25">
      <c r="A95" s="101" t="s">
        <v>532</v>
      </c>
      <c r="B95" s="17">
        <v>32892110</v>
      </c>
      <c r="C95" s="17">
        <v>6216000</v>
      </c>
      <c r="D95" s="17">
        <f t="shared" si="1"/>
        <v>6216000</v>
      </c>
      <c r="E95" s="49">
        <f>VLOOKUP($A95,'Data shares'!$C:$FA,128)*100</f>
        <v>3.36</v>
      </c>
      <c r="F95" s="49">
        <f>VLOOKUP($A95,'Data shares'!$C:$FA,129)</f>
        <v>359550</v>
      </c>
      <c r="G95" s="17"/>
    </row>
    <row r="96" spans="1:7" x14ac:dyDescent="0.25">
      <c r="A96" s="101" t="s">
        <v>242</v>
      </c>
      <c r="B96" s="17">
        <v>2461627231</v>
      </c>
      <c r="C96" s="17">
        <v>322832000</v>
      </c>
      <c r="D96" s="17">
        <f t="shared" si="1"/>
        <v>322832000</v>
      </c>
      <c r="E96" s="49">
        <f>VLOOKUP($A96,'Data shares'!$C:$FA,128)*100</f>
        <v>16.100000000000001</v>
      </c>
      <c r="F96" s="49">
        <f>VLOOKUP($A96,'Data shares'!$C:$FA,129)</f>
        <v>12516800</v>
      </c>
      <c r="G96" s="17"/>
    </row>
    <row r="97" spans="1:7" x14ac:dyDescent="0.25">
      <c r="A97" s="101" t="s">
        <v>165</v>
      </c>
      <c r="B97" s="17">
        <v>20321931</v>
      </c>
      <c r="C97" s="17">
        <v>3675125</v>
      </c>
      <c r="D97" s="17">
        <f t="shared" si="1"/>
        <v>3675125</v>
      </c>
      <c r="E97" s="49">
        <f>VLOOKUP($A97,'Data shares'!$C:$FA,128)*100</f>
        <v>8.8800000000000008</v>
      </c>
      <c r="F97" s="49">
        <f>VLOOKUP($A97,'Data shares'!$C:$FA,129)</f>
        <v>286250</v>
      </c>
      <c r="G97" s="17"/>
    </row>
    <row r="98" spans="1:7" x14ac:dyDescent="0.25">
      <c r="A98" s="101" t="s">
        <v>503</v>
      </c>
      <c r="B98" s="17">
        <v>17788750</v>
      </c>
      <c r="C98" s="17">
        <v>925925</v>
      </c>
      <c r="D98" s="17">
        <f t="shared" si="1"/>
        <v>925925</v>
      </c>
      <c r="E98" s="49">
        <f>VLOOKUP($A98,'Data shares'!$C:$FA,128)*100</f>
        <v>10.97</v>
      </c>
      <c r="F98" s="49">
        <f>VLOOKUP($A98,'Data shares'!$C:$FA,129)</f>
        <v>818975</v>
      </c>
      <c r="G98" s="17"/>
    </row>
    <row r="99" spans="1:7" x14ac:dyDescent="0.25">
      <c r="A99" s="101" t="s">
        <v>192</v>
      </c>
      <c r="B99" s="17">
        <v>1737683</v>
      </c>
      <c r="C99" s="17">
        <v>235900</v>
      </c>
      <c r="D99" s="17">
        <f t="shared" si="1"/>
        <v>235900</v>
      </c>
      <c r="E99" s="49">
        <f>VLOOKUP($A99,'Data shares'!$C:$FA,128)*100</f>
        <v>5.91</v>
      </c>
      <c r="F99" s="49">
        <f>VLOOKUP($A99,'Data shares'!$C:$FA,129)</f>
        <v>14850</v>
      </c>
      <c r="G99" s="17"/>
    </row>
    <row r="100" spans="1:7" x14ac:dyDescent="0.25">
      <c r="A100" s="101" t="s">
        <v>531</v>
      </c>
      <c r="B100" s="17">
        <v>33015657</v>
      </c>
      <c r="C100" s="17">
        <v>9033700</v>
      </c>
      <c r="D100" s="17">
        <f t="shared" si="1"/>
        <v>9033700</v>
      </c>
      <c r="E100" s="49">
        <f>VLOOKUP($A100,'Data shares'!$C:$FA,128)*100</f>
        <v>11.459999999999999</v>
      </c>
      <c r="F100" s="49">
        <f>VLOOKUP($A100,'Data shares'!$C:$FA,129)</f>
        <v>1147500</v>
      </c>
      <c r="G100" s="17"/>
    </row>
    <row r="101" spans="1:7" x14ac:dyDescent="0.25">
      <c r="A101" s="101" t="s">
        <v>494</v>
      </c>
      <c r="B101" s="17">
        <v>147873568</v>
      </c>
      <c r="C101" s="17">
        <v>20386400</v>
      </c>
      <c r="D101" s="17">
        <f t="shared" si="1"/>
        <v>20386400</v>
      </c>
      <c r="E101" s="49">
        <f>VLOOKUP($A101,'Data shares'!$C:$FA,128)*100</f>
        <v>4.7600000000000007</v>
      </c>
      <c r="F101" s="49">
        <f>VLOOKUP($A101,'Data shares'!$C:$FA,129)</f>
        <v>1584000</v>
      </c>
      <c r="G101" s="17"/>
    </row>
    <row r="102" spans="1:7" x14ac:dyDescent="0.25">
      <c r="A102" s="101" t="s">
        <v>473</v>
      </c>
      <c r="B102" s="17">
        <v>162372116</v>
      </c>
      <c r="C102" s="17">
        <v>43206800</v>
      </c>
      <c r="D102" s="17">
        <f t="shared" si="1"/>
        <v>43206800</v>
      </c>
      <c r="E102" s="49">
        <f>VLOOKUP($A102,'Data shares'!$C:$FA,128)*100</f>
        <v>12.989999999999998</v>
      </c>
      <c r="F102" s="49">
        <f>VLOOKUP($A102,'Data shares'!$C:$FA,129)</f>
        <v>8974300</v>
      </c>
      <c r="G102" s="17"/>
    </row>
    <row r="103" spans="1:7" x14ac:dyDescent="0.25">
      <c r="A103" s="101" t="s">
        <v>225</v>
      </c>
      <c r="B103" s="17">
        <v>187118353</v>
      </c>
      <c r="C103" s="17">
        <v>49800300</v>
      </c>
      <c r="D103" s="17">
        <f t="shared" si="1"/>
        <v>49800300</v>
      </c>
      <c r="E103" s="49">
        <f>VLOOKUP($A103,'Data shares'!$C:$FA,128)*100</f>
        <v>4.6899999999999995</v>
      </c>
      <c r="F103" s="49">
        <f>VLOOKUP($A103,'Data shares'!$C:$FA,129)</f>
        <v>1100000</v>
      </c>
      <c r="G103" s="17"/>
    </row>
    <row r="104" spans="1:7" x14ac:dyDescent="0.25">
      <c r="A104" s="101" t="s">
        <v>504</v>
      </c>
      <c r="B104" s="17">
        <v>12641694</v>
      </c>
      <c r="C104" s="17">
        <v>6728400</v>
      </c>
      <c r="D104" s="17">
        <f t="shared" si="1"/>
        <v>6728400</v>
      </c>
      <c r="E104" s="49">
        <f>VLOOKUP($A104,'Data shares'!$C:$FA,128)*100</f>
        <v>5.66</v>
      </c>
      <c r="F104" s="49">
        <f>VLOOKUP($A104,'Data shares'!$C:$FA,129)</f>
        <v>196800</v>
      </c>
      <c r="G104" s="17"/>
    </row>
    <row r="105" spans="1:7" x14ac:dyDescent="0.25">
      <c r="A105" s="101" t="s">
        <v>537</v>
      </c>
      <c r="B105" s="17">
        <v>6343591</v>
      </c>
      <c r="C105" s="17">
        <v>1262250</v>
      </c>
      <c r="D105" s="17">
        <f t="shared" si="1"/>
        <v>1262250</v>
      </c>
      <c r="E105" s="49">
        <f>VLOOKUP($A105,'Data shares'!$C:$FA,128)*100</f>
        <v>13.350000000000001</v>
      </c>
      <c r="F105" s="49">
        <f>VLOOKUP($A105,'Data shares'!$C:$FA,129)</f>
        <v>1289250</v>
      </c>
      <c r="G105" s="17"/>
    </row>
    <row r="106" spans="1:7" x14ac:dyDescent="0.25">
      <c r="A106" s="101" t="s">
        <v>256</v>
      </c>
      <c r="B106" s="17">
        <v>62880735</v>
      </c>
      <c r="C106" s="17">
        <v>20391250</v>
      </c>
      <c r="D106" s="17">
        <f t="shared" si="1"/>
        <v>20391250</v>
      </c>
      <c r="E106" s="49">
        <f>VLOOKUP($A106,'Data shares'!$C:$FA,128)*100</f>
        <v>7.870000000000001</v>
      </c>
      <c r="F106" s="49">
        <f>VLOOKUP($A106,'Data shares'!$C:$FA,129)</f>
        <v>219625</v>
      </c>
      <c r="G106" s="17"/>
    </row>
    <row r="107" spans="1:7" x14ac:dyDescent="0.25">
      <c r="A107" s="101" t="s">
        <v>514</v>
      </c>
      <c r="B107" s="17">
        <v>179174844</v>
      </c>
      <c r="C107" s="17">
        <v>67477500</v>
      </c>
      <c r="D107" s="17">
        <f t="shared" si="1"/>
        <v>67477500</v>
      </c>
      <c r="E107" s="49">
        <f>VLOOKUP($A107,'Data shares'!$C:$FA,128)*100</f>
        <v>13.120000000000001</v>
      </c>
      <c r="F107" s="49">
        <f>VLOOKUP($A107,'Data shares'!$C:$FA,129)</f>
        <v>5167500</v>
      </c>
      <c r="G107" s="17"/>
    </row>
    <row r="108" spans="1:7" x14ac:dyDescent="0.25">
      <c r="A108" s="101" t="s">
        <v>272</v>
      </c>
      <c r="B108" s="17">
        <v>150000017</v>
      </c>
      <c r="C108" s="17">
        <v>35217000</v>
      </c>
      <c r="D108" s="17">
        <f t="shared" si="1"/>
        <v>35217000</v>
      </c>
      <c r="E108" s="49">
        <f>VLOOKUP($A108,'Data shares'!$C:$FA,128)*100</f>
        <v>5.6899999999999995</v>
      </c>
      <c r="F108" s="49">
        <f>VLOOKUP($A108,'Data shares'!$C:$FA,129)</f>
        <v>1729800</v>
      </c>
      <c r="G108" s="17"/>
    </row>
    <row r="109" spans="1:7" x14ac:dyDescent="0.25">
      <c r="A109" s="101" t="s">
        <v>470</v>
      </c>
      <c r="B109" s="17">
        <v>6091932</v>
      </c>
      <c r="C109" s="17">
        <v>1893300</v>
      </c>
      <c r="D109" s="17">
        <f t="shared" si="1"/>
        <v>1893300</v>
      </c>
      <c r="E109" s="49">
        <f>VLOOKUP($A109,'Data shares'!$C:$FA,128)*100</f>
        <v>3.6799999999999997</v>
      </c>
      <c r="F109" s="49">
        <f>VLOOKUP($A109,'Data shares'!$C:$FA,129)</f>
        <v>435750</v>
      </c>
      <c r="G109" s="17"/>
    </row>
    <row r="110" spans="1:7" x14ac:dyDescent="0.25">
      <c r="A110" s="101" t="s">
        <v>176</v>
      </c>
      <c r="B110" s="17">
        <v>12437219</v>
      </c>
      <c r="C110" s="17">
        <v>1155950</v>
      </c>
      <c r="D110" s="17">
        <f t="shared" si="1"/>
        <v>1155950</v>
      </c>
      <c r="E110" s="49">
        <f>VLOOKUP($A110,'Data shares'!$C:$FA,128)*100</f>
        <v>4.75</v>
      </c>
      <c r="F110" s="49">
        <f>VLOOKUP($A110,'Data shares'!$C:$FA,129)</f>
        <v>577000</v>
      </c>
      <c r="G110" s="17"/>
    </row>
    <row r="111" spans="1:7" x14ac:dyDescent="0.25">
      <c r="A111" s="101" t="s">
        <v>524</v>
      </c>
      <c r="B111" s="17">
        <v>16479425</v>
      </c>
      <c r="C111" s="17">
        <v>1670750</v>
      </c>
      <c r="D111" s="17">
        <f t="shared" si="1"/>
        <v>1670750</v>
      </c>
      <c r="E111" s="49">
        <f>VLOOKUP($A111,'Data shares'!$C:$FA,128)*100</f>
        <v>2.2800000000000002</v>
      </c>
      <c r="F111" s="49">
        <f>VLOOKUP($A111,'Data shares'!$C:$FA,129)</f>
        <v>50375</v>
      </c>
      <c r="G111" s="17"/>
    </row>
    <row r="112" spans="1:7" x14ac:dyDescent="0.25">
      <c r="A112" s="101" t="s">
        <v>487</v>
      </c>
      <c r="B112" s="17">
        <v>16533935</v>
      </c>
      <c r="C112" s="17">
        <v>1807050</v>
      </c>
      <c r="D112" s="17">
        <f t="shared" si="1"/>
        <v>1807050</v>
      </c>
      <c r="E112" s="49">
        <f>VLOOKUP($A112,'Data shares'!$C:$FA,128)*100</f>
        <v>3.16</v>
      </c>
      <c r="F112" s="49">
        <f>VLOOKUP($A112,'Data shares'!$C:$FA,129)</f>
        <v>66000</v>
      </c>
      <c r="G112" s="17"/>
    </row>
    <row r="113" spans="1:7" x14ac:dyDescent="0.25">
      <c r="A113" s="101" t="s">
        <v>305</v>
      </c>
      <c r="B113" s="17">
        <v>46126252</v>
      </c>
      <c r="C113" s="17">
        <v>7513500</v>
      </c>
      <c r="D113" s="17">
        <f t="shared" si="1"/>
        <v>7513500</v>
      </c>
      <c r="E113" s="49">
        <f>VLOOKUP($A113,'Data shares'!$C:$FA,128)*100</f>
        <v>13.350000000000001</v>
      </c>
      <c r="F113" s="49">
        <f>VLOOKUP($A113,'Data shares'!$C:$FA,129)</f>
        <v>1289250</v>
      </c>
      <c r="G113" s="17"/>
    </row>
    <row r="114" spans="1:7" x14ac:dyDescent="0.25">
      <c r="A114" s="101" t="s">
        <v>238</v>
      </c>
      <c r="B114" s="17">
        <v>19428657</v>
      </c>
      <c r="C114" s="17">
        <v>5637750</v>
      </c>
      <c r="D114" s="17">
        <f t="shared" si="1"/>
        <v>5637750</v>
      </c>
      <c r="E114" s="49">
        <f>VLOOKUP($A114,'Data shares'!$C:$FA,128)*100</f>
        <v>8.06</v>
      </c>
      <c r="F114" s="49">
        <f>VLOOKUP($A114,'Data shares'!$C:$FA,129)</f>
        <v>337050</v>
      </c>
      <c r="G114" s="17"/>
    </row>
    <row r="115" spans="1:7" x14ac:dyDescent="0.25">
      <c r="A115" s="101" t="s">
        <v>527</v>
      </c>
      <c r="B115" s="17">
        <v>7494363</v>
      </c>
      <c r="C115" s="17">
        <v>739375</v>
      </c>
      <c r="D115" s="17">
        <f t="shared" si="1"/>
        <v>739375</v>
      </c>
      <c r="E115" s="49">
        <f>VLOOKUP($A115,'Data shares'!$C:$FA,128)*100</f>
        <v>14.06</v>
      </c>
      <c r="F115" s="49">
        <f>VLOOKUP($A115,'Data shares'!$C:$FA,129)</f>
        <v>12351600</v>
      </c>
      <c r="G115" s="17"/>
    </row>
    <row r="116" spans="1:7" x14ac:dyDescent="0.25">
      <c r="A116" s="101" t="s">
        <v>489</v>
      </c>
      <c r="B116" s="17">
        <v>9087752</v>
      </c>
      <c r="C116" s="17">
        <v>1575750</v>
      </c>
      <c r="D116" s="17">
        <f t="shared" si="1"/>
        <v>1575750</v>
      </c>
      <c r="E116" s="49">
        <f>VLOOKUP($A116,'Data shares'!$C:$FA,128)*100</f>
        <v>9.1800000000000015</v>
      </c>
      <c r="F116" s="49">
        <f>VLOOKUP($A116,'Data shares'!$C:$FA,129)</f>
        <v>4243362</v>
      </c>
      <c r="G116" s="17"/>
    </row>
    <row r="117" spans="1:7" x14ac:dyDescent="0.25">
      <c r="A117" s="101" t="s">
        <v>484</v>
      </c>
      <c r="B117" s="17">
        <v>3300938</v>
      </c>
      <c r="C117" s="17">
        <v>190125</v>
      </c>
      <c r="D117" s="17">
        <f t="shared" si="1"/>
        <v>190125</v>
      </c>
      <c r="E117" s="49">
        <f>VLOOKUP($A117,'Data shares'!$C:$FA,128)*100</f>
        <v>19.05</v>
      </c>
      <c r="F117" s="49">
        <f>VLOOKUP($A117,'Data shares'!$C:$FA,129)</f>
        <v>9874800</v>
      </c>
      <c r="G117" s="17"/>
    </row>
    <row r="118" spans="1:7" x14ac:dyDescent="0.25">
      <c r="A118" s="101" t="s">
        <v>285</v>
      </c>
      <c r="B118" s="17">
        <v>17806068</v>
      </c>
      <c r="C118" s="17">
        <v>1857900</v>
      </c>
      <c r="D118" s="17">
        <f t="shared" si="1"/>
        <v>1857900</v>
      </c>
      <c r="E118" s="49">
        <f>VLOOKUP($A118,'Data shares'!$C:$FA,128)*100</f>
        <v>9.34</v>
      </c>
      <c r="F118" s="49">
        <f>VLOOKUP($A118,'Data shares'!$C:$FA,129)</f>
        <v>176750</v>
      </c>
      <c r="G118" s="17"/>
    </row>
    <row r="119" spans="1:7" x14ac:dyDescent="0.25">
      <c r="A119" s="101" t="s">
        <v>554</v>
      </c>
      <c r="B119" s="17">
        <v>18562709</v>
      </c>
      <c r="C119" s="17">
        <v>2173500</v>
      </c>
      <c r="D119" s="17">
        <f t="shared" si="1"/>
        <v>2173500</v>
      </c>
      <c r="E119" s="49">
        <f>VLOOKUP($A119,'Data shares'!$C:$FA,128)*100</f>
        <v>11.82</v>
      </c>
      <c r="F119" s="49">
        <f>VLOOKUP($A119,'Data shares'!$C:$FA,129)</f>
        <v>4525176</v>
      </c>
      <c r="G119" s="17"/>
    </row>
    <row r="120" spans="1:7" x14ac:dyDescent="0.25">
      <c r="A120" s="101" t="s">
        <v>293</v>
      </c>
      <c r="B120" s="17">
        <v>339616396</v>
      </c>
      <c r="C120" s="17">
        <v>214528500</v>
      </c>
      <c r="D120" s="17">
        <f t="shared" si="1"/>
        <v>214528500</v>
      </c>
      <c r="E120" s="49">
        <f>VLOOKUP($A120,'Data shares'!$C:$FA,128)*100</f>
        <v>6.35</v>
      </c>
      <c r="F120" s="49">
        <f>VLOOKUP($A120,'Data shares'!$C:$FA,129)</f>
        <v>3265400</v>
      </c>
      <c r="G120" s="17"/>
    </row>
    <row r="121" spans="1:7" x14ac:dyDescent="0.25">
      <c r="A121" s="101" t="s">
        <v>282</v>
      </c>
      <c r="B121" s="17">
        <v>289139949</v>
      </c>
      <c r="C121" s="17">
        <v>230878500</v>
      </c>
      <c r="D121" s="17">
        <f t="shared" si="1"/>
        <v>230878500</v>
      </c>
      <c r="E121" s="49">
        <f>VLOOKUP($A121,'Data shares'!$C:$FA,128)*100</f>
        <v>31.580000000000002</v>
      </c>
      <c r="F121" s="49">
        <f>VLOOKUP($A121,'Data shares'!$C:$FA,129)</f>
        <v>54209800</v>
      </c>
      <c r="G121" s="17"/>
    </row>
    <row r="122" spans="1:7" x14ac:dyDescent="0.25">
      <c r="A122" s="101" t="s">
        <v>248</v>
      </c>
      <c r="B122" s="17">
        <v>60244101</v>
      </c>
      <c r="C122" s="17">
        <v>36578000</v>
      </c>
      <c r="D122" s="17">
        <f t="shared" si="1"/>
        <v>36578000</v>
      </c>
      <c r="E122" s="49">
        <f>VLOOKUP($A122,'Data shares'!$C:$FA,128)*100</f>
        <v>27.68</v>
      </c>
      <c r="F122" s="49">
        <f>VLOOKUP($A122,'Data shares'!$C:$FA,129)</f>
        <v>8623000</v>
      </c>
      <c r="G122" s="17"/>
    </row>
    <row r="123" spans="1:7" x14ac:dyDescent="0.25">
      <c r="A123" s="101" t="s">
        <v>189</v>
      </c>
      <c r="B123" s="17">
        <v>510707358</v>
      </c>
      <c r="C123" s="17">
        <v>94385350</v>
      </c>
      <c r="D123" s="17">
        <f t="shared" si="1"/>
        <v>94385350</v>
      </c>
      <c r="E123" s="49">
        <f>VLOOKUP($A123,'Data shares'!$C:$FA,128)*100</f>
        <v>16.14</v>
      </c>
      <c r="F123" s="49">
        <f>VLOOKUP($A123,'Data shares'!$C:$FA,129)</f>
        <v>7079400</v>
      </c>
      <c r="G123" s="17"/>
    </row>
    <row r="124" spans="1:7" x14ac:dyDescent="0.25">
      <c r="A124" s="101" t="s">
        <v>213</v>
      </c>
      <c r="B124" s="17">
        <v>425164259</v>
      </c>
      <c r="C124" s="17">
        <v>85375600</v>
      </c>
      <c r="D124" s="17">
        <f t="shared" si="1"/>
        <v>85375600</v>
      </c>
      <c r="E124" s="49">
        <f>VLOOKUP($A124,'Data shares'!$C:$FA,128)*100</f>
        <v>7.9600000000000009</v>
      </c>
      <c r="F124" s="49">
        <f>VLOOKUP($A124,'Data shares'!$C:$FA,129)</f>
        <v>6687450</v>
      </c>
      <c r="G124" s="17"/>
    </row>
    <row r="125" spans="1:7" x14ac:dyDescent="0.25">
      <c r="A125" s="101" t="s">
        <v>295</v>
      </c>
      <c r="B125" s="17">
        <v>205769415</v>
      </c>
      <c r="C125" s="17">
        <v>21452100</v>
      </c>
      <c r="D125" s="17">
        <f t="shared" si="1"/>
        <v>21452100</v>
      </c>
      <c r="E125" s="49">
        <f>VLOOKUP($A125,'Data shares'!$C:$FA,128)*100</f>
        <v>16.59</v>
      </c>
      <c r="F125" s="49">
        <f>VLOOKUP($A125,'Data shares'!$C:$FA,129)</f>
        <v>4673550</v>
      </c>
      <c r="G125" s="17"/>
    </row>
    <row r="126" spans="1:7" x14ac:dyDescent="0.25">
      <c r="A126" s="101" t="s">
        <v>490</v>
      </c>
      <c r="B126" s="17">
        <v>52165566</v>
      </c>
      <c r="C126" s="17">
        <v>22212750</v>
      </c>
      <c r="D126" s="17">
        <f t="shared" si="1"/>
        <v>22212750</v>
      </c>
      <c r="E126" s="49">
        <f>VLOOKUP($A126,'Data shares'!$C:$FA,128)*100</f>
        <v>14.99</v>
      </c>
      <c r="F126" s="49">
        <f>VLOOKUP($A126,'Data shares'!$C:$FA,129)</f>
        <v>2117500</v>
      </c>
      <c r="G126" s="17"/>
    </row>
    <row r="127" spans="1:7" x14ac:dyDescent="0.25">
      <c r="A127" s="101" t="s">
        <v>260</v>
      </c>
      <c r="B127" s="17">
        <v>241729538</v>
      </c>
      <c r="C127" s="17">
        <v>65383500</v>
      </c>
      <c r="D127" s="17">
        <f t="shared" si="1"/>
        <v>65383500</v>
      </c>
      <c r="E127" s="49">
        <f>VLOOKUP($A127,'Data shares'!$C:$FA,128)*100</f>
        <v>6.5299999999999994</v>
      </c>
      <c r="F127" s="49">
        <f>VLOOKUP($A127,'Data shares'!$C:$FA,129)</f>
        <v>9409500</v>
      </c>
      <c r="G127" s="17"/>
    </row>
    <row r="128" spans="1:7" x14ac:dyDescent="0.25">
      <c r="A128" s="101" t="s">
        <v>171</v>
      </c>
      <c r="B128" s="17">
        <v>56444627</v>
      </c>
      <c r="C128" s="17">
        <v>23336250</v>
      </c>
      <c r="D128" s="17">
        <f t="shared" si="1"/>
        <v>23336250</v>
      </c>
      <c r="E128" s="49">
        <f>VLOOKUP($A128,'Data shares'!$C:$FA,128)*100</f>
        <v>11.78</v>
      </c>
      <c r="F128" s="49">
        <f>VLOOKUP($A128,'Data shares'!$C:$FA,129)</f>
        <v>726550</v>
      </c>
      <c r="G128" s="17"/>
    </row>
    <row r="129" spans="1:7" x14ac:dyDescent="0.25">
      <c r="A129" s="101" t="s">
        <v>462</v>
      </c>
      <c r="B129" s="17">
        <v>88648462</v>
      </c>
      <c r="C129" s="17">
        <v>11150250</v>
      </c>
      <c r="D129" s="17">
        <f t="shared" si="1"/>
        <v>11150250</v>
      </c>
      <c r="E129" s="49">
        <f>VLOOKUP($A129,'Data shares'!$C:$FA,128)*100</f>
        <v>5.8500000000000005</v>
      </c>
      <c r="F129" s="49">
        <f>VLOOKUP($A129,'Data shares'!$C:$FA,129)</f>
        <v>370875</v>
      </c>
      <c r="G129" s="17"/>
    </row>
    <row r="130" spans="1:7" x14ac:dyDescent="0.25">
      <c r="A130" s="101" t="s">
        <v>274</v>
      </c>
      <c r="B130" s="17">
        <v>30511703</v>
      </c>
      <c r="C130" s="17">
        <v>3556000</v>
      </c>
      <c r="D130" s="17">
        <f t="shared" si="1"/>
        <v>3556000</v>
      </c>
      <c r="E130" s="49">
        <f>VLOOKUP($A130,'Data shares'!$C:$FA,128)*100</f>
        <v>3.66</v>
      </c>
      <c r="F130" s="49">
        <f>VLOOKUP($A130,'Data shares'!$C:$FA,129)</f>
        <v>134000</v>
      </c>
      <c r="G130" s="17"/>
    </row>
    <row r="131" spans="1:7" x14ac:dyDescent="0.25">
      <c r="A131" s="101" t="s">
        <v>279</v>
      </c>
      <c r="B131" s="17">
        <v>119890099</v>
      </c>
      <c r="C131" s="17">
        <v>77232800</v>
      </c>
      <c r="D131" s="17">
        <f t="shared" si="1"/>
        <v>77232800</v>
      </c>
      <c r="E131" s="49">
        <f>VLOOKUP($A131,'Data shares'!$C:$FA,128)*100</f>
        <v>5.88</v>
      </c>
      <c r="F131" s="49">
        <f>VLOOKUP($A131,'Data shares'!$C:$FA,129)</f>
        <v>5375275</v>
      </c>
      <c r="G131" s="17"/>
    </row>
    <row r="132" spans="1:7" x14ac:dyDescent="0.25">
      <c r="A132" s="101" t="s">
        <v>247</v>
      </c>
      <c r="B132" s="17">
        <v>180580821</v>
      </c>
      <c r="C132" s="17">
        <v>128041552</v>
      </c>
      <c r="D132" s="17">
        <f t="shared" si="1"/>
        <v>128041552</v>
      </c>
      <c r="E132" s="49">
        <f>VLOOKUP($A132,'Data shares'!$C:$FA,128)*100</f>
        <v>13.3</v>
      </c>
      <c r="F132" s="49">
        <f>VLOOKUP($A132,'Data shares'!$C:$FA,129)</f>
        <v>456400</v>
      </c>
      <c r="G132" s="17"/>
    </row>
    <row r="133" spans="1:7" x14ac:dyDescent="0.25">
      <c r="A133" s="101" t="s">
        <v>291</v>
      </c>
      <c r="B133" s="17">
        <v>120211514</v>
      </c>
      <c r="C133" s="17">
        <v>18359325</v>
      </c>
      <c r="D133" s="17">
        <f t="shared" si="1"/>
        <v>18359325</v>
      </c>
      <c r="E133" s="49">
        <f>VLOOKUP($A133,'Data shares'!$C:$FA,128)*100</f>
        <v>3.9699999999999998</v>
      </c>
      <c r="F133" s="49">
        <f>VLOOKUP($A133,'Data shares'!$C:$FA,129)</f>
        <v>421850</v>
      </c>
      <c r="G133" s="17"/>
    </row>
    <row r="134" spans="1:7" x14ac:dyDescent="0.25">
      <c r="A134" s="101" t="s">
        <v>269</v>
      </c>
      <c r="B134" s="17">
        <v>996134149</v>
      </c>
      <c r="C134" s="17">
        <v>204565900</v>
      </c>
      <c r="D134" s="17">
        <f t="shared" si="1"/>
        <v>204565900</v>
      </c>
      <c r="E134" s="49">
        <f>VLOOKUP($A134,'Data shares'!$C:$FA,128)*100</f>
        <v>8.68</v>
      </c>
      <c r="F134" s="49">
        <f>VLOOKUP($A134,'Data shares'!$C:$FA,129)</f>
        <v>6297750</v>
      </c>
      <c r="G134" s="17"/>
    </row>
    <row r="135" spans="1:7" x14ac:dyDescent="0.25">
      <c r="A135" s="101" t="s">
        <v>217</v>
      </c>
      <c r="B135" s="17">
        <v>75218562</v>
      </c>
      <c r="C135" s="17">
        <v>11613000</v>
      </c>
      <c r="D135" s="17">
        <f t="shared" ref="D135:D161" si="2">C135</f>
        <v>11613000</v>
      </c>
      <c r="E135" s="49">
        <f>VLOOKUP($A135,'Data shares'!$C:$FA,128)*100</f>
        <v>9.0300000000000011</v>
      </c>
      <c r="F135" s="49">
        <f>VLOOKUP($A135,'Data shares'!$C:$FA,129)</f>
        <v>640500</v>
      </c>
      <c r="G135" s="17"/>
    </row>
    <row r="136" spans="1:7" x14ac:dyDescent="0.25">
      <c r="A136" s="101" t="s">
        <v>495</v>
      </c>
      <c r="B136" s="17">
        <v>44974045</v>
      </c>
      <c r="C136" s="17">
        <v>4232500</v>
      </c>
      <c r="D136" s="17">
        <f t="shared" si="2"/>
        <v>4232500</v>
      </c>
      <c r="E136" s="49">
        <f>VLOOKUP($A136,'Data shares'!$C:$FA,128)*100</f>
        <v>11.75</v>
      </c>
      <c r="F136" s="49">
        <f>VLOOKUP($A136,'Data shares'!$C:$FA,129)</f>
        <v>2019000</v>
      </c>
      <c r="G136" s="17"/>
    </row>
    <row r="137" spans="1:7" x14ac:dyDescent="0.25">
      <c r="A137" s="101" t="s">
        <v>250</v>
      </c>
      <c r="B137" s="17">
        <v>48318354</v>
      </c>
      <c r="C137" s="17">
        <v>18007250</v>
      </c>
      <c r="D137" s="17">
        <f t="shared" si="2"/>
        <v>18007250</v>
      </c>
      <c r="E137" s="49">
        <f>VLOOKUP($A137,'Data shares'!$C:$FA,128)*100</f>
        <v>5.74</v>
      </c>
      <c r="F137" s="49">
        <f>VLOOKUP($A137,'Data shares'!$C:$FA,129)</f>
        <v>495550</v>
      </c>
      <c r="G137" s="17"/>
    </row>
    <row r="138" spans="1:7" x14ac:dyDescent="0.25">
      <c r="A138" s="101" t="s">
        <v>278</v>
      </c>
      <c r="B138" s="17">
        <v>27187764</v>
      </c>
      <c r="C138" s="17">
        <v>3521550</v>
      </c>
      <c r="D138" s="17">
        <f t="shared" si="2"/>
        <v>3521550</v>
      </c>
      <c r="E138" s="49">
        <f>VLOOKUP($A138,'Data shares'!$C:$FA,128)*100</f>
        <v>3.62</v>
      </c>
      <c r="F138" s="49">
        <f>VLOOKUP($A138,'Data shares'!$C:$FA,129)</f>
        <v>123300</v>
      </c>
      <c r="G138" s="17"/>
    </row>
    <row r="139" spans="1:7" x14ac:dyDescent="0.25">
      <c r="A139" s="101" t="s">
        <v>163</v>
      </c>
      <c r="B139" s="17">
        <v>24576009</v>
      </c>
      <c r="C139" s="17">
        <v>11979000</v>
      </c>
      <c r="D139" s="17">
        <f t="shared" si="2"/>
        <v>11979000</v>
      </c>
      <c r="E139" s="49">
        <f>VLOOKUP($A139,'Data shares'!$C:$FA,128)*100</f>
        <v>12.32</v>
      </c>
      <c r="F139" s="49">
        <f>VLOOKUP($A139,'Data shares'!$C:$FA,129)</f>
        <v>193125</v>
      </c>
      <c r="G139" s="17"/>
    </row>
    <row r="140" spans="1:7" x14ac:dyDescent="0.25">
      <c r="A140" s="101" t="s">
        <v>289</v>
      </c>
      <c r="B140" s="17">
        <v>19704232</v>
      </c>
      <c r="C140" s="17">
        <v>15520500</v>
      </c>
      <c r="D140" s="17">
        <f t="shared" si="2"/>
        <v>15520500</v>
      </c>
      <c r="E140" s="49">
        <f>VLOOKUP($A140,'Data shares'!$C:$FA,128)*100</f>
        <v>11.81</v>
      </c>
      <c r="F140" s="49">
        <f>VLOOKUP($A140,'Data shares'!$C:$FA,129)</f>
        <v>1755950</v>
      </c>
      <c r="G140" s="17"/>
    </row>
    <row r="141" spans="1:7" x14ac:dyDescent="0.25">
      <c r="A141" s="101" t="s">
        <v>529</v>
      </c>
      <c r="B141" s="17">
        <v>10012679</v>
      </c>
      <c r="C141" s="17">
        <v>530550</v>
      </c>
      <c r="D141" s="17">
        <f t="shared" si="2"/>
        <v>530550</v>
      </c>
      <c r="E141" s="49">
        <f>VLOOKUP($A141,'Data shares'!$C:$FA,128)*100</f>
        <v>8.9</v>
      </c>
      <c r="F141" s="49">
        <f>VLOOKUP($A141,'Data shares'!$C:$FA,129)</f>
        <v>195800</v>
      </c>
      <c r="G141" s="17"/>
    </row>
    <row r="142" spans="1:7" x14ac:dyDescent="0.25">
      <c r="A142" s="101" t="s">
        <v>265</v>
      </c>
      <c r="B142" s="17">
        <v>7180127</v>
      </c>
      <c r="C142" s="17">
        <v>429550</v>
      </c>
      <c r="D142" s="17">
        <f t="shared" si="2"/>
        <v>429550</v>
      </c>
      <c r="E142" s="49">
        <f>VLOOKUP($A142,'Data shares'!$C:$FA,128)*100</f>
        <v>6.47</v>
      </c>
      <c r="F142" s="49">
        <f>VLOOKUP($A142,'Data shares'!$C:$FA,129)</f>
        <v>1151000</v>
      </c>
      <c r="G142" s="17"/>
    </row>
    <row r="143" spans="1:7" x14ac:dyDescent="0.25">
      <c r="A143" s="101" t="s">
        <v>486</v>
      </c>
      <c r="B143" s="17">
        <v>32559242</v>
      </c>
      <c r="C143" s="17">
        <v>4156800</v>
      </c>
      <c r="D143" s="17">
        <f t="shared" si="2"/>
        <v>4156800</v>
      </c>
      <c r="E143" s="49">
        <f>VLOOKUP($A143,'Data shares'!$C:$FA,128)*100</f>
        <v>12.870000000000001</v>
      </c>
      <c r="F143" s="49">
        <f>VLOOKUP($A143,'Data shares'!$C:$FA,129)</f>
        <v>440000</v>
      </c>
      <c r="G143" s="17"/>
    </row>
    <row r="144" spans="1:7" x14ac:dyDescent="0.25">
      <c r="A144" s="101" t="s">
        <v>190</v>
      </c>
      <c r="B144" s="17">
        <v>256482590</v>
      </c>
      <c r="C144" s="17">
        <v>208761000</v>
      </c>
      <c r="D144" s="17">
        <f t="shared" si="2"/>
        <v>208761000</v>
      </c>
      <c r="E144" s="49">
        <f>VLOOKUP($A144,'Data shares'!$C:$FA,128)*100</f>
        <v>10.37</v>
      </c>
      <c r="F144" s="49">
        <f>VLOOKUP($A144,'Data shares'!$C:$FA,129)</f>
        <v>5924625</v>
      </c>
      <c r="G144" s="17"/>
    </row>
    <row r="145" spans="1:7" x14ac:dyDescent="0.25">
      <c r="A145" s="101" t="s">
        <v>303</v>
      </c>
      <c r="B145" s="17">
        <v>109653438</v>
      </c>
      <c r="C145" s="17">
        <v>37709100</v>
      </c>
      <c r="D145" s="17">
        <f t="shared" si="2"/>
        <v>37709100</v>
      </c>
      <c r="E145" s="49">
        <f>VLOOKUP($A145,'Data shares'!$C:$FA,128)*100</f>
        <v>8.76</v>
      </c>
      <c r="F145" s="49">
        <f>VLOOKUP($A145,'Data shares'!$C:$FA,129)</f>
        <v>1844155</v>
      </c>
      <c r="G145" s="17"/>
    </row>
    <row r="146" spans="1:7" x14ac:dyDescent="0.25">
      <c r="A146" s="101" t="s">
        <v>255</v>
      </c>
      <c r="B146" s="17">
        <v>26359259</v>
      </c>
      <c r="C146" s="17">
        <v>6916100</v>
      </c>
      <c r="D146" s="17">
        <f t="shared" si="2"/>
        <v>6916100</v>
      </c>
      <c r="E146" s="49">
        <f>VLOOKUP($A146,'Data shares'!$C:$FA,128)*100</f>
        <v>8.5400000000000009</v>
      </c>
      <c r="F146" s="49">
        <f>VLOOKUP($A146,'Data shares'!$C:$FA,129)</f>
        <v>301700</v>
      </c>
      <c r="G146" s="17"/>
    </row>
    <row r="147" spans="1:7" x14ac:dyDescent="0.25">
      <c r="A147" s="101" t="s">
        <v>180</v>
      </c>
      <c r="B147" s="17">
        <v>372635498</v>
      </c>
      <c r="C147" s="17">
        <v>233426700</v>
      </c>
      <c r="D147" s="17">
        <f t="shared" si="2"/>
        <v>233426700</v>
      </c>
      <c r="E147" s="49">
        <f>VLOOKUP($A147,'Data shares'!$C:$FA,128)*100</f>
        <v>14.17</v>
      </c>
      <c r="F147" s="49">
        <f>VLOOKUP($A147,'Data shares'!$C:$FA,129)</f>
        <v>6171750</v>
      </c>
      <c r="G147" s="17"/>
    </row>
    <row r="148" spans="1:7" x14ac:dyDescent="0.25">
      <c r="A148" s="101" t="s">
        <v>179</v>
      </c>
      <c r="B148" s="17">
        <v>193321473</v>
      </c>
      <c r="C148" s="17">
        <v>47098800</v>
      </c>
      <c r="D148" s="17">
        <f t="shared" si="2"/>
        <v>47098800</v>
      </c>
      <c r="E148" s="49">
        <f>VLOOKUP($A148,'Data shares'!$C:$FA,128)*100</f>
        <v>12.32</v>
      </c>
      <c r="F148" s="49">
        <f>VLOOKUP($A148,'Data shares'!$C:$FA,129)</f>
        <v>8208000</v>
      </c>
    </row>
    <row r="149" spans="1:7" x14ac:dyDescent="0.25">
      <c r="A149" s="101" t="s">
        <v>253</v>
      </c>
      <c r="B149" s="17">
        <v>109926618</v>
      </c>
      <c r="C149" s="17">
        <v>54285000</v>
      </c>
      <c r="D149" s="17">
        <f t="shared" si="2"/>
        <v>54285000</v>
      </c>
      <c r="E149" s="49">
        <f>VLOOKUP($A149,'Data shares'!$C:$FA,128)*100</f>
        <v>8.9</v>
      </c>
      <c r="F149" s="49">
        <f>VLOOKUP($A149,'Data shares'!$C:$FA,129)</f>
        <v>1788000</v>
      </c>
    </row>
    <row r="150" spans="1:7" x14ac:dyDescent="0.25">
      <c r="A150" s="101" t="s">
        <v>261</v>
      </c>
      <c r="B150" s="17">
        <v>611563</v>
      </c>
      <c r="C150" s="17">
        <v>120180</v>
      </c>
      <c r="D150" s="17">
        <f t="shared" si="2"/>
        <v>120180</v>
      </c>
      <c r="E150" s="49">
        <f>VLOOKUP($A150,'Data shares'!$C:$FA,128)*100</f>
        <v>3.16</v>
      </c>
      <c r="F150" s="49">
        <f>VLOOKUP($A150,'Data shares'!$C:$FA,129)</f>
        <v>66000</v>
      </c>
    </row>
    <row r="151" spans="1:7" x14ac:dyDescent="0.25">
      <c r="A151" s="101" t="s">
        <v>164</v>
      </c>
      <c r="B151" s="17">
        <v>145854205</v>
      </c>
      <c r="C151" s="17">
        <v>46824000</v>
      </c>
      <c r="D151" s="17">
        <f t="shared" si="2"/>
        <v>46824000</v>
      </c>
      <c r="E151" s="49">
        <f>VLOOKUP($A151,'Data shares'!$C:$FA,128)*100</f>
        <v>7.95</v>
      </c>
      <c r="F151" s="49">
        <f>VLOOKUP($A151,'Data shares'!$C:$FA,129)</f>
        <v>1357650</v>
      </c>
    </row>
    <row r="152" spans="1:7" x14ac:dyDescent="0.25">
      <c r="A152" s="101" t="s">
        <v>526</v>
      </c>
      <c r="B152" s="17">
        <v>44365911</v>
      </c>
      <c r="C152" s="17">
        <v>20668300</v>
      </c>
      <c r="D152" s="17">
        <f t="shared" si="2"/>
        <v>20668300</v>
      </c>
      <c r="E152" s="49">
        <f>VLOOKUP($A152,'Data shares'!$C:$FA,128)*100</f>
        <v>6.13</v>
      </c>
      <c r="F152" s="49">
        <f>VLOOKUP($A152,'Data shares'!$C:$FA,129)</f>
        <v>1206000</v>
      </c>
    </row>
    <row r="153" spans="1:7" x14ac:dyDescent="0.25">
      <c r="A153" s="101" t="s">
        <v>515</v>
      </c>
      <c r="B153" s="17">
        <v>3083179</v>
      </c>
      <c r="C153" s="17">
        <v>492075</v>
      </c>
      <c r="D153" s="17">
        <f t="shared" si="2"/>
        <v>492075</v>
      </c>
      <c r="E153" s="49">
        <f>VLOOKUP($A153,'Data shares'!$C:$FA,128)*100</f>
        <v>6.13</v>
      </c>
      <c r="F153" s="49">
        <f>VLOOKUP($A153,'Data shares'!$C:$FA,129)</f>
        <v>1206000</v>
      </c>
    </row>
    <row r="154" spans="1:7" x14ac:dyDescent="0.25">
      <c r="A154" s="101" t="s">
        <v>226</v>
      </c>
      <c r="B154" s="17">
        <v>26072630</v>
      </c>
      <c r="C154" s="17">
        <v>9897900</v>
      </c>
      <c r="D154" s="17">
        <f t="shared" si="2"/>
        <v>9897900</v>
      </c>
      <c r="E154" s="49">
        <f>VLOOKUP($A154,'Data shares'!$C:$FA,128)*100</f>
        <v>9.34</v>
      </c>
      <c r="F154" s="49">
        <f>VLOOKUP($A154,'Data shares'!$C:$FA,129)</f>
        <v>606000</v>
      </c>
    </row>
    <row r="155" spans="1:7" x14ac:dyDescent="0.25">
      <c r="A155" s="101" t="s">
        <v>544</v>
      </c>
      <c r="B155" s="17">
        <v>139989683</v>
      </c>
      <c r="C155" s="17">
        <v>28415200</v>
      </c>
      <c r="D155" s="17">
        <f t="shared" si="2"/>
        <v>28415200</v>
      </c>
      <c r="E155" s="49">
        <f>VLOOKUP($A155,'Data shares'!$C:$FA,128)*100</f>
        <v>9.17</v>
      </c>
      <c r="F155" s="49">
        <f>VLOOKUP($A155,'Data shares'!$C:$FA,129)</f>
        <v>3431700</v>
      </c>
    </row>
    <row r="156" spans="1:7" x14ac:dyDescent="0.25">
      <c r="A156" s="101" t="s">
        <v>547</v>
      </c>
      <c r="B156" s="17">
        <v>65482129</v>
      </c>
      <c r="C156" s="17">
        <v>33944200</v>
      </c>
      <c r="D156" s="17">
        <f t="shared" si="2"/>
        <v>33944200</v>
      </c>
      <c r="E156" s="49">
        <f>VLOOKUP($A156,'Data shares'!$C:$FA,128)*100</f>
        <v>14.91</v>
      </c>
      <c r="F156" s="49">
        <f>VLOOKUP($A156,'Data shares'!$C:$FA,129)</f>
        <v>7128800</v>
      </c>
    </row>
    <row r="157" spans="1:7" x14ac:dyDescent="0.25">
      <c r="A157" s="101" t="s">
        <v>499</v>
      </c>
      <c r="B157" s="17">
        <v>66687240</v>
      </c>
      <c r="C157" s="17">
        <v>16125200</v>
      </c>
      <c r="D157" s="17">
        <f t="shared" si="2"/>
        <v>16125200</v>
      </c>
      <c r="E157" s="49">
        <f>VLOOKUP($A157,'Data shares'!$C:$FA,128)*100</f>
        <v>0</v>
      </c>
      <c r="F157" s="49">
        <f>VLOOKUP($A157,'Data shares'!$C:$FA,129)</f>
        <v>0</v>
      </c>
    </row>
    <row r="158" spans="1:7" x14ac:dyDescent="0.25">
      <c r="A158" s="101" t="s">
        <v>483</v>
      </c>
      <c r="B158" s="17">
        <v>16146181</v>
      </c>
      <c r="C158" s="17">
        <v>1914250</v>
      </c>
      <c r="D158" s="17">
        <f t="shared" si="2"/>
        <v>1914250</v>
      </c>
      <c r="E158" s="49">
        <f>VLOOKUP($A158,'Data shares'!$C:$FA,128)*100</f>
        <v>7.95</v>
      </c>
      <c r="F158" s="49">
        <f>VLOOKUP($A158,'Data shares'!$C:$FA,129)</f>
        <v>121100</v>
      </c>
    </row>
    <row r="159" spans="1:7" x14ac:dyDescent="0.25">
      <c r="A159" s="101" t="s">
        <v>546</v>
      </c>
      <c r="B159" s="17">
        <v>18282414</v>
      </c>
      <c r="C159" s="17">
        <v>13742300</v>
      </c>
      <c r="D159" s="17">
        <f t="shared" si="2"/>
        <v>13742300</v>
      </c>
      <c r="E159" s="49">
        <f>VLOOKUP($A159,'Data shares'!$C:$FA,128)*100</f>
        <v>8.02</v>
      </c>
      <c r="F159" s="49">
        <f>VLOOKUP($A159,'Data shares'!$C:$FA,129)</f>
        <v>12331800</v>
      </c>
    </row>
    <row r="160" spans="1:7" x14ac:dyDescent="0.25">
      <c r="A160" s="101" t="s">
        <v>220</v>
      </c>
      <c r="B160" s="17">
        <v>50687734</v>
      </c>
      <c r="C160" s="17">
        <v>6783500</v>
      </c>
      <c r="D160" s="17">
        <f t="shared" si="2"/>
        <v>6783500</v>
      </c>
      <c r="E160" s="49">
        <f>VLOOKUP($A160,'Data shares'!$C:$FA,128)*100</f>
        <v>9.120000000000001</v>
      </c>
      <c r="F160" s="49">
        <f>VLOOKUP($A160,'Data shares'!$C:$FA,129)</f>
        <v>696500</v>
      </c>
    </row>
    <row r="161" spans="1:6" x14ac:dyDescent="0.25">
      <c r="A161" s="101" t="s">
        <v>472</v>
      </c>
      <c r="B161" s="17">
        <v>50993734</v>
      </c>
      <c r="C161" s="17">
        <v>3803750</v>
      </c>
      <c r="D161" s="17">
        <f t="shared" si="2"/>
        <v>3803750</v>
      </c>
      <c r="E161" s="49">
        <f>VLOOKUP($A161,'Data shares'!$C:$FA,128)*100</f>
        <v>1.5699999999999998</v>
      </c>
      <c r="F161" s="49">
        <f>VLOOKUP($A161,'Data shares'!$C:$FA,129)</f>
        <v>62075</v>
      </c>
    </row>
    <row r="162" spans="1:6" x14ac:dyDescent="0.25">
      <c r="A162" t="s">
        <v>535</v>
      </c>
      <c r="B162">
        <v>78168147</v>
      </c>
      <c r="C162">
        <v>9571500</v>
      </c>
      <c r="D162" s="17">
        <f t="shared" ref="D162:D204" si="3">C162</f>
        <v>9571500</v>
      </c>
      <c r="E162" s="49">
        <f>VLOOKUP($A162,'Data shares'!$C:$FA,128)*100</f>
        <v>10.96</v>
      </c>
      <c r="F162" s="49">
        <f>VLOOKUP($A162,'Data shares'!$C:$FA,129)</f>
        <v>1422900</v>
      </c>
    </row>
    <row r="163" spans="1:6" x14ac:dyDescent="0.25">
      <c r="A163" t="s">
        <v>492</v>
      </c>
      <c r="B163">
        <v>28779078</v>
      </c>
      <c r="C163">
        <v>14404150</v>
      </c>
      <c r="D163" s="17">
        <f t="shared" si="3"/>
        <v>14404150</v>
      </c>
      <c r="E163" s="49">
        <f>VLOOKUP($A163,'Data shares'!$C:$FA,128)*100</f>
        <v>0</v>
      </c>
      <c r="F163" s="49">
        <f>VLOOKUP($A163,'Data shares'!$C:$FA,129)</f>
        <v>0</v>
      </c>
    </row>
    <row r="164" spans="1:6" x14ac:dyDescent="0.25">
      <c r="A164" t="s">
        <v>298</v>
      </c>
      <c r="B164">
        <v>9731600</v>
      </c>
      <c r="C164">
        <v>863500</v>
      </c>
      <c r="D164" s="17">
        <f t="shared" si="3"/>
        <v>863500</v>
      </c>
      <c r="E164" s="49">
        <f>VLOOKUP($A164,'Data shares'!$C:$FA,128)*100</f>
        <v>3.26</v>
      </c>
      <c r="F164" s="49">
        <f>VLOOKUP($A164,'Data shares'!$C:$FA,129)</f>
        <v>80250</v>
      </c>
    </row>
    <row r="165" spans="1:6" x14ac:dyDescent="0.25">
      <c r="A165" t="s">
        <v>548</v>
      </c>
      <c r="B165">
        <v>442076</v>
      </c>
      <c r="C165">
        <v>9615</v>
      </c>
      <c r="D165" s="17">
        <f t="shared" si="3"/>
        <v>9615</v>
      </c>
      <c r="E165" s="49">
        <f>VLOOKUP($A165,'Data shares'!$C:$FA,128)*100</f>
        <v>8.09</v>
      </c>
      <c r="F165" s="49">
        <f>VLOOKUP($A165,'Data shares'!$C:$FA,129)</f>
        <v>1756650</v>
      </c>
    </row>
    <row r="166" spans="1:6" x14ac:dyDescent="0.25">
      <c r="A166" t="s">
        <v>530</v>
      </c>
      <c r="B166">
        <v>3258166</v>
      </c>
      <c r="C166">
        <v>219750</v>
      </c>
      <c r="D166" s="17">
        <f t="shared" si="3"/>
        <v>219750</v>
      </c>
      <c r="E166" s="49">
        <f>VLOOKUP($A166,'Data shares'!$C:$FA,128)*100</f>
        <v>0</v>
      </c>
      <c r="F166" s="49">
        <f>VLOOKUP($A166,'Data shares'!$C:$FA,129)</f>
        <v>0</v>
      </c>
    </row>
    <row r="167" spans="1:6" x14ac:dyDescent="0.25">
      <c r="A167" t="s">
        <v>249</v>
      </c>
      <c r="B167">
        <v>277168216</v>
      </c>
      <c r="C167">
        <v>21795375</v>
      </c>
      <c r="D167" s="17">
        <f t="shared" si="3"/>
        <v>21795375</v>
      </c>
      <c r="E167" s="49">
        <f>VLOOKUP($A167,'Data shares'!$C:$FA,128)*100</f>
        <v>16.41</v>
      </c>
      <c r="F167" s="49">
        <f>VLOOKUP($A167,'Data shares'!$C:$FA,129)</f>
        <v>2080575</v>
      </c>
    </row>
    <row r="168" spans="1:6" x14ac:dyDescent="0.25">
      <c r="A168" t="s">
        <v>216</v>
      </c>
      <c r="B168">
        <v>484955219</v>
      </c>
      <c r="C168">
        <v>230400000</v>
      </c>
      <c r="D168" s="17">
        <f t="shared" si="3"/>
        <v>230400000</v>
      </c>
      <c r="E168" s="49">
        <f>VLOOKUP($A168,'Data shares'!$C:$FA,128)*100</f>
        <v>8.02</v>
      </c>
      <c r="F168" s="49">
        <f>VLOOKUP($A168,'Data shares'!$C:$FA,129)</f>
        <v>12331800</v>
      </c>
    </row>
    <row r="169" spans="1:6" x14ac:dyDescent="0.25">
      <c r="A169" t="s">
        <v>252</v>
      </c>
      <c r="B169">
        <v>117640832</v>
      </c>
      <c r="C169">
        <v>52456000</v>
      </c>
      <c r="D169" s="17">
        <f t="shared" si="3"/>
        <v>52456000</v>
      </c>
      <c r="E169" s="49">
        <f>VLOOKUP($A169,'Data shares'!$C:$FA,128)*100</f>
        <v>12.790000000000001</v>
      </c>
      <c r="F169" s="49">
        <f>VLOOKUP($A169,'Data shares'!$C:$FA,129)</f>
        <v>2357800</v>
      </c>
    </row>
    <row r="170" spans="1:6" x14ac:dyDescent="0.25">
      <c r="A170" t="s">
        <v>205</v>
      </c>
      <c r="B170">
        <v>25513876</v>
      </c>
      <c r="C170">
        <v>3302300</v>
      </c>
      <c r="D170" s="17">
        <f t="shared" si="3"/>
        <v>3302300</v>
      </c>
      <c r="E170" s="49">
        <f>VLOOKUP($A170,'Data shares'!$C:$FA,128)*100</f>
        <v>8.2600000000000016</v>
      </c>
      <c r="F170" s="49">
        <f>VLOOKUP($A170,'Data shares'!$C:$FA,129)</f>
        <v>145800</v>
      </c>
    </row>
    <row r="171" spans="1:6" x14ac:dyDescent="0.25">
      <c r="A171" t="s">
        <v>194</v>
      </c>
      <c r="B171">
        <v>202646440</v>
      </c>
      <c r="C171">
        <v>52470000</v>
      </c>
      <c r="D171" s="17">
        <f t="shared" si="3"/>
        <v>52470000</v>
      </c>
      <c r="E171" s="49">
        <f>VLOOKUP($A171,'Data shares'!$C:$FA,128)*100</f>
        <v>5.0599999999999996</v>
      </c>
      <c r="F171" s="49">
        <f>VLOOKUP($A171,'Data shares'!$C:$FA,129)</f>
        <v>1728125</v>
      </c>
    </row>
    <row r="172" spans="1:6" x14ac:dyDescent="0.25">
      <c r="A172" t="s">
        <v>263</v>
      </c>
      <c r="B172">
        <v>178967755</v>
      </c>
      <c r="C172">
        <v>142910500</v>
      </c>
      <c r="D172" s="17">
        <f t="shared" si="3"/>
        <v>142910500</v>
      </c>
      <c r="E172" s="49">
        <f>VLOOKUP($A172,'Data shares'!$C:$FA,128)*100</f>
        <v>15.120000000000001</v>
      </c>
      <c r="F172" s="49">
        <f>VLOOKUP($A172,'Data shares'!$C:$FA,129)</f>
        <v>7350000</v>
      </c>
    </row>
    <row r="173" spans="1:6" x14ac:dyDescent="0.25">
      <c r="A173" t="s">
        <v>476</v>
      </c>
      <c r="B173">
        <v>40446155</v>
      </c>
      <c r="C173">
        <v>4358800</v>
      </c>
      <c r="D173" s="17">
        <f t="shared" si="3"/>
        <v>4358800</v>
      </c>
      <c r="E173" s="49">
        <f>VLOOKUP($A173,'Data shares'!$C:$FA,128)*100</f>
        <v>3.08</v>
      </c>
      <c r="F173" s="49">
        <f>VLOOKUP($A173,'Data shares'!$C:$FA,129)</f>
        <v>151500</v>
      </c>
    </row>
    <row r="174" spans="1:6" x14ac:dyDescent="0.25">
      <c r="A174" t="s">
        <v>187</v>
      </c>
      <c r="B174">
        <v>51436398</v>
      </c>
      <c r="C174">
        <v>7413750</v>
      </c>
      <c r="D174" s="17">
        <f t="shared" si="3"/>
        <v>7413750</v>
      </c>
      <c r="E174" s="49">
        <f>VLOOKUP($A174,'Data shares'!$C:$FA,128)*100</f>
        <v>7.86</v>
      </c>
      <c r="F174" s="49">
        <f>VLOOKUP($A174,'Data shares'!$C:$FA,129)</f>
        <v>620000</v>
      </c>
    </row>
    <row r="175" spans="1:6" x14ac:dyDescent="0.25">
      <c r="A175" t="s">
        <v>493</v>
      </c>
      <c r="B175">
        <v>14814614</v>
      </c>
      <c r="C175">
        <v>3344250</v>
      </c>
      <c r="D175" s="17">
        <f t="shared" si="3"/>
        <v>3344250</v>
      </c>
      <c r="E175" s="49">
        <f>VLOOKUP($A175,'Data shares'!$C:$FA,128)*100</f>
        <v>2.2800000000000002</v>
      </c>
      <c r="F175" s="49">
        <f>VLOOKUP($A175,'Data shares'!$C:$FA,129)</f>
        <v>50375</v>
      </c>
    </row>
    <row r="176" spans="1:6" x14ac:dyDescent="0.25">
      <c r="A176" t="s">
        <v>525</v>
      </c>
      <c r="B176">
        <v>35635456</v>
      </c>
      <c r="C176">
        <v>28959300</v>
      </c>
      <c r="D176" s="17">
        <f t="shared" si="3"/>
        <v>28959300</v>
      </c>
      <c r="E176" s="49">
        <f>VLOOKUP($A176,'Data shares'!$C:$FA,128)*100</f>
        <v>9.84</v>
      </c>
      <c r="F176" s="49">
        <f>VLOOKUP($A176,'Data shares'!$C:$FA,129)</f>
        <v>1305175</v>
      </c>
    </row>
    <row r="177" spans="1:6" x14ac:dyDescent="0.25">
      <c r="A177" t="s">
        <v>512</v>
      </c>
      <c r="B177">
        <v>7771646</v>
      </c>
      <c r="C177">
        <v>1119375</v>
      </c>
      <c r="D177" s="17">
        <f t="shared" si="3"/>
        <v>1119375</v>
      </c>
      <c r="E177" s="49">
        <f>VLOOKUP($A177,'Data shares'!$C:$FA,128)*100</f>
        <v>8.44</v>
      </c>
      <c r="F177" s="49">
        <f>VLOOKUP($A177,'Data shares'!$C:$FA,129)</f>
        <v>101450</v>
      </c>
    </row>
    <row r="178" spans="1:6" x14ac:dyDescent="0.25">
      <c r="A178" t="s">
        <v>233</v>
      </c>
      <c r="B178">
        <v>76432837</v>
      </c>
      <c r="C178">
        <v>9804000</v>
      </c>
      <c r="D178" s="17">
        <f t="shared" si="3"/>
        <v>9804000</v>
      </c>
      <c r="E178" s="49">
        <f>VLOOKUP($A178,'Data shares'!$C:$FA,128)*100</f>
        <v>2.9899999999999998</v>
      </c>
      <c r="F178" s="49">
        <f>VLOOKUP($A178,'Data shares'!$C:$FA,129)</f>
        <v>285825</v>
      </c>
    </row>
    <row r="179" spans="1:6" x14ac:dyDescent="0.25">
      <c r="A179" t="s">
        <v>183</v>
      </c>
      <c r="B179">
        <v>12092405</v>
      </c>
      <c r="C179">
        <v>2606450</v>
      </c>
      <c r="D179" s="17">
        <f t="shared" si="3"/>
        <v>2606450</v>
      </c>
      <c r="E179" s="49">
        <f>VLOOKUP($A179,'Data shares'!$C:$FA,128)*100</f>
        <v>11.74</v>
      </c>
      <c r="F179" s="49">
        <f>VLOOKUP($A179,'Data shares'!$C:$FA,129)</f>
        <v>315455</v>
      </c>
    </row>
    <row r="180" spans="1:6" x14ac:dyDescent="0.25">
      <c r="A180" t="s">
        <v>280</v>
      </c>
      <c r="B180">
        <v>187084550</v>
      </c>
      <c r="C180">
        <v>50568000</v>
      </c>
      <c r="D180" s="17">
        <f t="shared" si="3"/>
        <v>50568000</v>
      </c>
      <c r="E180" s="49">
        <f>VLOOKUP($A180,'Data shares'!$C:$FA,128)*100</f>
        <v>8.14</v>
      </c>
      <c r="F180" s="49">
        <f>VLOOKUP($A180,'Data shares'!$C:$FA,129)</f>
        <v>5529675</v>
      </c>
    </row>
    <row r="181" spans="1:6" x14ac:dyDescent="0.25">
      <c r="A181" t="s">
        <v>166</v>
      </c>
      <c r="B181">
        <v>79597108</v>
      </c>
      <c r="C181">
        <v>26630000</v>
      </c>
      <c r="D181" s="17">
        <f t="shared" si="3"/>
        <v>26630000</v>
      </c>
      <c r="E181" s="49">
        <f>VLOOKUP($A181,'Data shares'!$C:$FA,128)*100</f>
        <v>8.8800000000000008</v>
      </c>
      <c r="F181" s="49">
        <f>VLOOKUP($A181,'Data shares'!$C:$FA,129)</f>
        <v>286250</v>
      </c>
    </row>
    <row r="182" spans="1:6" x14ac:dyDescent="0.25">
      <c r="A182" t="s">
        <v>241</v>
      </c>
      <c r="B182">
        <v>913205148</v>
      </c>
      <c r="C182">
        <v>118527500</v>
      </c>
      <c r="D182" s="17">
        <f t="shared" si="3"/>
        <v>118527500</v>
      </c>
      <c r="E182" s="49">
        <f>VLOOKUP($A182,'Data shares'!$C:$FA,128)*100</f>
        <v>9.82</v>
      </c>
      <c r="F182" s="49">
        <f>VLOOKUP($A182,'Data shares'!$C:$FA,129)</f>
        <v>5679375</v>
      </c>
    </row>
    <row r="183" spans="1:6" x14ac:dyDescent="0.25">
      <c r="A183" t="s">
        <v>517</v>
      </c>
      <c r="B183">
        <v>10180563</v>
      </c>
      <c r="C183">
        <v>3926650</v>
      </c>
      <c r="D183" s="17">
        <f t="shared" si="3"/>
        <v>3926650</v>
      </c>
      <c r="E183" s="49">
        <f>VLOOKUP($A183,'Data shares'!$C:$FA,128)*100</f>
        <v>7.1400000000000006</v>
      </c>
      <c r="F183" s="49">
        <f>VLOOKUP($A183,'Data shares'!$C:$FA,129)</f>
        <v>112375</v>
      </c>
    </row>
    <row r="184" spans="1:6" x14ac:dyDescent="0.25">
      <c r="A184" t="s">
        <v>211</v>
      </c>
      <c r="B184">
        <v>91809066</v>
      </c>
      <c r="C184">
        <v>33516000</v>
      </c>
      <c r="D184" s="17">
        <f t="shared" si="3"/>
        <v>33516000</v>
      </c>
      <c r="E184" s="49">
        <f>VLOOKUP($A184,'Data shares'!$C:$FA,128)*100</f>
        <v>11.799999999999999</v>
      </c>
      <c r="F184" s="49">
        <f>VLOOKUP($A184,'Data shares'!$C:$FA,129)</f>
        <v>3564000</v>
      </c>
    </row>
    <row r="185" spans="1:6" x14ac:dyDescent="0.25">
      <c r="A185" t="s">
        <v>518</v>
      </c>
      <c r="B185">
        <v>4636018</v>
      </c>
      <c r="C185">
        <v>608375</v>
      </c>
      <c r="D185" s="17">
        <f t="shared" si="3"/>
        <v>608375</v>
      </c>
      <c r="E185" s="49">
        <f>VLOOKUP($A185,'Data shares'!$C:$FA,128)*100</f>
        <v>6.78</v>
      </c>
      <c r="F185" s="49">
        <f>VLOOKUP($A185,'Data shares'!$C:$FA,129)</f>
        <v>47850</v>
      </c>
    </row>
    <row r="186" spans="1:6" x14ac:dyDescent="0.25">
      <c r="A186" t="s">
        <v>511</v>
      </c>
      <c r="B186">
        <v>18644752</v>
      </c>
      <c r="C186">
        <v>4227600</v>
      </c>
      <c r="D186" s="17">
        <f t="shared" si="3"/>
        <v>4227600</v>
      </c>
      <c r="E186" s="49">
        <f>VLOOKUP($A186,'Data shares'!$C:$FA,128)*100</f>
        <v>8.1199999999999992</v>
      </c>
      <c r="F186" s="49">
        <f>VLOOKUP($A186,'Data shares'!$C:$FA,129)</f>
        <v>15126750</v>
      </c>
    </row>
    <row r="187" spans="1:6" x14ac:dyDescent="0.25">
      <c r="A187" t="s">
        <v>186</v>
      </c>
      <c r="B187">
        <v>48589957</v>
      </c>
      <c r="C187">
        <v>5942200</v>
      </c>
      <c r="D187" s="17">
        <f t="shared" si="3"/>
        <v>5942200</v>
      </c>
      <c r="E187" s="49">
        <f>VLOOKUP($A187,'Data shares'!$C:$FA,128)*100</f>
        <v>14.799999999999999</v>
      </c>
      <c r="F187" s="49">
        <f>VLOOKUP($A187,'Data shares'!$C:$FA,129)</f>
        <v>12334800</v>
      </c>
    </row>
    <row r="188" spans="1:6" x14ac:dyDescent="0.25">
      <c r="A188" t="s">
        <v>522</v>
      </c>
      <c r="B188">
        <v>1063050</v>
      </c>
      <c r="C188">
        <v>54050</v>
      </c>
      <c r="D188" s="17">
        <f t="shared" si="3"/>
        <v>54050</v>
      </c>
      <c r="E188" s="49">
        <f>VLOOKUP($A188,'Data shares'!$C:$FA,128)*100</f>
        <v>9.48</v>
      </c>
      <c r="F188" s="49">
        <f>VLOOKUP($A188,'Data shares'!$C:$FA,129)</f>
        <v>246250</v>
      </c>
    </row>
    <row r="189" spans="1:6" x14ac:dyDescent="0.25">
      <c r="A189" t="s">
        <v>300</v>
      </c>
      <c r="B189">
        <v>45360865</v>
      </c>
      <c r="C189">
        <v>14277200</v>
      </c>
      <c r="D189" s="17">
        <f t="shared" si="3"/>
        <v>14277200</v>
      </c>
      <c r="E189" s="49">
        <f>VLOOKUP($A189,'Data shares'!$C:$FA,128)*100</f>
        <v>9.9599999999999991</v>
      </c>
      <c r="F189" s="49">
        <f>VLOOKUP($A189,'Data shares'!$C:$FA,129)</f>
        <v>863100</v>
      </c>
    </row>
    <row r="190" spans="1:6" x14ac:dyDescent="0.25">
      <c r="A190" t="s">
        <v>520</v>
      </c>
      <c r="B190">
        <v>23139622</v>
      </c>
      <c r="C190">
        <v>1555500</v>
      </c>
      <c r="D190" s="17">
        <f t="shared" si="3"/>
        <v>1555500</v>
      </c>
      <c r="E190" s="49">
        <f>VLOOKUP($A190,'Data shares'!$C:$FA,128)*100</f>
        <v>3.73</v>
      </c>
      <c r="F190" s="49">
        <f>VLOOKUP($A190,'Data shares'!$C:$FA,129)</f>
        <v>240000</v>
      </c>
    </row>
    <row r="191" spans="1:6" x14ac:dyDescent="0.25">
      <c r="A191" t="s">
        <v>294</v>
      </c>
      <c r="B191">
        <v>161436977</v>
      </c>
      <c r="C191">
        <v>59382700</v>
      </c>
      <c r="D191" s="17">
        <f t="shared" si="3"/>
        <v>59382700</v>
      </c>
      <c r="E191" s="49">
        <f>VLOOKUP($A191,'Data shares'!$C:$FA,128)*100</f>
        <v>12.04</v>
      </c>
      <c r="F191" s="49">
        <f>VLOOKUP($A191,'Data shares'!$C:$FA,129)</f>
        <v>17941000</v>
      </c>
    </row>
    <row r="192" spans="1:6" x14ac:dyDescent="0.25">
      <c r="A192" t="s">
        <v>244</v>
      </c>
      <c r="B192">
        <v>265685393</v>
      </c>
      <c r="C192">
        <v>44023500</v>
      </c>
      <c r="D192" s="17">
        <f t="shared" si="3"/>
        <v>44023500</v>
      </c>
      <c r="E192" s="49">
        <f>VLOOKUP($A192,'Data shares'!$C:$FA,128)*100</f>
        <v>5.48</v>
      </c>
      <c r="F192" s="49">
        <f>VLOOKUP($A192,'Data shares'!$C:$FA,129)</f>
        <v>1712475</v>
      </c>
    </row>
    <row r="193" spans="1:6" x14ac:dyDescent="0.25">
      <c r="A193" t="s">
        <v>160</v>
      </c>
      <c r="B193">
        <v>145684825</v>
      </c>
      <c r="C193">
        <v>110820000</v>
      </c>
      <c r="D193" s="17">
        <f t="shared" si="3"/>
        <v>110820000</v>
      </c>
      <c r="E193" s="49">
        <f>VLOOKUP($A193,'Data shares'!$C:$FA,128)*100</f>
        <v>8.4699999999999989</v>
      </c>
      <c r="F193" s="49">
        <f>VLOOKUP($A193,'Data shares'!$C:$FA,129)</f>
        <v>1912825</v>
      </c>
    </row>
    <row r="194" spans="1:6" x14ac:dyDescent="0.25">
      <c r="A194" t="s">
        <v>496</v>
      </c>
      <c r="B194">
        <v>11999202</v>
      </c>
      <c r="C194">
        <v>2345700</v>
      </c>
      <c r="D194" s="17">
        <f t="shared" si="3"/>
        <v>2345700</v>
      </c>
      <c r="E194" s="49">
        <f>VLOOKUP($A194,'Data shares'!$C:$FA,128)*100</f>
        <v>5.64</v>
      </c>
      <c r="F194" s="49">
        <f>VLOOKUP($A194,'Data shares'!$C:$FA,129)</f>
        <v>246400</v>
      </c>
    </row>
    <row r="195" spans="1:6" x14ac:dyDescent="0.25">
      <c r="A195" t="s">
        <v>230</v>
      </c>
      <c r="B195">
        <v>179034270</v>
      </c>
      <c r="C195">
        <v>24257400</v>
      </c>
      <c r="D195" s="17">
        <f t="shared" si="3"/>
        <v>24257400</v>
      </c>
      <c r="E195" s="49">
        <f>VLOOKUP($A195,'Data shares'!$C:$FA,128)*100</f>
        <v>9.08</v>
      </c>
      <c r="F195" s="49">
        <f>VLOOKUP($A195,'Data shares'!$C:$FA,129)</f>
        <v>1059600</v>
      </c>
    </row>
    <row r="196" spans="1:6" x14ac:dyDescent="0.25">
      <c r="A196" t="s">
        <v>203</v>
      </c>
      <c r="B196">
        <v>27165463</v>
      </c>
      <c r="C196">
        <v>3318000</v>
      </c>
      <c r="D196" s="17">
        <f t="shared" si="3"/>
        <v>3318000</v>
      </c>
      <c r="E196" s="49">
        <f>VLOOKUP($A196,'Data shares'!$C:$FA,128)*100</f>
        <v>4.18</v>
      </c>
      <c r="F196" s="49">
        <f>VLOOKUP($A196,'Data shares'!$C:$FA,129)</f>
        <v>131400</v>
      </c>
    </row>
    <row r="197" spans="1:6" x14ac:dyDescent="0.25">
      <c r="A197" t="s">
        <v>251</v>
      </c>
      <c r="B197">
        <v>184464522</v>
      </c>
      <c r="C197">
        <v>32566800</v>
      </c>
      <c r="D197" s="17">
        <f t="shared" si="3"/>
        <v>32566800</v>
      </c>
      <c r="E197" s="49">
        <f>VLOOKUP($A197,'Data shares'!$C:$FA,128)*100</f>
        <v>12.790000000000001</v>
      </c>
      <c r="F197" s="49">
        <f>VLOOKUP($A197,'Data shares'!$C:$FA,129)</f>
        <v>2357800</v>
      </c>
    </row>
    <row r="198" spans="1:6" x14ac:dyDescent="0.25">
      <c r="A198" t="s">
        <v>254</v>
      </c>
      <c r="B198">
        <v>104419539</v>
      </c>
      <c r="C198">
        <v>12741000</v>
      </c>
      <c r="D198" s="17">
        <f t="shared" si="3"/>
        <v>12741000</v>
      </c>
      <c r="E198" s="49">
        <f>VLOOKUP($A198,'Data shares'!$C:$FA,128)*100</f>
        <v>4.0199999999999996</v>
      </c>
      <c r="F198" s="49">
        <f>VLOOKUP($A198,'Data shares'!$C:$FA,129)</f>
        <v>404400</v>
      </c>
    </row>
    <row r="199" spans="1:6" x14ac:dyDescent="0.25">
      <c r="A199" t="s">
        <v>159</v>
      </c>
      <c r="B199">
        <v>55169320</v>
      </c>
      <c r="C199">
        <v>29565500</v>
      </c>
      <c r="D199" s="17">
        <f t="shared" si="3"/>
        <v>29565500</v>
      </c>
      <c r="E199" s="49">
        <f>VLOOKUP($A199,'Data shares'!$C:$FA,128)*100</f>
        <v>7.39</v>
      </c>
      <c r="F199" s="49">
        <f>VLOOKUP($A199,'Data shares'!$C:$FA,129)</f>
        <v>1051200</v>
      </c>
    </row>
    <row r="200" spans="1:6" x14ac:dyDescent="0.25">
      <c r="A200" t="s">
        <v>201</v>
      </c>
      <c r="B200">
        <v>26654592</v>
      </c>
      <c r="C200">
        <v>3469200</v>
      </c>
      <c r="D200" s="17">
        <f t="shared" si="3"/>
        <v>3469200</v>
      </c>
      <c r="E200" s="49">
        <f>VLOOKUP($A200,'Data shares'!$C:$FA,128)*100</f>
        <v>9.9</v>
      </c>
      <c r="F200" s="49">
        <f>VLOOKUP($A200,'Data shares'!$C:$FA,129)</f>
        <v>444600</v>
      </c>
    </row>
    <row r="201" spans="1:6" x14ac:dyDescent="0.25">
      <c r="A201" t="s">
        <v>199</v>
      </c>
      <c r="B201">
        <v>102562642</v>
      </c>
      <c r="C201">
        <v>20641400</v>
      </c>
      <c r="D201" s="17">
        <f t="shared" si="3"/>
        <v>20641400</v>
      </c>
      <c r="E201" s="49">
        <f>VLOOKUP($A201,'Data shares'!$C:$FA,128)*100</f>
        <v>4.5699999999999994</v>
      </c>
      <c r="F201" s="49">
        <f>VLOOKUP($A201,'Data shares'!$C:$FA,129)</f>
        <v>365625</v>
      </c>
    </row>
    <row r="202" spans="1:6" x14ac:dyDescent="0.25">
      <c r="A202" t="s">
        <v>296</v>
      </c>
      <c r="B202">
        <v>124861039</v>
      </c>
      <c r="C202">
        <v>20543400</v>
      </c>
      <c r="D202" s="17">
        <f t="shared" si="3"/>
        <v>20543400</v>
      </c>
      <c r="E202" s="49">
        <f>VLOOKUP($A202,'Data shares'!$C:$FA,128)*100</f>
        <v>8.6</v>
      </c>
      <c r="F202" s="49">
        <f>VLOOKUP($A202,'Data shares'!$C:$FA,129)</f>
        <v>1277400</v>
      </c>
    </row>
    <row r="203" spans="1:6" x14ac:dyDescent="0.25">
      <c r="A203" t="s">
        <v>229</v>
      </c>
      <c r="B203">
        <v>127940594</v>
      </c>
      <c r="C203">
        <v>33552900</v>
      </c>
      <c r="D203" s="17">
        <f t="shared" si="3"/>
        <v>33552900</v>
      </c>
      <c r="E203" s="49">
        <f>VLOOKUP($A203,'Data shares'!$C:$FA,128)*100</f>
        <v>6.1</v>
      </c>
      <c r="F203" s="49">
        <f>VLOOKUP($A203,'Data shares'!$C:$FA,129)</f>
        <v>2470500</v>
      </c>
    </row>
    <row r="204" spans="1:6" x14ac:dyDescent="0.25">
      <c r="A204" t="s">
        <v>497</v>
      </c>
      <c r="B204">
        <v>10251929</v>
      </c>
      <c r="C204">
        <v>266200</v>
      </c>
      <c r="D204" s="17">
        <f t="shared" si="3"/>
        <v>266200</v>
      </c>
      <c r="E204" s="49">
        <f>VLOOKUP($A204,'Data shares'!$C:$FA,128)*100</f>
        <v>12.32</v>
      </c>
      <c r="F204" s="49">
        <f>VLOOKUP($A204,'Data shares'!$C:$FA,129)</f>
        <v>193125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2" sqref="D12"/>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0" zoomScale="86" zoomScaleNormal="86" workbookViewId="0">
      <selection activeCell="J16" sqref="J16"/>
    </sheetView>
  </sheetViews>
  <sheetFormatPr defaultRowHeight="15" x14ac:dyDescent="0.25"/>
  <cols>
    <col min="1" max="1" width="12.5703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45889</v>
      </c>
      <c r="B2" s="227" t="s">
        <v>175</v>
      </c>
      <c r="C2" s="227" t="s">
        <v>684</v>
      </c>
      <c r="D2" s="228">
        <v>500</v>
      </c>
      <c r="E2" s="228">
        <v>8</v>
      </c>
      <c r="F2" s="231">
        <v>1102.8</v>
      </c>
      <c r="G2" s="231">
        <v>1080</v>
      </c>
      <c r="H2" s="228">
        <v>22.8</v>
      </c>
      <c r="I2" s="229">
        <v>2.1100000000000001E-2</v>
      </c>
      <c r="J2" s="231">
        <v>1102.9000000000001</v>
      </c>
      <c r="K2" s="231">
        <v>1078.9000000000001</v>
      </c>
      <c r="L2" s="228">
        <v>24</v>
      </c>
      <c r="M2" s="229">
        <v>2.2200000000000001E-2</v>
      </c>
      <c r="N2" s="231">
        <v>1102.8</v>
      </c>
      <c r="O2" s="231">
        <v>1080</v>
      </c>
      <c r="P2" s="228">
        <v>22.8</v>
      </c>
      <c r="Q2" s="229">
        <v>2.1100000000000001E-2</v>
      </c>
      <c r="R2" s="231">
        <v>1106.3</v>
      </c>
      <c r="S2" s="231">
        <v>1083.9000000000001</v>
      </c>
      <c r="T2" s="228">
        <v>22.4</v>
      </c>
      <c r="U2" s="229">
        <v>2.07E-2</v>
      </c>
      <c r="V2" s="231">
        <v>1108</v>
      </c>
      <c r="W2" s="231">
        <v>1032.5</v>
      </c>
      <c r="X2" s="228">
        <v>75.5</v>
      </c>
      <c r="Y2" s="229">
        <v>7.3099999999999998E-2</v>
      </c>
      <c r="Z2" s="228">
        <v>-0.1</v>
      </c>
      <c r="AA2" s="228">
        <v>1.1000000000000001</v>
      </c>
      <c r="AB2" s="228">
        <v>-1.2</v>
      </c>
      <c r="AC2" s="229">
        <v>-1E-4</v>
      </c>
      <c r="AD2" s="228">
        <v>-0.1</v>
      </c>
      <c r="AE2" s="228">
        <v>1.1000000000000001</v>
      </c>
      <c r="AF2" s="228">
        <v>-1.2</v>
      </c>
      <c r="AG2" s="229">
        <v>-1E-4</v>
      </c>
      <c r="AH2" s="228">
        <v>3.4</v>
      </c>
      <c r="AI2" s="228">
        <v>5</v>
      </c>
      <c r="AJ2" s="228">
        <v>-1.6</v>
      </c>
      <c r="AK2" s="229">
        <v>3.0999999999999999E-3</v>
      </c>
      <c r="AL2" s="228">
        <v>5.0999999999999996</v>
      </c>
      <c r="AM2" s="228">
        <v>-46.4</v>
      </c>
      <c r="AN2" s="228">
        <v>51.5</v>
      </c>
      <c r="AO2" s="229">
        <v>4.5999999999999999E-3</v>
      </c>
      <c r="AP2" s="231">
        <v>1092.6600000000001</v>
      </c>
      <c r="AQ2" s="231">
        <v>1094.93</v>
      </c>
      <c r="AR2" s="228">
        <v>0</v>
      </c>
      <c r="AS2" s="228">
        <v>174</v>
      </c>
      <c r="AT2" s="228">
        <v>112</v>
      </c>
      <c r="AU2" s="228">
        <v>63</v>
      </c>
      <c r="AV2" s="229">
        <v>0.55920000000000003</v>
      </c>
      <c r="AW2" s="228">
        <v>161</v>
      </c>
      <c r="AX2" s="228">
        <v>107</v>
      </c>
      <c r="AY2" s="228">
        <v>53</v>
      </c>
      <c r="AZ2" s="229">
        <v>0.49669999999999997</v>
      </c>
      <c r="BA2" s="228">
        <v>14</v>
      </c>
      <c r="BB2" s="228">
        <v>5</v>
      </c>
      <c r="BC2" s="228">
        <v>9</v>
      </c>
      <c r="BD2" s="229">
        <v>1.9759</v>
      </c>
      <c r="BE2" s="228">
        <v>0</v>
      </c>
      <c r="BF2" s="228">
        <v>0</v>
      </c>
      <c r="BG2" s="228">
        <v>0</v>
      </c>
      <c r="BH2" s="229">
        <v>0</v>
      </c>
      <c r="BI2" s="228">
        <v>381</v>
      </c>
      <c r="BJ2" s="228">
        <v>226</v>
      </c>
      <c r="BK2" s="228">
        <v>156</v>
      </c>
      <c r="BL2" s="229">
        <v>0.68959999999999999</v>
      </c>
      <c r="BM2" s="228">
        <v>129</v>
      </c>
      <c r="BN2" s="228">
        <v>49</v>
      </c>
      <c r="BO2" s="228">
        <v>80</v>
      </c>
      <c r="BP2" s="229">
        <v>1.6309</v>
      </c>
      <c r="BQ2" s="228">
        <v>684</v>
      </c>
      <c r="BR2" s="228">
        <v>386</v>
      </c>
      <c r="BS2" s="228">
        <v>298</v>
      </c>
      <c r="BT2" s="229">
        <v>0.77090000000000003</v>
      </c>
      <c r="BU2" s="230">
        <v>1060212</v>
      </c>
      <c r="BV2" s="230">
        <v>495009</v>
      </c>
      <c r="BW2" s="230">
        <v>565203</v>
      </c>
      <c r="BX2" s="229">
        <v>1.1417999999999999</v>
      </c>
      <c r="BY2" s="228">
        <v>608</v>
      </c>
      <c r="BZ2" s="228">
        <v>608</v>
      </c>
      <c r="CA2" s="228">
        <v>0</v>
      </c>
      <c r="CB2" s="229">
        <v>6.9999999999999999E-4</v>
      </c>
      <c r="CC2" s="228">
        <v>589</v>
      </c>
      <c r="CD2" s="228">
        <v>591</v>
      </c>
      <c r="CE2" s="228">
        <v>-2</v>
      </c>
      <c r="CF2" s="229">
        <v>-2.7000000000000001E-3</v>
      </c>
      <c r="CG2" s="228">
        <v>19</v>
      </c>
      <c r="CH2" s="228">
        <v>17</v>
      </c>
      <c r="CI2" s="228">
        <v>2</v>
      </c>
      <c r="CJ2" s="229">
        <v>0.12330000000000001</v>
      </c>
      <c r="CK2" s="228">
        <v>0</v>
      </c>
      <c r="CL2" s="228">
        <v>0</v>
      </c>
      <c r="CM2" s="228">
        <v>0</v>
      </c>
      <c r="CN2" s="229">
        <v>0</v>
      </c>
      <c r="CO2" s="228">
        <v>134</v>
      </c>
      <c r="CP2" s="228">
        <v>135</v>
      </c>
      <c r="CQ2" s="228">
        <v>0</v>
      </c>
      <c r="CR2" s="229">
        <v>-4.0000000000000002E-4</v>
      </c>
      <c r="CS2" s="228">
        <v>78</v>
      </c>
      <c r="CT2" s="228">
        <v>86</v>
      </c>
      <c r="CU2" s="228">
        <v>-8</v>
      </c>
      <c r="CV2" s="229">
        <v>-9.6600000000000005E-2</v>
      </c>
      <c r="CW2" s="228">
        <v>820</v>
      </c>
      <c r="CX2" s="228">
        <v>828</v>
      </c>
      <c r="CY2" s="228">
        <v>-8</v>
      </c>
      <c r="CZ2" s="229">
        <v>-9.5999999999999992E-3</v>
      </c>
      <c r="DA2" s="228">
        <v>28.35</v>
      </c>
      <c r="DB2" s="228">
        <v>27.13</v>
      </c>
      <c r="DC2" s="228">
        <v>1.22</v>
      </c>
      <c r="DD2" s="228">
        <v>1.22</v>
      </c>
      <c r="DE2" s="228">
        <v>48.51</v>
      </c>
      <c r="DF2" s="228">
        <v>48.55</v>
      </c>
      <c r="DG2" s="228">
        <v>-20.16</v>
      </c>
      <c r="DH2" s="228">
        <v>-0.04</v>
      </c>
      <c r="DI2" s="228">
        <v>28.2</v>
      </c>
      <c r="DJ2" s="228">
        <v>27.14</v>
      </c>
      <c r="DK2" s="228">
        <v>1.06</v>
      </c>
      <c r="DL2" s="228">
        <v>1.06</v>
      </c>
      <c r="DM2" s="228">
        <v>28.8</v>
      </c>
      <c r="DN2" s="228">
        <v>27.07</v>
      </c>
      <c r="DO2" s="228">
        <v>1.73</v>
      </c>
      <c r="DP2" s="228">
        <v>1.73</v>
      </c>
      <c r="DQ2" s="228">
        <v>0.57999999999999996</v>
      </c>
      <c r="DR2" s="228">
        <v>0.64</v>
      </c>
      <c r="DS2" s="228">
        <v>-0.06</v>
      </c>
      <c r="DT2" s="229">
        <v>-9.3799999999999994E-2</v>
      </c>
      <c r="DU2" s="231">
        <v>1200</v>
      </c>
      <c r="DV2" s="231">
        <v>1000</v>
      </c>
      <c r="DW2" s="228">
        <v>0.34</v>
      </c>
      <c r="DX2" s="228">
        <v>0.22</v>
      </c>
      <c r="DY2" s="228">
        <v>0.12</v>
      </c>
      <c r="DZ2" s="229">
        <v>0.54549999999999998</v>
      </c>
      <c r="EA2" s="229">
        <v>3.0800000000000001E-2</v>
      </c>
      <c r="EB2" s="230">
        <v>151500</v>
      </c>
      <c r="EC2" s="229">
        <v>3.2000000000000002E-3</v>
      </c>
      <c r="ED2" s="229">
        <v>3.0800000000000001E-2</v>
      </c>
      <c r="EE2" s="228">
        <v>2.27</v>
      </c>
      <c r="EF2" s="229">
        <v>2.0999999999999999E-3</v>
      </c>
      <c r="EG2" s="230">
        <v>684113</v>
      </c>
      <c r="EH2" s="230">
        <v>298261</v>
      </c>
      <c r="EI2" s="229">
        <v>1.2937000000000001</v>
      </c>
      <c r="EJ2" s="229">
        <v>0.64529999999999998</v>
      </c>
      <c r="EK2" s="228">
        <v>391.56</v>
      </c>
      <c r="EL2" s="228">
        <v>124.75</v>
      </c>
      <c r="EM2" s="228">
        <v>172.78</v>
      </c>
      <c r="EN2" s="228">
        <v>0</v>
      </c>
      <c r="EO2" s="228">
        <v>689.09</v>
      </c>
      <c r="EP2" s="228">
        <v>385.8</v>
      </c>
      <c r="EQ2" s="228">
        <v>303.29000000000002</v>
      </c>
      <c r="ER2" s="229">
        <v>0.78610000000000002</v>
      </c>
      <c r="ES2" s="228">
        <v>138.78</v>
      </c>
      <c r="ET2" s="228">
        <v>74.959999999999994</v>
      </c>
      <c r="EU2" s="228">
        <v>608.09</v>
      </c>
      <c r="EV2" s="231">
        <v>73064092</v>
      </c>
      <c r="EW2" s="228">
        <v>821.83</v>
      </c>
      <c r="EX2" s="228">
        <v>816.46</v>
      </c>
      <c r="EY2" s="228">
        <v>5.37</v>
      </c>
      <c r="EZ2" s="229">
        <v>6.6E-3</v>
      </c>
      <c r="FA2" s="229">
        <v>0.1018</v>
      </c>
      <c r="FB2" s="227" t="s">
        <v>555</v>
      </c>
      <c r="FC2">
        <f>BY2-CC2</f>
        <v>19</v>
      </c>
    </row>
    <row r="3" spans="1:159" ht="17.25" thickBot="1" x14ac:dyDescent="0.3">
      <c r="A3" s="226">
        <v>45889</v>
      </c>
      <c r="B3" s="227" t="s">
        <v>184</v>
      </c>
      <c r="C3" s="227" t="s">
        <v>553</v>
      </c>
      <c r="D3" s="228">
        <v>125</v>
      </c>
      <c r="E3" s="228">
        <v>8</v>
      </c>
      <c r="F3" s="231">
        <v>5132.5</v>
      </c>
      <c r="G3" s="231">
        <v>5087</v>
      </c>
      <c r="H3" s="228">
        <v>45.5</v>
      </c>
      <c r="I3" s="229">
        <v>8.8999999999999999E-3</v>
      </c>
      <c r="J3" s="231">
        <v>5121.5</v>
      </c>
      <c r="K3" s="231">
        <v>5068</v>
      </c>
      <c r="L3" s="228">
        <v>53.5</v>
      </c>
      <c r="M3" s="229">
        <v>1.06E-2</v>
      </c>
      <c r="N3" s="231">
        <v>5132.5</v>
      </c>
      <c r="O3" s="231">
        <v>5087</v>
      </c>
      <c r="P3" s="228">
        <v>45.5</v>
      </c>
      <c r="Q3" s="229">
        <v>8.8999999999999999E-3</v>
      </c>
      <c r="R3" s="231">
        <v>5161</v>
      </c>
      <c r="S3" s="231">
        <v>5113</v>
      </c>
      <c r="T3" s="228">
        <v>48</v>
      </c>
      <c r="U3" s="229">
        <v>9.4000000000000004E-3</v>
      </c>
      <c r="V3" s="231">
        <v>5188.5</v>
      </c>
      <c r="W3" s="231">
        <v>5140</v>
      </c>
      <c r="X3" s="228">
        <v>48.5</v>
      </c>
      <c r="Y3" s="229">
        <v>9.4000000000000004E-3</v>
      </c>
      <c r="Z3" s="228">
        <v>11</v>
      </c>
      <c r="AA3" s="228">
        <v>19</v>
      </c>
      <c r="AB3" s="228">
        <v>-8</v>
      </c>
      <c r="AC3" s="229">
        <v>2.0999999999999999E-3</v>
      </c>
      <c r="AD3" s="228">
        <v>11</v>
      </c>
      <c r="AE3" s="228">
        <v>19</v>
      </c>
      <c r="AF3" s="228">
        <v>-8</v>
      </c>
      <c r="AG3" s="229">
        <v>2.0999999999999999E-3</v>
      </c>
      <c r="AH3" s="228">
        <v>39.5</v>
      </c>
      <c r="AI3" s="228">
        <v>45</v>
      </c>
      <c r="AJ3" s="228">
        <v>-5.5</v>
      </c>
      <c r="AK3" s="229">
        <v>7.7000000000000002E-3</v>
      </c>
      <c r="AL3" s="228">
        <v>67</v>
      </c>
      <c r="AM3" s="228">
        <v>72</v>
      </c>
      <c r="AN3" s="228">
        <v>-5</v>
      </c>
      <c r="AO3" s="229">
        <v>1.3100000000000001E-2</v>
      </c>
      <c r="AP3" s="231">
        <v>5128.13</v>
      </c>
      <c r="AQ3" s="231">
        <v>5154.7299999999996</v>
      </c>
      <c r="AR3" s="228">
        <v>0</v>
      </c>
      <c r="AS3" s="228">
        <v>249</v>
      </c>
      <c r="AT3" s="228">
        <v>227</v>
      </c>
      <c r="AU3" s="228">
        <v>22</v>
      </c>
      <c r="AV3" s="229">
        <v>9.69E-2</v>
      </c>
      <c r="AW3" s="228">
        <v>176</v>
      </c>
      <c r="AX3" s="228">
        <v>162</v>
      </c>
      <c r="AY3" s="228">
        <v>14</v>
      </c>
      <c r="AZ3" s="229">
        <v>8.5999999999999993E-2</v>
      </c>
      <c r="BA3" s="228">
        <v>66</v>
      </c>
      <c r="BB3" s="228">
        <v>61</v>
      </c>
      <c r="BC3" s="228">
        <v>5</v>
      </c>
      <c r="BD3" s="229">
        <v>8.7300000000000003E-2</v>
      </c>
      <c r="BE3" s="228">
        <v>7</v>
      </c>
      <c r="BF3" s="228">
        <v>4</v>
      </c>
      <c r="BG3" s="228">
        <v>3</v>
      </c>
      <c r="BH3" s="229">
        <v>0.64180000000000004</v>
      </c>
      <c r="BI3" s="230">
        <v>1618</v>
      </c>
      <c r="BJ3" s="230">
        <v>1137</v>
      </c>
      <c r="BK3" s="228">
        <v>480</v>
      </c>
      <c r="BL3" s="229">
        <v>0.42209999999999998</v>
      </c>
      <c r="BM3" s="228">
        <v>475</v>
      </c>
      <c r="BN3" s="228">
        <v>402</v>
      </c>
      <c r="BO3" s="228">
        <v>73</v>
      </c>
      <c r="BP3" s="229">
        <v>0.18279999999999999</v>
      </c>
      <c r="BQ3" s="230">
        <v>2342</v>
      </c>
      <c r="BR3" s="230">
        <v>1766</v>
      </c>
      <c r="BS3" s="228">
        <v>576</v>
      </c>
      <c r="BT3" s="229">
        <v>0.32579999999999998</v>
      </c>
      <c r="BU3" s="230">
        <v>323692</v>
      </c>
      <c r="BV3" s="230">
        <v>213650</v>
      </c>
      <c r="BW3" s="230">
        <v>110042</v>
      </c>
      <c r="BX3" s="229">
        <v>0.5151</v>
      </c>
      <c r="BY3" s="230">
        <v>1526</v>
      </c>
      <c r="BZ3" s="230">
        <v>1521</v>
      </c>
      <c r="CA3" s="228">
        <v>5</v>
      </c>
      <c r="CB3" s="229">
        <v>3.3999999999999998E-3</v>
      </c>
      <c r="CC3" s="230">
        <v>1381</v>
      </c>
      <c r="CD3" s="230">
        <v>1395</v>
      </c>
      <c r="CE3" s="228">
        <v>-13</v>
      </c>
      <c r="CF3" s="229">
        <v>-9.4000000000000004E-3</v>
      </c>
      <c r="CG3" s="228">
        <v>129</v>
      </c>
      <c r="CH3" s="228">
        <v>111</v>
      </c>
      <c r="CI3" s="228">
        <v>18</v>
      </c>
      <c r="CJ3" s="229">
        <v>0.1615</v>
      </c>
      <c r="CK3" s="228">
        <v>16</v>
      </c>
      <c r="CL3" s="228">
        <v>15</v>
      </c>
      <c r="CM3" s="228">
        <v>0</v>
      </c>
      <c r="CN3" s="229">
        <v>2.5399999999999999E-2</v>
      </c>
      <c r="CO3" s="228">
        <v>970</v>
      </c>
      <c r="CP3" s="230">
        <v>1003</v>
      </c>
      <c r="CQ3" s="228">
        <v>-33</v>
      </c>
      <c r="CR3" s="229">
        <v>-3.2899999999999999E-2</v>
      </c>
      <c r="CS3" s="228">
        <v>561</v>
      </c>
      <c r="CT3" s="228">
        <v>575</v>
      </c>
      <c r="CU3" s="228">
        <v>-14</v>
      </c>
      <c r="CV3" s="229">
        <v>-2.3699999999999999E-2</v>
      </c>
      <c r="CW3" s="230">
        <v>3057</v>
      </c>
      <c r="CX3" s="230">
        <v>3099</v>
      </c>
      <c r="CY3" s="228">
        <v>-41</v>
      </c>
      <c r="CZ3" s="229">
        <v>-1.34E-2</v>
      </c>
      <c r="DA3" s="228">
        <v>30.48</v>
      </c>
      <c r="DB3" s="228">
        <v>30.63</v>
      </c>
      <c r="DC3" s="228">
        <v>-0.15</v>
      </c>
      <c r="DD3" s="228">
        <v>-0.15</v>
      </c>
      <c r="DE3" s="228">
        <v>39.49</v>
      </c>
      <c r="DF3" s="228">
        <v>39.57</v>
      </c>
      <c r="DG3" s="228">
        <v>-9.01</v>
      </c>
      <c r="DH3" s="228">
        <v>-0.08</v>
      </c>
      <c r="DI3" s="228">
        <v>30.75</v>
      </c>
      <c r="DJ3" s="228">
        <v>31.07</v>
      </c>
      <c r="DK3" s="228">
        <v>-0.32</v>
      </c>
      <c r="DL3" s="228">
        <v>-0.32</v>
      </c>
      <c r="DM3" s="228">
        <v>29.56</v>
      </c>
      <c r="DN3" s="228">
        <v>29.39</v>
      </c>
      <c r="DO3" s="228">
        <v>0.17</v>
      </c>
      <c r="DP3" s="228">
        <v>0.17</v>
      </c>
      <c r="DQ3" s="228">
        <v>0.57999999999999996</v>
      </c>
      <c r="DR3" s="228">
        <v>0.56999999999999995</v>
      </c>
      <c r="DS3" s="228">
        <v>0.01</v>
      </c>
      <c r="DT3" s="229">
        <v>1.7500000000000002E-2</v>
      </c>
      <c r="DU3" s="231">
        <v>5500</v>
      </c>
      <c r="DV3" s="231">
        <v>5000</v>
      </c>
      <c r="DW3" s="228">
        <v>0.28999999999999998</v>
      </c>
      <c r="DX3" s="228">
        <v>0.35</v>
      </c>
      <c r="DY3" s="228">
        <v>-0.06</v>
      </c>
      <c r="DZ3" s="229">
        <v>-0.1714</v>
      </c>
      <c r="EA3" s="229">
        <v>9.4799999999999995E-2</v>
      </c>
      <c r="EB3" s="230">
        <v>246250</v>
      </c>
      <c r="EC3" s="229">
        <v>5.5999999999999999E-3</v>
      </c>
      <c r="ED3" s="229">
        <v>9.4799999999999995E-2</v>
      </c>
      <c r="EE3" s="228">
        <v>26.6</v>
      </c>
      <c r="EF3" s="229">
        <v>5.1999999999999998E-3</v>
      </c>
      <c r="EG3" s="230">
        <v>125609</v>
      </c>
      <c r="EH3" s="230">
        <v>101463</v>
      </c>
      <c r="EI3" s="229">
        <v>0.23799999999999999</v>
      </c>
      <c r="EJ3" s="229">
        <v>0.3881</v>
      </c>
      <c r="EK3" s="231">
        <v>1683.69</v>
      </c>
      <c r="EL3" s="228">
        <v>470.1</v>
      </c>
      <c r="EM3" s="228">
        <v>249.4</v>
      </c>
      <c r="EN3" s="228">
        <v>0</v>
      </c>
      <c r="EO3" s="231">
        <v>2403.19</v>
      </c>
      <c r="EP3" s="231">
        <v>1805.49</v>
      </c>
      <c r="EQ3" s="228">
        <v>597.69000000000005</v>
      </c>
      <c r="ER3" s="229">
        <v>0.33100000000000002</v>
      </c>
      <c r="ES3" s="231">
        <v>1038.01</v>
      </c>
      <c r="ET3" s="228">
        <v>565.58000000000004</v>
      </c>
      <c r="EU3" s="231">
        <v>1527.04</v>
      </c>
      <c r="EV3" s="231">
        <v>10595418</v>
      </c>
      <c r="EW3" s="231">
        <v>3130.63</v>
      </c>
      <c r="EX3" s="231">
        <v>3160.49</v>
      </c>
      <c r="EY3" s="228">
        <v>-29.86</v>
      </c>
      <c r="EZ3" s="229">
        <v>-9.4000000000000004E-3</v>
      </c>
      <c r="FA3" s="229">
        <v>0.56220000000000003</v>
      </c>
      <c r="FB3" s="227" t="s">
        <v>555</v>
      </c>
      <c r="FC3">
        <f t="shared" ref="FC3:FC66" si="0">BY3-CC3</f>
        <v>145</v>
      </c>
    </row>
    <row r="4" spans="1:159" ht="17.25" thickBot="1" x14ac:dyDescent="0.3">
      <c r="A4" s="226">
        <v>45889</v>
      </c>
      <c r="B4" s="227" t="s">
        <v>175</v>
      </c>
      <c r="C4" s="227" t="s">
        <v>544</v>
      </c>
      <c r="D4" s="228">
        <v>3100</v>
      </c>
      <c r="E4" s="228">
        <v>8</v>
      </c>
      <c r="F4" s="228">
        <v>284.14999999999998</v>
      </c>
      <c r="G4" s="228">
        <v>288.25</v>
      </c>
      <c r="H4" s="228">
        <v>-4.0999999999999996</v>
      </c>
      <c r="I4" s="229">
        <v>-1.4200000000000001E-2</v>
      </c>
      <c r="J4" s="228">
        <v>283.45</v>
      </c>
      <c r="K4" s="228">
        <v>287.35000000000002</v>
      </c>
      <c r="L4" s="228">
        <v>-3.9</v>
      </c>
      <c r="M4" s="229">
        <v>-1.3599999999999999E-2</v>
      </c>
      <c r="N4" s="228">
        <v>284.14999999999998</v>
      </c>
      <c r="O4" s="228">
        <v>288.25</v>
      </c>
      <c r="P4" s="228">
        <v>-4.0999999999999996</v>
      </c>
      <c r="Q4" s="229">
        <v>-1.4200000000000001E-2</v>
      </c>
      <c r="R4" s="228">
        <v>285.89999999999998</v>
      </c>
      <c r="S4" s="228">
        <v>289.85000000000002</v>
      </c>
      <c r="T4" s="228">
        <v>-3.95</v>
      </c>
      <c r="U4" s="229">
        <v>-1.3599999999999999E-2</v>
      </c>
      <c r="V4" s="228">
        <v>287.3</v>
      </c>
      <c r="W4" s="228">
        <v>291.10000000000002</v>
      </c>
      <c r="X4" s="228">
        <v>-3.8</v>
      </c>
      <c r="Y4" s="229">
        <v>-1.3100000000000001E-2</v>
      </c>
      <c r="Z4" s="228">
        <v>0.7</v>
      </c>
      <c r="AA4" s="228">
        <v>0.9</v>
      </c>
      <c r="AB4" s="228">
        <v>-0.2</v>
      </c>
      <c r="AC4" s="229">
        <v>2.5000000000000001E-3</v>
      </c>
      <c r="AD4" s="228">
        <v>0.7</v>
      </c>
      <c r="AE4" s="228">
        <v>0.9</v>
      </c>
      <c r="AF4" s="228">
        <v>-0.2</v>
      </c>
      <c r="AG4" s="229">
        <v>2.5000000000000001E-3</v>
      </c>
      <c r="AH4" s="228">
        <v>2.4500000000000002</v>
      </c>
      <c r="AI4" s="228">
        <v>2.5</v>
      </c>
      <c r="AJ4" s="228">
        <v>-0.05</v>
      </c>
      <c r="AK4" s="229">
        <v>8.6E-3</v>
      </c>
      <c r="AL4" s="228">
        <v>3.85</v>
      </c>
      <c r="AM4" s="228">
        <v>3.75</v>
      </c>
      <c r="AN4" s="228">
        <v>0.1</v>
      </c>
      <c r="AO4" s="229">
        <v>1.3599999999999999E-2</v>
      </c>
      <c r="AP4" s="228">
        <v>285.95999999999998</v>
      </c>
      <c r="AQ4" s="228">
        <v>287.87</v>
      </c>
      <c r="AR4" s="228">
        <v>0</v>
      </c>
      <c r="AS4" s="228">
        <v>242</v>
      </c>
      <c r="AT4" s="228">
        <v>405</v>
      </c>
      <c r="AU4" s="228">
        <v>-163</v>
      </c>
      <c r="AV4" s="229">
        <v>-0.40189999999999998</v>
      </c>
      <c r="AW4" s="228">
        <v>184</v>
      </c>
      <c r="AX4" s="228">
        <v>334</v>
      </c>
      <c r="AY4" s="228">
        <v>-150</v>
      </c>
      <c r="AZ4" s="229">
        <v>-0.4501</v>
      </c>
      <c r="BA4" s="228">
        <v>57</v>
      </c>
      <c r="BB4" s="228">
        <v>68</v>
      </c>
      <c r="BC4" s="228">
        <v>-11</v>
      </c>
      <c r="BD4" s="229">
        <v>-0.15579999999999999</v>
      </c>
      <c r="BE4" s="228">
        <v>1</v>
      </c>
      <c r="BF4" s="228">
        <v>3</v>
      </c>
      <c r="BG4" s="228">
        <v>-2</v>
      </c>
      <c r="BH4" s="229">
        <v>-0.57889999999999997</v>
      </c>
      <c r="BI4" s="228">
        <v>642</v>
      </c>
      <c r="BJ4" s="230">
        <v>1131</v>
      </c>
      <c r="BK4" s="228">
        <v>-488</v>
      </c>
      <c r="BL4" s="229">
        <v>-0.432</v>
      </c>
      <c r="BM4" s="228">
        <v>323</v>
      </c>
      <c r="BN4" s="228">
        <v>639</v>
      </c>
      <c r="BO4" s="228">
        <v>-316</v>
      </c>
      <c r="BP4" s="229">
        <v>-0.495</v>
      </c>
      <c r="BQ4" s="230">
        <v>1207</v>
      </c>
      <c r="BR4" s="230">
        <v>2175</v>
      </c>
      <c r="BS4" s="228">
        <v>-967</v>
      </c>
      <c r="BT4" s="229">
        <v>-0.44490000000000002</v>
      </c>
      <c r="BU4" s="230">
        <v>2462299</v>
      </c>
      <c r="BV4" s="230">
        <v>5606533</v>
      </c>
      <c r="BW4" s="230">
        <v>-3144234</v>
      </c>
      <c r="BX4" s="229">
        <v>-0.56079999999999997</v>
      </c>
      <c r="BY4" s="230">
        <v>1374</v>
      </c>
      <c r="BZ4" s="230">
        <v>1370</v>
      </c>
      <c r="CA4" s="228">
        <v>4</v>
      </c>
      <c r="CB4" s="229">
        <v>3.2000000000000002E-3</v>
      </c>
      <c r="CC4" s="230">
        <v>1248</v>
      </c>
      <c r="CD4" s="230">
        <v>1272</v>
      </c>
      <c r="CE4" s="228">
        <v>-24</v>
      </c>
      <c r="CF4" s="229">
        <v>-1.9E-2</v>
      </c>
      <c r="CG4" s="228">
        <v>119</v>
      </c>
      <c r="CH4" s="228">
        <v>90</v>
      </c>
      <c r="CI4" s="228">
        <v>29</v>
      </c>
      <c r="CJ4" s="229">
        <v>0.3196</v>
      </c>
      <c r="CK4" s="228">
        <v>7</v>
      </c>
      <c r="CL4" s="228">
        <v>8</v>
      </c>
      <c r="CM4" s="228">
        <v>0</v>
      </c>
      <c r="CN4" s="229">
        <v>-2.3E-2</v>
      </c>
      <c r="CO4" s="228">
        <v>738</v>
      </c>
      <c r="CP4" s="228">
        <v>682</v>
      </c>
      <c r="CQ4" s="228">
        <v>55</v>
      </c>
      <c r="CR4" s="229">
        <v>8.09E-2</v>
      </c>
      <c r="CS4" s="228">
        <v>509</v>
      </c>
      <c r="CT4" s="228">
        <v>519</v>
      </c>
      <c r="CU4" s="228">
        <v>-10</v>
      </c>
      <c r="CV4" s="229">
        <v>-1.9199999999999998E-2</v>
      </c>
      <c r="CW4" s="230">
        <v>2621</v>
      </c>
      <c r="CX4" s="230">
        <v>2571</v>
      </c>
      <c r="CY4" s="228">
        <v>50</v>
      </c>
      <c r="CZ4" s="229">
        <v>1.9300000000000001E-2</v>
      </c>
      <c r="DA4" s="228">
        <v>31.38</v>
      </c>
      <c r="DB4" s="228">
        <v>32.26</v>
      </c>
      <c r="DC4" s="228">
        <v>-0.88</v>
      </c>
      <c r="DD4" s="228">
        <v>-0.88</v>
      </c>
      <c r="DE4" s="228">
        <v>42.11</v>
      </c>
      <c r="DF4" s="228">
        <v>42.17</v>
      </c>
      <c r="DG4" s="228">
        <v>-10.73</v>
      </c>
      <c r="DH4" s="228">
        <v>-0.06</v>
      </c>
      <c r="DI4" s="228">
        <v>31.43</v>
      </c>
      <c r="DJ4" s="228">
        <v>31.8</v>
      </c>
      <c r="DK4" s="228">
        <v>-0.37</v>
      </c>
      <c r="DL4" s="228">
        <v>-0.37</v>
      </c>
      <c r="DM4" s="228">
        <v>31.27</v>
      </c>
      <c r="DN4" s="228">
        <v>33.06</v>
      </c>
      <c r="DO4" s="228">
        <v>-1.79</v>
      </c>
      <c r="DP4" s="228">
        <v>-1.79</v>
      </c>
      <c r="DQ4" s="228">
        <v>0.69</v>
      </c>
      <c r="DR4" s="228">
        <v>0.76</v>
      </c>
      <c r="DS4" s="228">
        <v>-7.0000000000000007E-2</v>
      </c>
      <c r="DT4" s="229">
        <v>-9.2100000000000001E-2</v>
      </c>
      <c r="DU4" s="228">
        <v>300</v>
      </c>
      <c r="DV4" s="228">
        <v>280</v>
      </c>
      <c r="DW4" s="228">
        <v>0.5</v>
      </c>
      <c r="DX4" s="228">
        <v>0.56999999999999995</v>
      </c>
      <c r="DY4" s="228">
        <v>-7.0000000000000007E-2</v>
      </c>
      <c r="DZ4" s="229">
        <v>-0.12280000000000001</v>
      </c>
      <c r="EA4" s="229">
        <v>9.1700000000000004E-2</v>
      </c>
      <c r="EB4" s="230">
        <v>3431700</v>
      </c>
      <c r="EC4" s="229">
        <v>6.1999999999999998E-3</v>
      </c>
      <c r="ED4" s="229">
        <v>9.1700000000000004E-2</v>
      </c>
      <c r="EE4" s="228">
        <v>1.91</v>
      </c>
      <c r="EF4" s="229">
        <v>6.7000000000000002E-3</v>
      </c>
      <c r="EG4" s="230">
        <v>1039517</v>
      </c>
      <c r="EH4" s="230">
        <v>2305755</v>
      </c>
      <c r="EI4" s="229">
        <v>-0.54920000000000002</v>
      </c>
      <c r="EJ4" s="229">
        <v>0.42220000000000002</v>
      </c>
      <c r="EK4" s="228">
        <v>672.97</v>
      </c>
      <c r="EL4" s="228">
        <v>319.68</v>
      </c>
      <c r="EM4" s="228">
        <v>244.18</v>
      </c>
      <c r="EN4" s="228">
        <v>0</v>
      </c>
      <c r="EO4" s="231">
        <v>1236.83</v>
      </c>
      <c r="EP4" s="231">
        <v>2223.94</v>
      </c>
      <c r="EQ4" s="228">
        <v>-987.11</v>
      </c>
      <c r="ER4" s="229">
        <v>-0.44390000000000002</v>
      </c>
      <c r="ES4" s="228">
        <v>756.09</v>
      </c>
      <c r="ET4" s="228">
        <v>476.56</v>
      </c>
      <c r="EU4" s="231">
        <v>1375.14</v>
      </c>
      <c r="EV4" s="231">
        <v>163088564</v>
      </c>
      <c r="EW4" s="231">
        <v>2607.8000000000002</v>
      </c>
      <c r="EX4" s="231">
        <v>2572.83</v>
      </c>
      <c r="EY4" s="228">
        <v>34.97</v>
      </c>
      <c r="EZ4" s="229">
        <v>1.3599999999999999E-2</v>
      </c>
      <c r="FA4" s="229">
        <v>0.5655</v>
      </c>
      <c r="FB4" s="227" t="s">
        <v>567</v>
      </c>
      <c r="FC4">
        <f t="shared" si="0"/>
        <v>126</v>
      </c>
    </row>
    <row r="5" spans="1:159" ht="17.25" thickBot="1" x14ac:dyDescent="0.3">
      <c r="A5" s="226">
        <v>45889</v>
      </c>
      <c r="B5" s="227" t="s">
        <v>197</v>
      </c>
      <c r="C5" s="227" t="s">
        <v>499</v>
      </c>
      <c r="D5" s="228">
        <v>2600</v>
      </c>
      <c r="E5" s="228">
        <v>8</v>
      </c>
      <c r="F5" s="228">
        <v>76.569999999999993</v>
      </c>
      <c r="G5" s="228">
        <v>77.45</v>
      </c>
      <c r="H5" s="228">
        <v>-0.88</v>
      </c>
      <c r="I5" s="229">
        <v>-1.14E-2</v>
      </c>
      <c r="J5" s="228">
        <v>76.260000000000005</v>
      </c>
      <c r="K5" s="228">
        <v>77.180000000000007</v>
      </c>
      <c r="L5" s="228">
        <v>-0.92</v>
      </c>
      <c r="M5" s="229">
        <v>-1.1900000000000001E-2</v>
      </c>
      <c r="N5" s="228">
        <v>76.569999999999993</v>
      </c>
      <c r="O5" s="228">
        <v>77.45</v>
      </c>
      <c r="P5" s="228">
        <v>-0.88</v>
      </c>
      <c r="Q5" s="229">
        <v>-1.14E-2</v>
      </c>
      <c r="R5" s="228">
        <v>0</v>
      </c>
      <c r="S5" s="228">
        <v>0</v>
      </c>
      <c r="T5" s="228">
        <v>0</v>
      </c>
      <c r="U5" s="229">
        <v>0</v>
      </c>
      <c r="V5" s="228">
        <v>0</v>
      </c>
      <c r="W5" s="228">
        <v>0</v>
      </c>
      <c r="X5" s="228">
        <v>0</v>
      </c>
      <c r="Y5" s="229">
        <v>0</v>
      </c>
      <c r="Z5" s="228">
        <v>0.31</v>
      </c>
      <c r="AA5" s="228">
        <v>0.27</v>
      </c>
      <c r="AB5" s="228">
        <v>0.04</v>
      </c>
      <c r="AC5" s="229">
        <v>4.1000000000000003E-3</v>
      </c>
      <c r="AD5" s="228">
        <v>0.31</v>
      </c>
      <c r="AE5" s="228">
        <v>0.27</v>
      </c>
      <c r="AF5" s="228">
        <v>0.04</v>
      </c>
      <c r="AG5" s="229">
        <v>4.1000000000000003E-3</v>
      </c>
      <c r="AH5" s="228">
        <v>0</v>
      </c>
      <c r="AI5" s="228">
        <v>0</v>
      </c>
      <c r="AJ5" s="228">
        <v>0</v>
      </c>
      <c r="AK5" s="229">
        <v>0</v>
      </c>
      <c r="AL5" s="228">
        <v>0</v>
      </c>
      <c r="AM5" s="228">
        <v>0</v>
      </c>
      <c r="AN5" s="228">
        <v>0</v>
      </c>
      <c r="AO5" s="229">
        <v>0</v>
      </c>
      <c r="AP5" s="228">
        <v>76.88</v>
      </c>
      <c r="AQ5" s="228">
        <v>0</v>
      </c>
      <c r="AR5" s="228">
        <v>0</v>
      </c>
      <c r="AS5" s="228">
        <v>26</v>
      </c>
      <c r="AT5" s="228">
        <v>58</v>
      </c>
      <c r="AU5" s="228">
        <v>-33</v>
      </c>
      <c r="AV5" s="229">
        <v>-0.56110000000000004</v>
      </c>
      <c r="AW5" s="228">
        <v>26</v>
      </c>
      <c r="AX5" s="228">
        <v>58</v>
      </c>
      <c r="AY5" s="228">
        <v>-33</v>
      </c>
      <c r="AZ5" s="229">
        <v>-0.56110000000000004</v>
      </c>
      <c r="BA5" s="228">
        <v>0</v>
      </c>
      <c r="BB5" s="228">
        <v>0</v>
      </c>
      <c r="BC5" s="228">
        <v>0</v>
      </c>
      <c r="BD5" s="229">
        <v>0</v>
      </c>
      <c r="BE5" s="228">
        <v>0</v>
      </c>
      <c r="BF5" s="228">
        <v>0</v>
      </c>
      <c r="BG5" s="228">
        <v>0</v>
      </c>
      <c r="BH5" s="229">
        <v>0</v>
      </c>
      <c r="BI5" s="228">
        <v>104</v>
      </c>
      <c r="BJ5" s="228">
        <v>158</v>
      </c>
      <c r="BK5" s="228">
        <v>-54</v>
      </c>
      <c r="BL5" s="229">
        <v>-0.34179999999999999</v>
      </c>
      <c r="BM5" s="228">
        <v>16</v>
      </c>
      <c r="BN5" s="228">
        <v>48</v>
      </c>
      <c r="BO5" s="228">
        <v>-33</v>
      </c>
      <c r="BP5" s="229">
        <v>-0.68</v>
      </c>
      <c r="BQ5" s="228">
        <v>145</v>
      </c>
      <c r="BR5" s="228">
        <v>265</v>
      </c>
      <c r="BS5" s="228">
        <v>-120</v>
      </c>
      <c r="BT5" s="229">
        <v>-0.45179999999999998</v>
      </c>
      <c r="BU5" s="230">
        <v>4280372</v>
      </c>
      <c r="BV5" s="230">
        <v>10059686</v>
      </c>
      <c r="BW5" s="230">
        <v>-5779314</v>
      </c>
      <c r="BX5" s="229">
        <v>-0.57450000000000001</v>
      </c>
      <c r="BY5" s="228">
        <v>328</v>
      </c>
      <c r="BZ5" s="228">
        <v>329</v>
      </c>
      <c r="CA5" s="228">
        <v>-1</v>
      </c>
      <c r="CB5" s="229">
        <v>-3.3999999999999998E-3</v>
      </c>
      <c r="CC5" s="228">
        <v>328</v>
      </c>
      <c r="CD5" s="228">
        <v>329</v>
      </c>
      <c r="CE5" s="228">
        <v>-1</v>
      </c>
      <c r="CF5" s="229">
        <v>-3.3999999999999998E-3</v>
      </c>
      <c r="CG5" s="228">
        <v>0</v>
      </c>
      <c r="CH5" s="228">
        <v>0</v>
      </c>
      <c r="CI5" s="228">
        <v>0</v>
      </c>
      <c r="CJ5" s="229">
        <v>0</v>
      </c>
      <c r="CK5" s="228">
        <v>0</v>
      </c>
      <c r="CL5" s="228">
        <v>0</v>
      </c>
      <c r="CM5" s="228">
        <v>0</v>
      </c>
      <c r="CN5" s="229">
        <v>0</v>
      </c>
      <c r="CO5" s="228">
        <v>156</v>
      </c>
      <c r="CP5" s="228">
        <v>164</v>
      </c>
      <c r="CQ5" s="228">
        <v>-8</v>
      </c>
      <c r="CR5" s="229">
        <v>-4.7800000000000002E-2</v>
      </c>
      <c r="CS5" s="228">
        <v>99</v>
      </c>
      <c r="CT5" s="228">
        <v>102</v>
      </c>
      <c r="CU5" s="228">
        <v>-3</v>
      </c>
      <c r="CV5" s="229">
        <v>-2.7300000000000001E-2</v>
      </c>
      <c r="CW5" s="228">
        <v>584</v>
      </c>
      <c r="CX5" s="228">
        <v>596</v>
      </c>
      <c r="CY5" s="228">
        <v>-12</v>
      </c>
      <c r="CZ5" s="229">
        <v>-1.9699999999999999E-2</v>
      </c>
      <c r="DA5" s="228">
        <v>33.979999999999997</v>
      </c>
      <c r="DB5" s="228">
        <v>33.619999999999997</v>
      </c>
      <c r="DC5" s="228">
        <v>0.36</v>
      </c>
      <c r="DD5" s="228">
        <v>0.36</v>
      </c>
      <c r="DE5" s="228">
        <v>42.8</v>
      </c>
      <c r="DF5" s="228">
        <v>42.88</v>
      </c>
      <c r="DG5" s="228">
        <v>-8.82</v>
      </c>
      <c r="DH5" s="228">
        <v>-0.08</v>
      </c>
      <c r="DI5" s="228">
        <v>34.31</v>
      </c>
      <c r="DJ5" s="228">
        <v>33.909999999999997</v>
      </c>
      <c r="DK5" s="228">
        <v>0.4</v>
      </c>
      <c r="DL5" s="228">
        <v>0.4</v>
      </c>
      <c r="DM5" s="228">
        <v>31.72</v>
      </c>
      <c r="DN5" s="228">
        <v>32.659999999999997</v>
      </c>
      <c r="DO5" s="228">
        <v>-0.94</v>
      </c>
      <c r="DP5" s="228">
        <v>-0.94</v>
      </c>
      <c r="DQ5" s="228">
        <v>0.64</v>
      </c>
      <c r="DR5" s="228">
        <v>0.62</v>
      </c>
      <c r="DS5" s="228">
        <v>0.02</v>
      </c>
      <c r="DT5" s="229">
        <v>3.2300000000000002E-2</v>
      </c>
      <c r="DU5" s="228">
        <v>80</v>
      </c>
      <c r="DV5" s="228">
        <v>70</v>
      </c>
      <c r="DW5" s="228">
        <v>0.15</v>
      </c>
      <c r="DX5" s="228">
        <v>0.31</v>
      </c>
      <c r="DY5" s="228">
        <v>-0.16</v>
      </c>
      <c r="DZ5" s="229">
        <v>-0.5161</v>
      </c>
      <c r="EA5" s="229">
        <v>0</v>
      </c>
      <c r="EB5" s="228">
        <v>0</v>
      </c>
      <c r="EC5" s="229">
        <v>0</v>
      </c>
      <c r="ED5" s="229">
        <v>0</v>
      </c>
      <c r="EE5" s="228">
        <v>0</v>
      </c>
      <c r="EF5" s="229">
        <v>0</v>
      </c>
      <c r="EG5" s="230">
        <v>2016371</v>
      </c>
      <c r="EH5" s="230">
        <v>5053471</v>
      </c>
      <c r="EI5" s="229">
        <v>-0.60099999999999998</v>
      </c>
      <c r="EJ5" s="229">
        <v>0.47110000000000002</v>
      </c>
      <c r="EK5" s="228">
        <v>108.35</v>
      </c>
      <c r="EL5" s="228">
        <v>15.83</v>
      </c>
      <c r="EM5" s="228">
        <v>25.65</v>
      </c>
      <c r="EN5" s="228">
        <v>0</v>
      </c>
      <c r="EO5" s="228">
        <v>149.83000000000001</v>
      </c>
      <c r="EP5" s="228">
        <v>273.23</v>
      </c>
      <c r="EQ5" s="228">
        <v>-123.4</v>
      </c>
      <c r="ER5" s="229">
        <v>-0.4516</v>
      </c>
      <c r="ES5" s="228">
        <v>162.28</v>
      </c>
      <c r="ET5" s="228">
        <v>94.19</v>
      </c>
      <c r="EU5" s="228">
        <v>328.31</v>
      </c>
      <c r="EV5" s="231">
        <v>121604705</v>
      </c>
      <c r="EW5" s="228">
        <v>584.77</v>
      </c>
      <c r="EX5" s="228">
        <v>600.83000000000004</v>
      </c>
      <c r="EY5" s="228">
        <v>-16.059999999999999</v>
      </c>
      <c r="EZ5" s="229">
        <v>-2.6700000000000002E-2</v>
      </c>
      <c r="FA5" s="229">
        <v>0.62739999999999996</v>
      </c>
      <c r="FB5" s="227" t="s">
        <v>568</v>
      </c>
      <c r="FC5">
        <f t="shared" si="0"/>
        <v>0</v>
      </c>
    </row>
    <row r="6" spans="1:159" ht="17.25" thickBot="1" x14ac:dyDescent="0.3">
      <c r="A6" s="226">
        <v>45889</v>
      </c>
      <c r="B6" s="227" t="s">
        <v>161</v>
      </c>
      <c r="C6" s="227" t="s">
        <v>580</v>
      </c>
      <c r="D6" s="228">
        <v>675</v>
      </c>
      <c r="E6" s="228">
        <v>8</v>
      </c>
      <c r="F6" s="228">
        <v>825.4</v>
      </c>
      <c r="G6" s="228">
        <v>830.85</v>
      </c>
      <c r="H6" s="228">
        <v>-5.45</v>
      </c>
      <c r="I6" s="229">
        <v>-6.6E-3</v>
      </c>
      <c r="J6" s="228">
        <v>824.2</v>
      </c>
      <c r="K6" s="228">
        <v>828.2</v>
      </c>
      <c r="L6" s="228">
        <v>-4</v>
      </c>
      <c r="M6" s="229">
        <v>-4.7999999999999996E-3</v>
      </c>
      <c r="N6" s="228">
        <v>825.4</v>
      </c>
      <c r="O6" s="228">
        <v>830.85</v>
      </c>
      <c r="P6" s="228">
        <v>-5.45</v>
      </c>
      <c r="Q6" s="229">
        <v>-6.6E-3</v>
      </c>
      <c r="R6" s="228">
        <v>830.35</v>
      </c>
      <c r="S6" s="228">
        <v>835.8</v>
      </c>
      <c r="T6" s="228">
        <v>-5.45</v>
      </c>
      <c r="U6" s="229">
        <v>-6.4999999999999997E-3</v>
      </c>
      <c r="V6" s="228">
        <v>834</v>
      </c>
      <c r="W6" s="228">
        <v>840.5</v>
      </c>
      <c r="X6" s="228">
        <v>-6.5</v>
      </c>
      <c r="Y6" s="229">
        <v>-7.7000000000000002E-3</v>
      </c>
      <c r="Z6" s="228">
        <v>1.2</v>
      </c>
      <c r="AA6" s="228">
        <v>2.65</v>
      </c>
      <c r="AB6" s="228">
        <v>-1.45</v>
      </c>
      <c r="AC6" s="229">
        <v>1.5E-3</v>
      </c>
      <c r="AD6" s="228">
        <v>1.2</v>
      </c>
      <c r="AE6" s="228">
        <v>2.65</v>
      </c>
      <c r="AF6" s="228">
        <v>-1.45</v>
      </c>
      <c r="AG6" s="229">
        <v>1.5E-3</v>
      </c>
      <c r="AH6" s="228">
        <v>6.15</v>
      </c>
      <c r="AI6" s="228">
        <v>7.6</v>
      </c>
      <c r="AJ6" s="228">
        <v>-1.45</v>
      </c>
      <c r="AK6" s="229">
        <v>7.4999999999999997E-3</v>
      </c>
      <c r="AL6" s="228">
        <v>9.8000000000000007</v>
      </c>
      <c r="AM6" s="228">
        <v>12.3</v>
      </c>
      <c r="AN6" s="228">
        <v>-2.5</v>
      </c>
      <c r="AO6" s="229">
        <v>1.1900000000000001E-2</v>
      </c>
      <c r="AP6" s="228">
        <v>828.47</v>
      </c>
      <c r="AQ6" s="228">
        <v>834.23</v>
      </c>
      <c r="AR6" s="228">
        <v>0</v>
      </c>
      <c r="AS6" s="228">
        <v>103</v>
      </c>
      <c r="AT6" s="228">
        <v>179</v>
      </c>
      <c r="AU6" s="228">
        <v>-76</v>
      </c>
      <c r="AV6" s="229">
        <v>-0.42530000000000001</v>
      </c>
      <c r="AW6" s="228">
        <v>75</v>
      </c>
      <c r="AX6" s="228">
        <v>148</v>
      </c>
      <c r="AY6" s="228">
        <v>-74</v>
      </c>
      <c r="AZ6" s="229">
        <v>-0.497</v>
      </c>
      <c r="BA6" s="228">
        <v>28</v>
      </c>
      <c r="BB6" s="228">
        <v>29</v>
      </c>
      <c r="BC6" s="228">
        <v>-2</v>
      </c>
      <c r="BD6" s="229">
        <v>-6.0600000000000001E-2</v>
      </c>
      <c r="BE6" s="228">
        <v>1</v>
      </c>
      <c r="BF6" s="228">
        <v>2</v>
      </c>
      <c r="BG6" s="228">
        <v>-1</v>
      </c>
      <c r="BH6" s="229">
        <v>-0.48280000000000001</v>
      </c>
      <c r="BI6" s="228">
        <v>109</v>
      </c>
      <c r="BJ6" s="228">
        <v>380</v>
      </c>
      <c r="BK6" s="228">
        <v>-270</v>
      </c>
      <c r="BL6" s="229">
        <v>-0.71199999999999997</v>
      </c>
      <c r="BM6" s="228">
        <v>68</v>
      </c>
      <c r="BN6" s="228">
        <v>235</v>
      </c>
      <c r="BO6" s="228">
        <v>-167</v>
      </c>
      <c r="BP6" s="229">
        <v>-0.71150000000000002</v>
      </c>
      <c r="BQ6" s="228">
        <v>280</v>
      </c>
      <c r="BR6" s="228">
        <v>794</v>
      </c>
      <c r="BS6" s="228">
        <v>-514</v>
      </c>
      <c r="BT6" s="229">
        <v>-0.64710000000000001</v>
      </c>
      <c r="BU6" s="230">
        <v>437312</v>
      </c>
      <c r="BV6" s="230">
        <v>1008668</v>
      </c>
      <c r="BW6" s="230">
        <v>-571356</v>
      </c>
      <c r="BX6" s="229">
        <v>-0.56640000000000001</v>
      </c>
      <c r="BY6" s="230">
        <v>1627</v>
      </c>
      <c r="BZ6" s="230">
        <v>1620</v>
      </c>
      <c r="CA6" s="228">
        <v>6</v>
      </c>
      <c r="CB6" s="229">
        <v>4.0000000000000001E-3</v>
      </c>
      <c r="CC6" s="230">
        <v>1559</v>
      </c>
      <c r="CD6" s="230">
        <v>1572</v>
      </c>
      <c r="CE6" s="228">
        <v>-13</v>
      </c>
      <c r="CF6" s="229">
        <v>-8.3000000000000001E-3</v>
      </c>
      <c r="CG6" s="228">
        <v>65</v>
      </c>
      <c r="CH6" s="228">
        <v>45</v>
      </c>
      <c r="CI6" s="228">
        <v>20</v>
      </c>
      <c r="CJ6" s="229">
        <v>0.43209999999999998</v>
      </c>
      <c r="CK6" s="228">
        <v>3</v>
      </c>
      <c r="CL6" s="228">
        <v>3</v>
      </c>
      <c r="CM6" s="228">
        <v>0</v>
      </c>
      <c r="CN6" s="229">
        <v>1.8200000000000001E-2</v>
      </c>
      <c r="CO6" s="228">
        <v>296</v>
      </c>
      <c r="CP6" s="228">
        <v>288</v>
      </c>
      <c r="CQ6" s="228">
        <v>8</v>
      </c>
      <c r="CR6" s="229">
        <v>2.69E-2</v>
      </c>
      <c r="CS6" s="228">
        <v>212</v>
      </c>
      <c r="CT6" s="228">
        <v>207</v>
      </c>
      <c r="CU6" s="228">
        <v>5</v>
      </c>
      <c r="CV6" s="229">
        <v>2.6100000000000002E-2</v>
      </c>
      <c r="CW6" s="230">
        <v>2134</v>
      </c>
      <c r="CX6" s="230">
        <v>2115</v>
      </c>
      <c r="CY6" s="228">
        <v>20</v>
      </c>
      <c r="CZ6" s="229">
        <v>9.2999999999999992E-3</v>
      </c>
      <c r="DA6" s="228">
        <v>27.14</v>
      </c>
      <c r="DB6" s="228">
        <v>29.26</v>
      </c>
      <c r="DC6" s="228">
        <v>-2.12</v>
      </c>
      <c r="DD6" s="228">
        <v>-2.12</v>
      </c>
      <c r="DE6" s="228">
        <v>58.99</v>
      </c>
      <c r="DF6" s="228">
        <v>59.13</v>
      </c>
      <c r="DG6" s="228">
        <v>-31.85</v>
      </c>
      <c r="DH6" s="228">
        <v>-0.14000000000000001</v>
      </c>
      <c r="DI6" s="228">
        <v>27.04</v>
      </c>
      <c r="DJ6" s="228">
        <v>28.56</v>
      </c>
      <c r="DK6" s="228">
        <v>-1.52</v>
      </c>
      <c r="DL6" s="228">
        <v>-1.52</v>
      </c>
      <c r="DM6" s="228">
        <v>27.3</v>
      </c>
      <c r="DN6" s="228">
        <v>30.41</v>
      </c>
      <c r="DO6" s="228">
        <v>-3.11</v>
      </c>
      <c r="DP6" s="228">
        <v>-3.11</v>
      </c>
      <c r="DQ6" s="228">
        <v>0.72</v>
      </c>
      <c r="DR6" s="228">
        <v>0.72</v>
      </c>
      <c r="DS6" s="228">
        <v>0</v>
      </c>
      <c r="DT6" s="229">
        <v>0</v>
      </c>
      <c r="DU6" s="228">
        <v>800</v>
      </c>
      <c r="DV6" s="228">
        <v>820</v>
      </c>
      <c r="DW6" s="228">
        <v>0.62</v>
      </c>
      <c r="DX6" s="228">
        <v>0.62</v>
      </c>
      <c r="DY6" s="228">
        <v>0</v>
      </c>
      <c r="DZ6" s="229">
        <v>0</v>
      </c>
      <c r="EA6" s="229">
        <v>4.1700000000000001E-2</v>
      </c>
      <c r="EB6" s="230">
        <v>583875</v>
      </c>
      <c r="EC6" s="229">
        <v>6.0000000000000001E-3</v>
      </c>
      <c r="ED6" s="229">
        <v>4.1700000000000001E-2</v>
      </c>
      <c r="EE6" s="228">
        <v>5.76</v>
      </c>
      <c r="EF6" s="229">
        <v>7.0000000000000001E-3</v>
      </c>
      <c r="EG6" s="230">
        <v>155267</v>
      </c>
      <c r="EH6" s="230">
        <v>378368</v>
      </c>
      <c r="EI6" s="229">
        <v>-0.58960000000000001</v>
      </c>
      <c r="EJ6" s="229">
        <v>0.35499999999999998</v>
      </c>
      <c r="EK6" s="228">
        <v>113.08</v>
      </c>
      <c r="EL6" s="228">
        <v>67.83</v>
      </c>
      <c r="EM6" s="228">
        <v>103.66</v>
      </c>
      <c r="EN6" s="228">
        <v>0</v>
      </c>
      <c r="EO6" s="228">
        <v>284.57</v>
      </c>
      <c r="EP6" s="228">
        <v>803.36</v>
      </c>
      <c r="EQ6" s="228">
        <v>-518.79</v>
      </c>
      <c r="ER6" s="229">
        <v>-0.64580000000000004</v>
      </c>
      <c r="ES6" s="228">
        <v>301.52999999999997</v>
      </c>
      <c r="ET6" s="228">
        <v>208.16</v>
      </c>
      <c r="EU6" s="231">
        <v>1627</v>
      </c>
      <c r="EV6" s="231">
        <v>69209851</v>
      </c>
      <c r="EW6" s="231">
        <v>2136.69</v>
      </c>
      <c r="EX6" s="231">
        <v>2127.1999999999998</v>
      </c>
      <c r="EY6" s="228">
        <v>9.49</v>
      </c>
      <c r="EZ6" s="229">
        <v>4.4999999999999997E-3</v>
      </c>
      <c r="FA6" s="229">
        <v>0.37359999999999999</v>
      </c>
      <c r="FB6" s="227" t="s">
        <v>567</v>
      </c>
      <c r="FC6">
        <f t="shared" si="0"/>
        <v>68</v>
      </c>
    </row>
    <row r="7" spans="1:159" ht="17.25" thickBot="1" x14ac:dyDescent="0.3">
      <c r="A7" s="226">
        <v>45889</v>
      </c>
      <c r="B7" s="227" t="s">
        <v>215</v>
      </c>
      <c r="C7" s="227" t="s">
        <v>159</v>
      </c>
      <c r="D7" s="228">
        <v>300</v>
      </c>
      <c r="E7" s="228">
        <v>8</v>
      </c>
      <c r="F7" s="231">
        <v>2386.4</v>
      </c>
      <c r="G7" s="231">
        <v>2388.9</v>
      </c>
      <c r="H7" s="228">
        <v>-2.5</v>
      </c>
      <c r="I7" s="229">
        <v>-1E-3</v>
      </c>
      <c r="J7" s="231">
        <v>2387.1</v>
      </c>
      <c r="K7" s="231">
        <v>2388.4</v>
      </c>
      <c r="L7" s="228">
        <v>-1.3</v>
      </c>
      <c r="M7" s="229">
        <v>-5.0000000000000001E-4</v>
      </c>
      <c r="N7" s="231">
        <v>2386.4</v>
      </c>
      <c r="O7" s="231">
        <v>2388.9</v>
      </c>
      <c r="P7" s="228">
        <v>-2.5</v>
      </c>
      <c r="Q7" s="229">
        <v>-1E-3</v>
      </c>
      <c r="R7" s="231">
        <v>2400</v>
      </c>
      <c r="S7" s="231">
        <v>2402.3000000000002</v>
      </c>
      <c r="T7" s="228">
        <v>-2.2999999999999998</v>
      </c>
      <c r="U7" s="229">
        <v>-1E-3</v>
      </c>
      <c r="V7" s="231">
        <v>2411.1999999999998</v>
      </c>
      <c r="W7" s="231">
        <v>2411.1999999999998</v>
      </c>
      <c r="X7" s="228">
        <v>0</v>
      </c>
      <c r="Y7" s="229">
        <v>0</v>
      </c>
      <c r="Z7" s="228">
        <v>-0.7</v>
      </c>
      <c r="AA7" s="228">
        <v>0.5</v>
      </c>
      <c r="AB7" s="228">
        <v>-1.2</v>
      </c>
      <c r="AC7" s="229">
        <v>-2.9999999999999997E-4</v>
      </c>
      <c r="AD7" s="228">
        <v>-0.7</v>
      </c>
      <c r="AE7" s="228">
        <v>0.5</v>
      </c>
      <c r="AF7" s="228">
        <v>-1.2</v>
      </c>
      <c r="AG7" s="229">
        <v>-2.9999999999999997E-4</v>
      </c>
      <c r="AH7" s="228">
        <v>12.9</v>
      </c>
      <c r="AI7" s="228">
        <v>13.9</v>
      </c>
      <c r="AJ7" s="228">
        <v>-1</v>
      </c>
      <c r="AK7" s="229">
        <v>5.4000000000000003E-3</v>
      </c>
      <c r="AL7" s="228">
        <v>24.1</v>
      </c>
      <c r="AM7" s="228">
        <v>22.8</v>
      </c>
      <c r="AN7" s="228">
        <v>1.3</v>
      </c>
      <c r="AO7" s="229">
        <v>1.01E-2</v>
      </c>
      <c r="AP7" s="231">
        <v>2390.66</v>
      </c>
      <c r="AQ7" s="231">
        <v>2403.2199999999998</v>
      </c>
      <c r="AR7" s="228">
        <v>0</v>
      </c>
      <c r="AS7" s="228">
        <v>575</v>
      </c>
      <c r="AT7" s="228">
        <v>714</v>
      </c>
      <c r="AU7" s="228">
        <v>-139</v>
      </c>
      <c r="AV7" s="229">
        <v>-0.19470000000000001</v>
      </c>
      <c r="AW7" s="228">
        <v>485</v>
      </c>
      <c r="AX7" s="228">
        <v>583</v>
      </c>
      <c r="AY7" s="228">
        <v>-99</v>
      </c>
      <c r="AZ7" s="229">
        <v>-0.16930000000000001</v>
      </c>
      <c r="BA7" s="228">
        <v>88</v>
      </c>
      <c r="BB7" s="228">
        <v>127</v>
      </c>
      <c r="BC7" s="228">
        <v>-39</v>
      </c>
      <c r="BD7" s="229">
        <v>-0.30559999999999998</v>
      </c>
      <c r="BE7" s="228">
        <v>2</v>
      </c>
      <c r="BF7" s="228">
        <v>3</v>
      </c>
      <c r="BG7" s="228">
        <v>-1</v>
      </c>
      <c r="BH7" s="229">
        <v>-0.41860000000000003</v>
      </c>
      <c r="BI7" s="230">
        <v>2495</v>
      </c>
      <c r="BJ7" s="230">
        <v>3494</v>
      </c>
      <c r="BK7" s="228">
        <v>-999</v>
      </c>
      <c r="BL7" s="229">
        <v>-0.28599999999999998</v>
      </c>
      <c r="BM7" s="230">
        <v>1305</v>
      </c>
      <c r="BN7" s="230">
        <v>1866</v>
      </c>
      <c r="BO7" s="228">
        <v>-561</v>
      </c>
      <c r="BP7" s="229">
        <v>-0.30059999999999998</v>
      </c>
      <c r="BQ7" s="230">
        <v>4374</v>
      </c>
      <c r="BR7" s="230">
        <v>6073</v>
      </c>
      <c r="BS7" s="230">
        <v>-1699</v>
      </c>
      <c r="BT7" s="229">
        <v>-0.2797</v>
      </c>
      <c r="BU7" s="230">
        <v>813558</v>
      </c>
      <c r="BV7" s="230">
        <v>1131103</v>
      </c>
      <c r="BW7" s="230">
        <v>-317545</v>
      </c>
      <c r="BX7" s="229">
        <v>-0.28070000000000001</v>
      </c>
      <c r="BY7" s="230">
        <v>4070</v>
      </c>
      <c r="BZ7" s="230">
        <v>4117</v>
      </c>
      <c r="CA7" s="228">
        <v>-47</v>
      </c>
      <c r="CB7" s="229">
        <v>-1.15E-2</v>
      </c>
      <c r="CC7" s="230">
        <v>3769</v>
      </c>
      <c r="CD7" s="230">
        <v>3866</v>
      </c>
      <c r="CE7" s="228">
        <v>-97</v>
      </c>
      <c r="CF7" s="229">
        <v>-2.5100000000000001E-2</v>
      </c>
      <c r="CG7" s="228">
        <v>241</v>
      </c>
      <c r="CH7" s="228">
        <v>192</v>
      </c>
      <c r="CI7" s="228">
        <v>50</v>
      </c>
      <c r="CJ7" s="229">
        <v>0.2591</v>
      </c>
      <c r="CK7" s="228">
        <v>60</v>
      </c>
      <c r="CL7" s="228">
        <v>59</v>
      </c>
      <c r="CM7" s="228">
        <v>0</v>
      </c>
      <c r="CN7" s="229">
        <v>4.7999999999999996E-3</v>
      </c>
      <c r="CO7" s="230">
        <v>2222</v>
      </c>
      <c r="CP7" s="230">
        <v>2164</v>
      </c>
      <c r="CQ7" s="228">
        <v>58</v>
      </c>
      <c r="CR7" s="229">
        <v>2.6800000000000001E-2</v>
      </c>
      <c r="CS7" s="230">
        <v>2073</v>
      </c>
      <c r="CT7" s="230">
        <v>2094</v>
      </c>
      <c r="CU7" s="228">
        <v>-20</v>
      </c>
      <c r="CV7" s="229">
        <v>-9.7999999999999997E-3</v>
      </c>
      <c r="CW7" s="230">
        <v>8365</v>
      </c>
      <c r="CX7" s="230">
        <v>8375</v>
      </c>
      <c r="CY7" s="228">
        <v>-10</v>
      </c>
      <c r="CZ7" s="229">
        <v>-1.1999999999999999E-3</v>
      </c>
      <c r="DA7" s="228">
        <v>29.72</v>
      </c>
      <c r="DB7" s="228">
        <v>30.35</v>
      </c>
      <c r="DC7" s="228">
        <v>-0.63</v>
      </c>
      <c r="DD7" s="228">
        <v>-0.63</v>
      </c>
      <c r="DE7" s="228">
        <v>52.58</v>
      </c>
      <c r="DF7" s="228">
        <v>52.72</v>
      </c>
      <c r="DG7" s="228">
        <v>-22.86</v>
      </c>
      <c r="DH7" s="228">
        <v>-0.14000000000000001</v>
      </c>
      <c r="DI7" s="228">
        <v>28.62</v>
      </c>
      <c r="DJ7" s="228">
        <v>28.07</v>
      </c>
      <c r="DK7" s="228">
        <v>0.55000000000000004</v>
      </c>
      <c r="DL7" s="228">
        <v>0.55000000000000004</v>
      </c>
      <c r="DM7" s="228">
        <v>31.81</v>
      </c>
      <c r="DN7" s="228">
        <v>34.619999999999997</v>
      </c>
      <c r="DO7" s="228">
        <v>-2.81</v>
      </c>
      <c r="DP7" s="228">
        <v>-2.81</v>
      </c>
      <c r="DQ7" s="228">
        <v>0.93</v>
      </c>
      <c r="DR7" s="228">
        <v>0.97</v>
      </c>
      <c r="DS7" s="228">
        <v>-0.04</v>
      </c>
      <c r="DT7" s="229">
        <v>-4.1200000000000001E-2</v>
      </c>
      <c r="DU7" s="231">
        <v>2600</v>
      </c>
      <c r="DV7" s="231">
        <v>2700</v>
      </c>
      <c r="DW7" s="228">
        <v>0.52</v>
      </c>
      <c r="DX7" s="228">
        <v>0.53</v>
      </c>
      <c r="DY7" s="228">
        <v>-0.01</v>
      </c>
      <c r="DZ7" s="229">
        <v>-1.89E-2</v>
      </c>
      <c r="EA7" s="229">
        <v>7.3899999999999993E-2</v>
      </c>
      <c r="EB7" s="230">
        <v>1051200</v>
      </c>
      <c r="EC7" s="229">
        <v>5.7000000000000002E-3</v>
      </c>
      <c r="ED7" s="229">
        <v>7.3899999999999993E-2</v>
      </c>
      <c r="EE7" s="228">
        <v>12.56</v>
      </c>
      <c r="EF7" s="229">
        <v>5.3E-3</v>
      </c>
      <c r="EG7" s="230">
        <v>330033</v>
      </c>
      <c r="EH7" s="230">
        <v>435487</v>
      </c>
      <c r="EI7" s="229">
        <v>-0.2422</v>
      </c>
      <c r="EJ7" s="229">
        <v>0.40570000000000001</v>
      </c>
      <c r="EK7" s="231">
        <v>2596.38</v>
      </c>
      <c r="EL7" s="231">
        <v>1264.48</v>
      </c>
      <c r="EM7" s="228">
        <v>576.46</v>
      </c>
      <c r="EN7" s="228">
        <v>0</v>
      </c>
      <c r="EO7" s="231">
        <v>4437.32</v>
      </c>
      <c r="EP7" s="231">
        <v>6099.25</v>
      </c>
      <c r="EQ7" s="231">
        <v>-1661.93</v>
      </c>
      <c r="ER7" s="229">
        <v>-0.27250000000000002</v>
      </c>
      <c r="ES7" s="231">
        <v>2320.2800000000002</v>
      </c>
      <c r="ET7" s="231">
        <v>2079.3000000000002</v>
      </c>
      <c r="EU7" s="231">
        <v>4072</v>
      </c>
      <c r="EV7" s="231">
        <v>60081955</v>
      </c>
      <c r="EW7" s="231">
        <v>8471.58</v>
      </c>
      <c r="EX7" s="231">
        <v>8473.9699999999993</v>
      </c>
      <c r="EY7" s="228">
        <v>-2.39</v>
      </c>
      <c r="EZ7" s="229">
        <v>-2.9999999999999997E-4</v>
      </c>
      <c r="FA7" s="229">
        <v>0.58340000000000003</v>
      </c>
      <c r="FB7" s="227" t="s">
        <v>568</v>
      </c>
      <c r="FC7">
        <f t="shared" si="0"/>
        <v>301</v>
      </c>
    </row>
    <row r="8" spans="1:159" ht="17.25" thickBot="1" x14ac:dyDescent="0.3">
      <c r="A8" s="226">
        <v>45889</v>
      </c>
      <c r="B8" s="227" t="s">
        <v>161</v>
      </c>
      <c r="C8" s="227" t="s">
        <v>607</v>
      </c>
      <c r="D8" s="228">
        <v>600</v>
      </c>
      <c r="E8" s="228">
        <v>8</v>
      </c>
      <c r="F8" s="228">
        <v>976.45</v>
      </c>
      <c r="G8" s="228">
        <v>976.2</v>
      </c>
      <c r="H8" s="228">
        <v>0.25</v>
      </c>
      <c r="I8" s="229">
        <v>2.9999999999999997E-4</v>
      </c>
      <c r="J8" s="228">
        <v>975.95</v>
      </c>
      <c r="K8" s="228">
        <v>973.4</v>
      </c>
      <c r="L8" s="228">
        <v>2.5499999999999998</v>
      </c>
      <c r="M8" s="229">
        <v>2.5999999999999999E-3</v>
      </c>
      <c r="N8" s="228">
        <v>976.45</v>
      </c>
      <c r="O8" s="228">
        <v>976.2</v>
      </c>
      <c r="P8" s="228">
        <v>0.25</v>
      </c>
      <c r="Q8" s="229">
        <v>2.9999999999999997E-4</v>
      </c>
      <c r="R8" s="228">
        <v>982.1</v>
      </c>
      <c r="S8" s="228">
        <v>981.55</v>
      </c>
      <c r="T8" s="228">
        <v>0.55000000000000004</v>
      </c>
      <c r="U8" s="229">
        <v>5.9999999999999995E-4</v>
      </c>
      <c r="V8" s="228">
        <v>986.7</v>
      </c>
      <c r="W8" s="228">
        <v>986.1</v>
      </c>
      <c r="X8" s="228">
        <v>0.6</v>
      </c>
      <c r="Y8" s="229">
        <v>5.9999999999999995E-4</v>
      </c>
      <c r="Z8" s="228">
        <v>0.5</v>
      </c>
      <c r="AA8" s="228">
        <v>2.8</v>
      </c>
      <c r="AB8" s="228">
        <v>-2.2999999999999998</v>
      </c>
      <c r="AC8" s="229">
        <v>5.0000000000000001E-4</v>
      </c>
      <c r="AD8" s="228">
        <v>0.5</v>
      </c>
      <c r="AE8" s="228">
        <v>2.8</v>
      </c>
      <c r="AF8" s="228">
        <v>-2.2999999999999998</v>
      </c>
      <c r="AG8" s="229">
        <v>5.0000000000000001E-4</v>
      </c>
      <c r="AH8" s="228">
        <v>6.15</v>
      </c>
      <c r="AI8" s="228">
        <v>8.15</v>
      </c>
      <c r="AJ8" s="228">
        <v>-2</v>
      </c>
      <c r="AK8" s="229">
        <v>6.3E-3</v>
      </c>
      <c r="AL8" s="228">
        <v>10.75</v>
      </c>
      <c r="AM8" s="228">
        <v>12.7</v>
      </c>
      <c r="AN8" s="228">
        <v>-1.95</v>
      </c>
      <c r="AO8" s="229">
        <v>1.0999999999999999E-2</v>
      </c>
      <c r="AP8" s="228">
        <v>978.06</v>
      </c>
      <c r="AQ8" s="228">
        <v>983.91</v>
      </c>
      <c r="AR8" s="228">
        <v>0</v>
      </c>
      <c r="AS8" s="228">
        <v>195</v>
      </c>
      <c r="AT8" s="228">
        <v>318</v>
      </c>
      <c r="AU8" s="228">
        <v>-123</v>
      </c>
      <c r="AV8" s="229">
        <v>-0.38590000000000002</v>
      </c>
      <c r="AW8" s="228">
        <v>165</v>
      </c>
      <c r="AX8" s="228">
        <v>272</v>
      </c>
      <c r="AY8" s="228">
        <v>-107</v>
      </c>
      <c r="AZ8" s="229">
        <v>-0.3926</v>
      </c>
      <c r="BA8" s="228">
        <v>28</v>
      </c>
      <c r="BB8" s="228">
        <v>42</v>
      </c>
      <c r="BC8" s="228">
        <v>-14</v>
      </c>
      <c r="BD8" s="229">
        <v>-0.3301</v>
      </c>
      <c r="BE8" s="228">
        <v>2</v>
      </c>
      <c r="BF8" s="228">
        <v>4</v>
      </c>
      <c r="BG8" s="228">
        <v>-2</v>
      </c>
      <c r="BH8" s="229">
        <v>-0.5323</v>
      </c>
      <c r="BI8" s="228">
        <v>660</v>
      </c>
      <c r="BJ8" s="230">
        <v>1080</v>
      </c>
      <c r="BK8" s="228">
        <v>-420</v>
      </c>
      <c r="BL8" s="229">
        <v>-0.38890000000000002</v>
      </c>
      <c r="BM8" s="228">
        <v>351</v>
      </c>
      <c r="BN8" s="228">
        <v>445</v>
      </c>
      <c r="BO8" s="228">
        <v>-94</v>
      </c>
      <c r="BP8" s="229">
        <v>-0.2109</v>
      </c>
      <c r="BQ8" s="230">
        <v>1206</v>
      </c>
      <c r="BR8" s="230">
        <v>1843</v>
      </c>
      <c r="BS8" s="228">
        <v>-636</v>
      </c>
      <c r="BT8" s="229">
        <v>-0.34539999999999998</v>
      </c>
      <c r="BU8" s="230">
        <v>1724499</v>
      </c>
      <c r="BV8" s="230">
        <v>2012517</v>
      </c>
      <c r="BW8" s="230">
        <v>-288018</v>
      </c>
      <c r="BX8" s="229">
        <v>-0.1431</v>
      </c>
      <c r="BY8" s="230">
        <v>1895</v>
      </c>
      <c r="BZ8" s="230">
        <v>1925</v>
      </c>
      <c r="CA8" s="228">
        <v>-30</v>
      </c>
      <c r="CB8" s="229">
        <v>-1.5699999999999999E-2</v>
      </c>
      <c r="CC8" s="230">
        <v>1808</v>
      </c>
      <c r="CD8" s="230">
        <v>1846</v>
      </c>
      <c r="CE8" s="228">
        <v>-38</v>
      </c>
      <c r="CF8" s="229">
        <v>-2.07E-2</v>
      </c>
      <c r="CG8" s="228">
        <v>76</v>
      </c>
      <c r="CH8" s="228">
        <v>69</v>
      </c>
      <c r="CI8" s="228">
        <v>8</v>
      </c>
      <c r="CJ8" s="229">
        <v>0.1103</v>
      </c>
      <c r="CK8" s="228">
        <v>11</v>
      </c>
      <c r="CL8" s="228">
        <v>11</v>
      </c>
      <c r="CM8" s="228">
        <v>0</v>
      </c>
      <c r="CN8" s="229">
        <v>2.69E-2</v>
      </c>
      <c r="CO8" s="228">
        <v>509</v>
      </c>
      <c r="CP8" s="228">
        <v>518</v>
      </c>
      <c r="CQ8" s="228">
        <v>-9</v>
      </c>
      <c r="CR8" s="229">
        <v>-1.72E-2</v>
      </c>
      <c r="CS8" s="228">
        <v>396</v>
      </c>
      <c r="CT8" s="228">
        <v>396</v>
      </c>
      <c r="CU8" s="228">
        <v>1</v>
      </c>
      <c r="CV8" s="229">
        <v>1.5E-3</v>
      </c>
      <c r="CW8" s="230">
        <v>2801</v>
      </c>
      <c r="CX8" s="230">
        <v>2839</v>
      </c>
      <c r="CY8" s="228">
        <v>-39</v>
      </c>
      <c r="CZ8" s="229">
        <v>-1.3599999999999999E-2</v>
      </c>
      <c r="DA8" s="228">
        <v>34.61</v>
      </c>
      <c r="DB8" s="228">
        <v>36.630000000000003</v>
      </c>
      <c r="DC8" s="228">
        <v>-2.02</v>
      </c>
      <c r="DD8" s="228">
        <v>-2.02</v>
      </c>
      <c r="DE8" s="228">
        <v>60.64</v>
      </c>
      <c r="DF8" s="228">
        <v>60.79</v>
      </c>
      <c r="DG8" s="228">
        <v>-26.03</v>
      </c>
      <c r="DH8" s="228">
        <v>-0.15</v>
      </c>
      <c r="DI8" s="228">
        <v>34.299999999999997</v>
      </c>
      <c r="DJ8" s="228">
        <v>35.58</v>
      </c>
      <c r="DK8" s="228">
        <v>-1.28</v>
      </c>
      <c r="DL8" s="228">
        <v>-1.28</v>
      </c>
      <c r="DM8" s="228">
        <v>35.17</v>
      </c>
      <c r="DN8" s="228">
        <v>39.19</v>
      </c>
      <c r="DO8" s="228">
        <v>-4.0199999999999996</v>
      </c>
      <c r="DP8" s="228">
        <v>-4.0199999999999996</v>
      </c>
      <c r="DQ8" s="228">
        <v>0.78</v>
      </c>
      <c r="DR8" s="228">
        <v>0.76</v>
      </c>
      <c r="DS8" s="228">
        <v>0.02</v>
      </c>
      <c r="DT8" s="229">
        <v>2.63E-2</v>
      </c>
      <c r="DU8" s="231">
        <v>1000</v>
      </c>
      <c r="DV8" s="228">
        <v>900</v>
      </c>
      <c r="DW8" s="228">
        <v>0.53</v>
      </c>
      <c r="DX8" s="228">
        <v>0.41</v>
      </c>
      <c r="DY8" s="228">
        <v>0.12</v>
      </c>
      <c r="DZ8" s="229">
        <v>0.29270000000000002</v>
      </c>
      <c r="EA8" s="229">
        <v>4.6100000000000002E-2</v>
      </c>
      <c r="EB8" s="230">
        <v>813600</v>
      </c>
      <c r="EC8" s="229">
        <v>5.7999999999999996E-3</v>
      </c>
      <c r="ED8" s="229">
        <v>4.6100000000000002E-2</v>
      </c>
      <c r="EE8" s="228">
        <v>5.85</v>
      </c>
      <c r="EF8" s="229">
        <v>6.0000000000000001E-3</v>
      </c>
      <c r="EG8" s="230">
        <v>510662</v>
      </c>
      <c r="EH8" s="230">
        <v>584655</v>
      </c>
      <c r="EI8" s="229">
        <v>-0.12659999999999999</v>
      </c>
      <c r="EJ8" s="229">
        <v>0.29609999999999997</v>
      </c>
      <c r="EK8" s="228">
        <v>689.18</v>
      </c>
      <c r="EL8" s="228">
        <v>346.96</v>
      </c>
      <c r="EM8" s="228">
        <v>195.72</v>
      </c>
      <c r="EN8" s="228">
        <v>0</v>
      </c>
      <c r="EO8" s="231">
        <v>1231.8499999999999</v>
      </c>
      <c r="EP8" s="231">
        <v>1849.83</v>
      </c>
      <c r="EQ8" s="228">
        <v>-617.97</v>
      </c>
      <c r="ER8" s="229">
        <v>-0.33410000000000001</v>
      </c>
      <c r="ES8" s="228">
        <v>538.17999999999995</v>
      </c>
      <c r="ET8" s="228">
        <v>384.78</v>
      </c>
      <c r="EU8" s="231">
        <v>1895.44</v>
      </c>
      <c r="EV8" s="231">
        <v>123755903</v>
      </c>
      <c r="EW8" s="231">
        <v>2818.4</v>
      </c>
      <c r="EX8" s="231">
        <v>2855.8</v>
      </c>
      <c r="EY8" s="228">
        <v>-37.4</v>
      </c>
      <c r="EZ8" s="229">
        <v>-1.3100000000000001E-2</v>
      </c>
      <c r="FA8" s="229">
        <v>0.23180000000000001</v>
      </c>
      <c r="FB8" s="227" t="s">
        <v>556</v>
      </c>
      <c r="FC8">
        <f t="shared" si="0"/>
        <v>87</v>
      </c>
    </row>
    <row r="9" spans="1:159" ht="17.25" thickBot="1" x14ac:dyDescent="0.3">
      <c r="A9" s="226">
        <v>45889</v>
      </c>
      <c r="B9" s="227" t="s">
        <v>215</v>
      </c>
      <c r="C9" s="227" t="s">
        <v>160</v>
      </c>
      <c r="D9" s="228">
        <v>475</v>
      </c>
      <c r="E9" s="228">
        <v>8</v>
      </c>
      <c r="F9" s="231">
        <v>1371.3</v>
      </c>
      <c r="G9" s="231">
        <v>1373.2</v>
      </c>
      <c r="H9" s="228">
        <v>-1.9</v>
      </c>
      <c r="I9" s="229">
        <v>-1.4E-3</v>
      </c>
      <c r="J9" s="231">
        <v>1370.6</v>
      </c>
      <c r="K9" s="231">
        <v>1369.4</v>
      </c>
      <c r="L9" s="228">
        <v>1.2</v>
      </c>
      <c r="M9" s="229">
        <v>8.9999999999999998E-4</v>
      </c>
      <c r="N9" s="231">
        <v>1371.3</v>
      </c>
      <c r="O9" s="231">
        <v>1373.2</v>
      </c>
      <c r="P9" s="228">
        <v>-1.9</v>
      </c>
      <c r="Q9" s="229">
        <v>-1.4E-3</v>
      </c>
      <c r="R9" s="231">
        <v>1378.8</v>
      </c>
      <c r="S9" s="231">
        <v>1380.7</v>
      </c>
      <c r="T9" s="228">
        <v>-1.9</v>
      </c>
      <c r="U9" s="229">
        <v>-1.4E-3</v>
      </c>
      <c r="V9" s="231">
        <v>1386.6</v>
      </c>
      <c r="W9" s="231">
        <v>1387.8</v>
      </c>
      <c r="X9" s="228">
        <v>-1.2</v>
      </c>
      <c r="Y9" s="229">
        <v>-8.9999999999999998E-4</v>
      </c>
      <c r="Z9" s="228">
        <v>0.7</v>
      </c>
      <c r="AA9" s="228">
        <v>3.8</v>
      </c>
      <c r="AB9" s="228">
        <v>-3.1</v>
      </c>
      <c r="AC9" s="229">
        <v>5.0000000000000001E-4</v>
      </c>
      <c r="AD9" s="228">
        <v>0.7</v>
      </c>
      <c r="AE9" s="228">
        <v>3.8</v>
      </c>
      <c r="AF9" s="228">
        <v>-3.1</v>
      </c>
      <c r="AG9" s="229">
        <v>5.0000000000000001E-4</v>
      </c>
      <c r="AH9" s="228">
        <v>8.1999999999999993</v>
      </c>
      <c r="AI9" s="228">
        <v>11.3</v>
      </c>
      <c r="AJ9" s="228">
        <v>-3.1</v>
      </c>
      <c r="AK9" s="229">
        <v>6.0000000000000001E-3</v>
      </c>
      <c r="AL9" s="228">
        <v>16</v>
      </c>
      <c r="AM9" s="228">
        <v>18.399999999999999</v>
      </c>
      <c r="AN9" s="228">
        <v>-2.4</v>
      </c>
      <c r="AO9" s="229">
        <v>1.17E-2</v>
      </c>
      <c r="AP9" s="231">
        <v>1369.53</v>
      </c>
      <c r="AQ9" s="231">
        <v>1377.47</v>
      </c>
      <c r="AR9" s="228">
        <v>0</v>
      </c>
      <c r="AS9" s="228">
        <v>368</v>
      </c>
      <c r="AT9" s="228">
        <v>794</v>
      </c>
      <c r="AU9" s="228">
        <v>-426</v>
      </c>
      <c r="AV9" s="229">
        <v>-0.53669999999999995</v>
      </c>
      <c r="AW9" s="228">
        <v>304</v>
      </c>
      <c r="AX9" s="228">
        <v>681</v>
      </c>
      <c r="AY9" s="228">
        <v>-377</v>
      </c>
      <c r="AZ9" s="229">
        <v>-0.55349999999999999</v>
      </c>
      <c r="BA9" s="228">
        <v>59</v>
      </c>
      <c r="BB9" s="228">
        <v>101</v>
      </c>
      <c r="BC9" s="228">
        <v>-42</v>
      </c>
      <c r="BD9" s="229">
        <v>-0.41670000000000001</v>
      </c>
      <c r="BE9" s="228">
        <v>5</v>
      </c>
      <c r="BF9" s="228">
        <v>12</v>
      </c>
      <c r="BG9" s="228">
        <v>-7</v>
      </c>
      <c r="BH9" s="229">
        <v>-0.59560000000000002</v>
      </c>
      <c r="BI9" s="230">
        <v>1634</v>
      </c>
      <c r="BJ9" s="230">
        <v>4667</v>
      </c>
      <c r="BK9" s="230">
        <v>-3032</v>
      </c>
      <c r="BL9" s="229">
        <v>-0.64980000000000004</v>
      </c>
      <c r="BM9" s="228">
        <v>899</v>
      </c>
      <c r="BN9" s="230">
        <v>1776</v>
      </c>
      <c r="BO9" s="228">
        <v>-877</v>
      </c>
      <c r="BP9" s="229">
        <v>-0.49390000000000001</v>
      </c>
      <c r="BQ9" s="230">
        <v>2901</v>
      </c>
      <c r="BR9" s="230">
        <v>7237</v>
      </c>
      <c r="BS9" s="230">
        <v>-4336</v>
      </c>
      <c r="BT9" s="229">
        <v>-0.59909999999999997</v>
      </c>
      <c r="BU9" s="230">
        <v>1731428</v>
      </c>
      <c r="BV9" s="230">
        <v>3316763</v>
      </c>
      <c r="BW9" s="230">
        <v>-1585335</v>
      </c>
      <c r="BX9" s="229">
        <v>-0.47799999999999998</v>
      </c>
      <c r="BY9" s="230">
        <v>3443</v>
      </c>
      <c r="BZ9" s="230">
        <v>3476</v>
      </c>
      <c r="CA9" s="228">
        <v>-32</v>
      </c>
      <c r="CB9" s="229">
        <v>-9.2999999999999992E-3</v>
      </c>
      <c r="CC9" s="230">
        <v>3151</v>
      </c>
      <c r="CD9" s="230">
        <v>3213</v>
      </c>
      <c r="CE9" s="228">
        <v>-62</v>
      </c>
      <c r="CF9" s="229">
        <v>-1.9199999999999998E-2</v>
      </c>
      <c r="CG9" s="228">
        <v>262</v>
      </c>
      <c r="CH9" s="228">
        <v>234</v>
      </c>
      <c r="CI9" s="228">
        <v>29</v>
      </c>
      <c r="CJ9" s="229">
        <v>0.1226</v>
      </c>
      <c r="CK9" s="228">
        <v>29</v>
      </c>
      <c r="CL9" s="228">
        <v>29</v>
      </c>
      <c r="CM9" s="228">
        <v>1</v>
      </c>
      <c r="CN9" s="229">
        <v>2.5100000000000001E-2</v>
      </c>
      <c r="CO9" s="230">
        <v>1236</v>
      </c>
      <c r="CP9" s="230">
        <v>1256</v>
      </c>
      <c r="CQ9" s="228">
        <v>-20</v>
      </c>
      <c r="CR9" s="229">
        <v>-1.61E-2</v>
      </c>
      <c r="CS9" s="228">
        <v>940</v>
      </c>
      <c r="CT9" s="228">
        <v>969</v>
      </c>
      <c r="CU9" s="228">
        <v>-29</v>
      </c>
      <c r="CV9" s="229">
        <v>-3.0099999999999998E-2</v>
      </c>
      <c r="CW9" s="230">
        <v>5619</v>
      </c>
      <c r="CX9" s="230">
        <v>5701</v>
      </c>
      <c r="CY9" s="228">
        <v>-82</v>
      </c>
      <c r="CZ9" s="229">
        <v>-1.44E-2</v>
      </c>
      <c r="DA9" s="228">
        <v>23.65</v>
      </c>
      <c r="DB9" s="228">
        <v>24.79</v>
      </c>
      <c r="DC9" s="228">
        <v>-1.1399999999999999</v>
      </c>
      <c r="DD9" s="228">
        <v>-1.1399999999999999</v>
      </c>
      <c r="DE9" s="228">
        <v>41.98</v>
      </c>
      <c r="DF9" s="228">
        <v>42.08</v>
      </c>
      <c r="DG9" s="228">
        <v>-18.329999999999998</v>
      </c>
      <c r="DH9" s="228">
        <v>-0.1</v>
      </c>
      <c r="DI9" s="228">
        <v>23.61</v>
      </c>
      <c r="DJ9" s="228">
        <v>24.33</v>
      </c>
      <c r="DK9" s="228">
        <v>-0.72</v>
      </c>
      <c r="DL9" s="228">
        <v>-0.72</v>
      </c>
      <c r="DM9" s="228">
        <v>23.71</v>
      </c>
      <c r="DN9" s="228">
        <v>25.98</v>
      </c>
      <c r="DO9" s="228">
        <v>-2.27</v>
      </c>
      <c r="DP9" s="228">
        <v>-2.27</v>
      </c>
      <c r="DQ9" s="228">
        <v>0.76</v>
      </c>
      <c r="DR9" s="228">
        <v>0.77</v>
      </c>
      <c r="DS9" s="228">
        <v>-0.01</v>
      </c>
      <c r="DT9" s="229">
        <v>-1.2999999999999999E-2</v>
      </c>
      <c r="DU9" s="231">
        <v>1400</v>
      </c>
      <c r="DV9" s="231">
        <v>1300</v>
      </c>
      <c r="DW9" s="228">
        <v>0.55000000000000004</v>
      </c>
      <c r="DX9" s="228">
        <v>0.38</v>
      </c>
      <c r="DY9" s="228">
        <v>0.17</v>
      </c>
      <c r="DZ9" s="229">
        <v>0.44740000000000002</v>
      </c>
      <c r="EA9" s="229">
        <v>8.4699999999999998E-2</v>
      </c>
      <c r="EB9" s="230">
        <v>1912825</v>
      </c>
      <c r="EC9" s="229">
        <v>5.4999999999999997E-3</v>
      </c>
      <c r="ED9" s="229">
        <v>8.4699999999999998E-2</v>
      </c>
      <c r="EE9" s="228">
        <v>7.94</v>
      </c>
      <c r="EF9" s="229">
        <v>5.7999999999999996E-3</v>
      </c>
      <c r="EG9" s="230">
        <v>891234</v>
      </c>
      <c r="EH9" s="230">
        <v>1200263</v>
      </c>
      <c r="EI9" s="229">
        <v>-0.25750000000000001</v>
      </c>
      <c r="EJ9" s="229">
        <v>0.51470000000000005</v>
      </c>
      <c r="EK9" s="231">
        <v>1679.17</v>
      </c>
      <c r="EL9" s="228">
        <v>889.97</v>
      </c>
      <c r="EM9" s="228">
        <v>368.01</v>
      </c>
      <c r="EN9" s="228">
        <v>0</v>
      </c>
      <c r="EO9" s="231">
        <v>2937.14</v>
      </c>
      <c r="EP9" s="231">
        <v>7269.39</v>
      </c>
      <c r="EQ9" s="231">
        <v>-4332.25</v>
      </c>
      <c r="ER9" s="229">
        <v>-0.59599999999999997</v>
      </c>
      <c r="ES9" s="231">
        <v>1274.22</v>
      </c>
      <c r="ET9" s="228">
        <v>911.89</v>
      </c>
      <c r="EU9" s="231">
        <v>3444.83</v>
      </c>
      <c r="EV9" s="231">
        <v>147352572</v>
      </c>
      <c r="EW9" s="231">
        <v>5630.94</v>
      </c>
      <c r="EX9" s="231">
        <v>5713.66</v>
      </c>
      <c r="EY9" s="228">
        <v>-82.72</v>
      </c>
      <c r="EZ9" s="229">
        <v>-1.4500000000000001E-2</v>
      </c>
      <c r="FA9" s="229">
        <v>0.27810000000000001</v>
      </c>
      <c r="FB9" s="227" t="s">
        <v>568</v>
      </c>
      <c r="FC9">
        <f t="shared" si="0"/>
        <v>292</v>
      </c>
    </row>
    <row r="10" spans="1:159" ht="17.25" thickBot="1" x14ac:dyDescent="0.3">
      <c r="A10" s="226">
        <v>45889</v>
      </c>
      <c r="B10" s="227" t="s">
        <v>170</v>
      </c>
      <c r="C10" s="227" t="s">
        <v>497</v>
      </c>
      <c r="D10" s="228">
        <v>125</v>
      </c>
      <c r="E10" s="228">
        <v>8</v>
      </c>
      <c r="F10" s="231">
        <v>5398.5</v>
      </c>
      <c r="G10" s="231">
        <v>5412</v>
      </c>
      <c r="H10" s="228">
        <v>-13.5</v>
      </c>
      <c r="I10" s="229">
        <v>-2.5000000000000001E-3</v>
      </c>
      <c r="J10" s="231">
        <v>5393</v>
      </c>
      <c r="K10" s="231">
        <v>5392</v>
      </c>
      <c r="L10" s="228">
        <v>1</v>
      </c>
      <c r="M10" s="229">
        <v>2.0000000000000001E-4</v>
      </c>
      <c r="N10" s="231">
        <v>5398.5</v>
      </c>
      <c r="O10" s="231">
        <v>5412</v>
      </c>
      <c r="P10" s="228">
        <v>-13.5</v>
      </c>
      <c r="Q10" s="229">
        <v>-2.5000000000000001E-3</v>
      </c>
      <c r="R10" s="231">
        <v>5426.5</v>
      </c>
      <c r="S10" s="231">
        <v>5439.5</v>
      </c>
      <c r="T10" s="228">
        <v>-13</v>
      </c>
      <c r="U10" s="229">
        <v>-2.3999999999999998E-3</v>
      </c>
      <c r="V10" s="231">
        <v>5450</v>
      </c>
      <c r="W10" s="231">
        <v>5456</v>
      </c>
      <c r="X10" s="228">
        <v>-6</v>
      </c>
      <c r="Y10" s="229">
        <v>-1.1000000000000001E-3</v>
      </c>
      <c r="Z10" s="228">
        <v>5.5</v>
      </c>
      <c r="AA10" s="228">
        <v>20</v>
      </c>
      <c r="AB10" s="228">
        <v>-14.5</v>
      </c>
      <c r="AC10" s="229">
        <v>1E-3</v>
      </c>
      <c r="AD10" s="228">
        <v>5.5</v>
      </c>
      <c r="AE10" s="228">
        <v>20</v>
      </c>
      <c r="AF10" s="228">
        <v>-14.5</v>
      </c>
      <c r="AG10" s="229">
        <v>1E-3</v>
      </c>
      <c r="AH10" s="228">
        <v>33.5</v>
      </c>
      <c r="AI10" s="228">
        <v>47.5</v>
      </c>
      <c r="AJ10" s="228">
        <v>-14</v>
      </c>
      <c r="AK10" s="229">
        <v>6.1999999999999998E-3</v>
      </c>
      <c r="AL10" s="228">
        <v>57</v>
      </c>
      <c r="AM10" s="228">
        <v>64</v>
      </c>
      <c r="AN10" s="228">
        <v>-7</v>
      </c>
      <c r="AO10" s="229">
        <v>1.06E-2</v>
      </c>
      <c r="AP10" s="231">
        <v>5410.23</v>
      </c>
      <c r="AQ10" s="231">
        <v>5444.61</v>
      </c>
      <c r="AR10" s="228">
        <v>0</v>
      </c>
      <c r="AS10" s="228">
        <v>117</v>
      </c>
      <c r="AT10" s="228">
        <v>112</v>
      </c>
      <c r="AU10" s="228">
        <v>5</v>
      </c>
      <c r="AV10" s="229">
        <v>4.2099999999999999E-2</v>
      </c>
      <c r="AW10" s="228">
        <v>101</v>
      </c>
      <c r="AX10" s="228">
        <v>89</v>
      </c>
      <c r="AY10" s="228">
        <v>12</v>
      </c>
      <c r="AZ10" s="229">
        <v>0.1384</v>
      </c>
      <c r="BA10" s="228">
        <v>16</v>
      </c>
      <c r="BB10" s="228">
        <v>23</v>
      </c>
      <c r="BC10" s="228">
        <v>-7</v>
      </c>
      <c r="BD10" s="229">
        <v>-0.3206</v>
      </c>
      <c r="BE10" s="228">
        <v>0</v>
      </c>
      <c r="BF10" s="228">
        <v>1</v>
      </c>
      <c r="BG10" s="228">
        <v>0</v>
      </c>
      <c r="BH10" s="229">
        <v>-0.33329999999999999</v>
      </c>
      <c r="BI10" s="228">
        <v>586</v>
      </c>
      <c r="BJ10" s="228">
        <v>600</v>
      </c>
      <c r="BK10" s="228">
        <v>-15</v>
      </c>
      <c r="BL10" s="229">
        <v>-2.47E-2</v>
      </c>
      <c r="BM10" s="228">
        <v>173</v>
      </c>
      <c r="BN10" s="228">
        <v>247</v>
      </c>
      <c r="BO10" s="228">
        <v>-74</v>
      </c>
      <c r="BP10" s="229">
        <v>-0.30109999999999998</v>
      </c>
      <c r="BQ10" s="228">
        <v>875</v>
      </c>
      <c r="BR10" s="228">
        <v>960</v>
      </c>
      <c r="BS10" s="228">
        <v>-84</v>
      </c>
      <c r="BT10" s="229">
        <v>-8.7999999999999995E-2</v>
      </c>
      <c r="BU10" s="230">
        <v>142626</v>
      </c>
      <c r="BV10" s="230">
        <v>229713</v>
      </c>
      <c r="BW10" s="230">
        <v>-87087</v>
      </c>
      <c r="BX10" s="229">
        <v>-0.37909999999999999</v>
      </c>
      <c r="BY10" s="228">
        <v>887</v>
      </c>
      <c r="BZ10" s="228">
        <v>884</v>
      </c>
      <c r="CA10" s="228">
        <v>3</v>
      </c>
      <c r="CB10" s="229">
        <v>3.3E-3</v>
      </c>
      <c r="CC10" s="228">
        <v>778</v>
      </c>
      <c r="CD10" s="228">
        <v>780</v>
      </c>
      <c r="CE10" s="228">
        <v>-2</v>
      </c>
      <c r="CF10" s="229">
        <v>-2.7000000000000001E-3</v>
      </c>
      <c r="CG10" s="228">
        <v>106</v>
      </c>
      <c r="CH10" s="228">
        <v>102</v>
      </c>
      <c r="CI10" s="228">
        <v>5</v>
      </c>
      <c r="CJ10" s="229">
        <v>4.8500000000000001E-2</v>
      </c>
      <c r="CK10" s="228">
        <v>3</v>
      </c>
      <c r="CL10" s="228">
        <v>3</v>
      </c>
      <c r="CM10" s="228">
        <v>0</v>
      </c>
      <c r="CN10" s="229">
        <v>2.5000000000000001E-2</v>
      </c>
      <c r="CO10" s="228">
        <v>338</v>
      </c>
      <c r="CP10" s="228">
        <v>294</v>
      </c>
      <c r="CQ10" s="228">
        <v>45</v>
      </c>
      <c r="CR10" s="229">
        <v>0.15179999999999999</v>
      </c>
      <c r="CS10" s="228">
        <v>260</v>
      </c>
      <c r="CT10" s="228">
        <v>272</v>
      </c>
      <c r="CU10" s="228">
        <v>-12</v>
      </c>
      <c r="CV10" s="229">
        <v>-4.41E-2</v>
      </c>
      <c r="CW10" s="230">
        <v>1486</v>
      </c>
      <c r="CX10" s="230">
        <v>1450</v>
      </c>
      <c r="CY10" s="228">
        <v>35</v>
      </c>
      <c r="CZ10" s="229">
        <v>2.4500000000000001E-2</v>
      </c>
      <c r="DA10" s="228">
        <v>25.35</v>
      </c>
      <c r="DB10" s="228">
        <v>24.95</v>
      </c>
      <c r="DC10" s="228">
        <v>0.4</v>
      </c>
      <c r="DD10" s="228">
        <v>0.4</v>
      </c>
      <c r="DE10" s="228">
        <v>30.02</v>
      </c>
      <c r="DF10" s="228">
        <v>30.09</v>
      </c>
      <c r="DG10" s="228">
        <v>-4.67</v>
      </c>
      <c r="DH10" s="228">
        <v>-7.0000000000000007E-2</v>
      </c>
      <c r="DI10" s="228">
        <v>24.91</v>
      </c>
      <c r="DJ10" s="228">
        <v>24.26</v>
      </c>
      <c r="DK10" s="228">
        <v>0.65</v>
      </c>
      <c r="DL10" s="228">
        <v>0.65</v>
      </c>
      <c r="DM10" s="228">
        <v>26.86</v>
      </c>
      <c r="DN10" s="228">
        <v>26.64</v>
      </c>
      <c r="DO10" s="228">
        <v>0.22</v>
      </c>
      <c r="DP10" s="228">
        <v>0.22</v>
      </c>
      <c r="DQ10" s="228">
        <v>0.77</v>
      </c>
      <c r="DR10" s="228">
        <v>0.93</v>
      </c>
      <c r="DS10" s="228">
        <v>-0.16</v>
      </c>
      <c r="DT10" s="229">
        <v>-0.17199999999999999</v>
      </c>
      <c r="DU10" s="231">
        <v>5400</v>
      </c>
      <c r="DV10" s="231">
        <v>5400</v>
      </c>
      <c r="DW10" s="228">
        <v>0.28999999999999998</v>
      </c>
      <c r="DX10" s="228">
        <v>0.41</v>
      </c>
      <c r="DY10" s="228">
        <v>-0.12</v>
      </c>
      <c r="DZ10" s="229">
        <v>-0.29270000000000002</v>
      </c>
      <c r="EA10" s="229">
        <v>0.1232</v>
      </c>
      <c r="EB10" s="230">
        <v>193125</v>
      </c>
      <c r="EC10" s="229">
        <v>5.1999999999999998E-3</v>
      </c>
      <c r="ED10" s="229">
        <v>0.1232</v>
      </c>
      <c r="EE10" s="228">
        <v>34.380000000000003</v>
      </c>
      <c r="EF10" s="229">
        <v>6.4000000000000003E-3</v>
      </c>
      <c r="EG10" s="230">
        <v>82941</v>
      </c>
      <c r="EH10" s="230">
        <v>144250</v>
      </c>
      <c r="EI10" s="229">
        <v>-0.42499999999999999</v>
      </c>
      <c r="EJ10" s="229">
        <v>0.58150000000000002</v>
      </c>
      <c r="EK10" s="228">
        <v>598.95000000000005</v>
      </c>
      <c r="EL10" s="228">
        <v>168.66</v>
      </c>
      <c r="EM10" s="228">
        <v>117.37</v>
      </c>
      <c r="EN10" s="228">
        <v>0</v>
      </c>
      <c r="EO10" s="228">
        <v>884.98</v>
      </c>
      <c r="EP10" s="228">
        <v>968.92</v>
      </c>
      <c r="EQ10" s="228">
        <v>-83.94</v>
      </c>
      <c r="ER10" s="229">
        <v>-8.6599999999999996E-2</v>
      </c>
      <c r="ES10" s="228">
        <v>337.74</v>
      </c>
      <c r="ET10" s="228">
        <v>244.24</v>
      </c>
      <c r="EU10" s="228">
        <v>887.62</v>
      </c>
      <c r="EV10" s="231">
        <v>11230378</v>
      </c>
      <c r="EW10" s="231">
        <v>1469.6</v>
      </c>
      <c r="EX10" s="231">
        <v>1434.19</v>
      </c>
      <c r="EY10" s="228">
        <v>35.409999999999997</v>
      </c>
      <c r="EZ10" s="229">
        <v>2.47E-2</v>
      </c>
      <c r="FA10" s="229">
        <v>0.24510000000000001</v>
      </c>
      <c r="FB10" s="227" t="s">
        <v>567</v>
      </c>
      <c r="FC10">
        <f t="shared" si="0"/>
        <v>109</v>
      </c>
    </row>
    <row r="11" spans="1:159" ht="17.25" thickBot="1" x14ac:dyDescent="0.3">
      <c r="A11" s="226">
        <v>45889</v>
      </c>
      <c r="B11" s="227" t="s">
        <v>184</v>
      </c>
      <c r="C11" s="227" t="s">
        <v>683</v>
      </c>
      <c r="D11" s="228">
        <v>100</v>
      </c>
      <c r="E11" s="228">
        <v>8</v>
      </c>
      <c r="F11" s="231">
        <v>7384</v>
      </c>
      <c r="G11" s="231">
        <v>7390.5</v>
      </c>
      <c r="H11" s="228">
        <v>-6.5</v>
      </c>
      <c r="I11" s="229">
        <v>-8.9999999999999998E-4</v>
      </c>
      <c r="J11" s="231">
        <v>7362</v>
      </c>
      <c r="K11" s="231">
        <v>7368.5</v>
      </c>
      <c r="L11" s="228">
        <v>-6.5</v>
      </c>
      <c r="M11" s="229">
        <v>-8.9999999999999998E-4</v>
      </c>
      <c r="N11" s="231">
        <v>7384</v>
      </c>
      <c r="O11" s="231">
        <v>7390.5</v>
      </c>
      <c r="P11" s="228">
        <v>-6.5</v>
      </c>
      <c r="Q11" s="229">
        <v>-8.9999999999999998E-4</v>
      </c>
      <c r="R11" s="231">
        <v>7423</v>
      </c>
      <c r="S11" s="231">
        <v>7432.5</v>
      </c>
      <c r="T11" s="228">
        <v>-9.5</v>
      </c>
      <c r="U11" s="229">
        <v>-1.2999999999999999E-3</v>
      </c>
      <c r="V11" s="231">
        <v>7463</v>
      </c>
      <c r="W11" s="231">
        <v>7454</v>
      </c>
      <c r="X11" s="228">
        <v>9</v>
      </c>
      <c r="Y11" s="229">
        <v>1.1999999999999999E-3</v>
      </c>
      <c r="Z11" s="228">
        <v>22</v>
      </c>
      <c r="AA11" s="228">
        <v>22</v>
      </c>
      <c r="AB11" s="228">
        <v>0</v>
      </c>
      <c r="AC11" s="229">
        <v>3.0000000000000001E-3</v>
      </c>
      <c r="AD11" s="228">
        <v>22</v>
      </c>
      <c r="AE11" s="228">
        <v>22</v>
      </c>
      <c r="AF11" s="228">
        <v>0</v>
      </c>
      <c r="AG11" s="229">
        <v>3.0000000000000001E-3</v>
      </c>
      <c r="AH11" s="228">
        <v>61</v>
      </c>
      <c r="AI11" s="228">
        <v>64</v>
      </c>
      <c r="AJ11" s="228">
        <v>-3</v>
      </c>
      <c r="AK11" s="229">
        <v>8.3000000000000001E-3</v>
      </c>
      <c r="AL11" s="228">
        <v>101</v>
      </c>
      <c r="AM11" s="228">
        <v>85.5</v>
      </c>
      <c r="AN11" s="228">
        <v>15.5</v>
      </c>
      <c r="AO11" s="229">
        <v>1.37E-2</v>
      </c>
      <c r="AP11" s="231">
        <v>7411.72</v>
      </c>
      <c r="AQ11" s="231">
        <v>7439.79</v>
      </c>
      <c r="AR11" s="228">
        <v>0</v>
      </c>
      <c r="AS11" s="228">
        <v>209</v>
      </c>
      <c r="AT11" s="228">
        <v>164</v>
      </c>
      <c r="AU11" s="228">
        <v>46</v>
      </c>
      <c r="AV11" s="229">
        <v>0.2792</v>
      </c>
      <c r="AW11" s="228">
        <v>181</v>
      </c>
      <c r="AX11" s="228">
        <v>148</v>
      </c>
      <c r="AY11" s="228">
        <v>33</v>
      </c>
      <c r="AZ11" s="229">
        <v>0.2203</v>
      </c>
      <c r="BA11" s="228">
        <v>28</v>
      </c>
      <c r="BB11" s="228">
        <v>15</v>
      </c>
      <c r="BC11" s="228">
        <v>13</v>
      </c>
      <c r="BD11" s="229">
        <v>0.83740000000000003</v>
      </c>
      <c r="BE11" s="228">
        <v>1</v>
      </c>
      <c r="BF11" s="228">
        <v>0</v>
      </c>
      <c r="BG11" s="228">
        <v>0</v>
      </c>
      <c r="BH11" s="229">
        <v>2</v>
      </c>
      <c r="BI11" s="228">
        <v>862</v>
      </c>
      <c r="BJ11" s="228">
        <v>666</v>
      </c>
      <c r="BK11" s="228">
        <v>196</v>
      </c>
      <c r="BL11" s="229">
        <v>0.29399999999999998</v>
      </c>
      <c r="BM11" s="228">
        <v>504</v>
      </c>
      <c r="BN11" s="228">
        <v>552</v>
      </c>
      <c r="BO11" s="228">
        <v>-47</v>
      </c>
      <c r="BP11" s="229">
        <v>-8.5500000000000007E-2</v>
      </c>
      <c r="BQ11" s="230">
        <v>1576</v>
      </c>
      <c r="BR11" s="230">
        <v>1382</v>
      </c>
      <c r="BS11" s="228">
        <v>194</v>
      </c>
      <c r="BT11" s="229">
        <v>0.14069999999999999</v>
      </c>
      <c r="BU11" s="230">
        <v>276449</v>
      </c>
      <c r="BV11" s="230">
        <v>297263</v>
      </c>
      <c r="BW11" s="230">
        <v>-20814</v>
      </c>
      <c r="BX11" s="229">
        <v>-7.0000000000000007E-2</v>
      </c>
      <c r="BY11" s="228">
        <v>532</v>
      </c>
      <c r="BZ11" s="228">
        <v>524</v>
      </c>
      <c r="CA11" s="228">
        <v>8</v>
      </c>
      <c r="CB11" s="229">
        <v>1.52E-2</v>
      </c>
      <c r="CC11" s="228">
        <v>501</v>
      </c>
      <c r="CD11" s="228">
        <v>502</v>
      </c>
      <c r="CE11" s="228">
        <v>-1</v>
      </c>
      <c r="CF11" s="229">
        <v>-2.0999999999999999E-3</v>
      </c>
      <c r="CG11" s="228">
        <v>30</v>
      </c>
      <c r="CH11" s="228">
        <v>21</v>
      </c>
      <c r="CI11" s="228">
        <v>9</v>
      </c>
      <c r="CJ11" s="229">
        <v>0.42859999999999998</v>
      </c>
      <c r="CK11" s="228">
        <v>2</v>
      </c>
      <c r="CL11" s="228">
        <v>1</v>
      </c>
      <c r="CM11" s="228">
        <v>0</v>
      </c>
      <c r="CN11" s="229">
        <v>0.1</v>
      </c>
      <c r="CO11" s="228">
        <v>747</v>
      </c>
      <c r="CP11" s="228">
        <v>757</v>
      </c>
      <c r="CQ11" s="228">
        <v>-10</v>
      </c>
      <c r="CR11" s="229">
        <v>-1.2800000000000001E-2</v>
      </c>
      <c r="CS11" s="228">
        <v>370</v>
      </c>
      <c r="CT11" s="228">
        <v>417</v>
      </c>
      <c r="CU11" s="228">
        <v>-48</v>
      </c>
      <c r="CV11" s="229">
        <v>-0.1139</v>
      </c>
      <c r="CW11" s="230">
        <v>1649</v>
      </c>
      <c r="CX11" s="230">
        <v>1699</v>
      </c>
      <c r="CY11" s="228">
        <v>-49</v>
      </c>
      <c r="CZ11" s="229">
        <v>-2.9000000000000001E-2</v>
      </c>
      <c r="DA11" s="228">
        <v>37.15</v>
      </c>
      <c r="DB11" s="228">
        <v>37.17</v>
      </c>
      <c r="DC11" s="228">
        <v>-0.02</v>
      </c>
      <c r="DD11" s="228">
        <v>-0.02</v>
      </c>
      <c r="DE11" s="228">
        <v>58.11</v>
      </c>
      <c r="DF11" s="228">
        <v>58.25</v>
      </c>
      <c r="DG11" s="228">
        <v>-20.96</v>
      </c>
      <c r="DH11" s="228">
        <v>-0.14000000000000001</v>
      </c>
      <c r="DI11" s="228">
        <v>36.950000000000003</v>
      </c>
      <c r="DJ11" s="228">
        <v>38.33</v>
      </c>
      <c r="DK11" s="228">
        <v>-1.38</v>
      </c>
      <c r="DL11" s="228">
        <v>-1.38</v>
      </c>
      <c r="DM11" s="228">
        <v>37.479999999999997</v>
      </c>
      <c r="DN11" s="228">
        <v>35.76</v>
      </c>
      <c r="DO11" s="228">
        <v>1.72</v>
      </c>
      <c r="DP11" s="228">
        <v>1.72</v>
      </c>
      <c r="DQ11" s="228">
        <v>0.5</v>
      </c>
      <c r="DR11" s="228">
        <v>0.55000000000000004</v>
      </c>
      <c r="DS11" s="228">
        <v>-0.05</v>
      </c>
      <c r="DT11" s="229">
        <v>-9.0899999999999995E-2</v>
      </c>
      <c r="DU11" s="231">
        <v>8000</v>
      </c>
      <c r="DV11" s="231">
        <v>7000</v>
      </c>
      <c r="DW11" s="228">
        <v>0.57999999999999996</v>
      </c>
      <c r="DX11" s="228">
        <v>0.83</v>
      </c>
      <c r="DY11" s="228">
        <v>-0.25</v>
      </c>
      <c r="DZ11" s="229">
        <v>-0.30120000000000002</v>
      </c>
      <c r="EA11" s="229">
        <v>5.8500000000000003E-2</v>
      </c>
      <c r="EB11" s="230">
        <v>30000</v>
      </c>
      <c r="EC11" s="229">
        <v>5.3E-3</v>
      </c>
      <c r="ED11" s="229">
        <v>5.8500000000000003E-2</v>
      </c>
      <c r="EE11" s="228">
        <v>28.07</v>
      </c>
      <c r="EF11" s="229">
        <v>3.8E-3</v>
      </c>
      <c r="EG11" s="230">
        <v>91017</v>
      </c>
      <c r="EH11" s="230">
        <v>85693</v>
      </c>
      <c r="EI11" s="229">
        <v>6.2100000000000002E-2</v>
      </c>
      <c r="EJ11" s="229">
        <v>0.32919999999999999</v>
      </c>
      <c r="EK11" s="228">
        <v>914.37</v>
      </c>
      <c r="EL11" s="228">
        <v>483.9</v>
      </c>
      <c r="EM11" s="228">
        <v>210.31</v>
      </c>
      <c r="EN11" s="228">
        <v>0</v>
      </c>
      <c r="EO11" s="231">
        <v>1608.58</v>
      </c>
      <c r="EP11" s="231">
        <v>1412.4</v>
      </c>
      <c r="EQ11" s="228">
        <v>196.18</v>
      </c>
      <c r="ER11" s="229">
        <v>0.1389</v>
      </c>
      <c r="ES11" s="228">
        <v>790.04</v>
      </c>
      <c r="ET11" s="228">
        <v>353.96</v>
      </c>
      <c r="EU11" s="228">
        <v>532.63</v>
      </c>
      <c r="EV11" s="231">
        <v>4089938</v>
      </c>
      <c r="EW11" s="231">
        <v>1676.64</v>
      </c>
      <c r="EX11" s="231">
        <v>1721.56</v>
      </c>
      <c r="EY11" s="228">
        <v>-44.92</v>
      </c>
      <c r="EZ11" s="229">
        <v>-2.6100000000000002E-2</v>
      </c>
      <c r="FA11" s="229">
        <v>0.54610000000000003</v>
      </c>
      <c r="FB11" s="227" t="s">
        <v>567</v>
      </c>
      <c r="FC11">
        <f t="shared" si="0"/>
        <v>31</v>
      </c>
    </row>
    <row r="12" spans="1:159" ht="17.25" thickBot="1" x14ac:dyDescent="0.3">
      <c r="A12" s="226">
        <v>45889</v>
      </c>
      <c r="B12" s="227" t="s">
        <v>157</v>
      </c>
      <c r="C12" s="227" t="s">
        <v>164</v>
      </c>
      <c r="D12" s="228">
        <v>1050</v>
      </c>
      <c r="E12" s="228">
        <v>8</v>
      </c>
      <c r="F12" s="228">
        <v>591.9</v>
      </c>
      <c r="G12" s="228">
        <v>594.5</v>
      </c>
      <c r="H12" s="228">
        <v>-2.6</v>
      </c>
      <c r="I12" s="229">
        <v>-4.4000000000000003E-3</v>
      </c>
      <c r="J12" s="228">
        <v>591.9</v>
      </c>
      <c r="K12" s="228">
        <v>592.4</v>
      </c>
      <c r="L12" s="228">
        <v>-0.5</v>
      </c>
      <c r="M12" s="229">
        <v>-8.0000000000000004E-4</v>
      </c>
      <c r="N12" s="228">
        <v>591.9</v>
      </c>
      <c r="O12" s="228">
        <v>594.5</v>
      </c>
      <c r="P12" s="228">
        <v>-2.6</v>
      </c>
      <c r="Q12" s="229">
        <v>-4.4000000000000003E-3</v>
      </c>
      <c r="R12" s="228">
        <v>595.20000000000005</v>
      </c>
      <c r="S12" s="228">
        <v>597.54999999999995</v>
      </c>
      <c r="T12" s="228">
        <v>-2.35</v>
      </c>
      <c r="U12" s="229">
        <v>-3.8999999999999998E-3</v>
      </c>
      <c r="V12" s="228">
        <v>598.25</v>
      </c>
      <c r="W12" s="228">
        <v>600.29999999999995</v>
      </c>
      <c r="X12" s="228">
        <v>-2.0499999999999998</v>
      </c>
      <c r="Y12" s="229">
        <v>-3.3999999999999998E-3</v>
      </c>
      <c r="Z12" s="228">
        <v>0</v>
      </c>
      <c r="AA12" s="228">
        <v>2.1</v>
      </c>
      <c r="AB12" s="228">
        <v>-2.1</v>
      </c>
      <c r="AC12" s="229">
        <v>0</v>
      </c>
      <c r="AD12" s="228">
        <v>0</v>
      </c>
      <c r="AE12" s="228">
        <v>2.1</v>
      </c>
      <c r="AF12" s="228">
        <v>-2.1</v>
      </c>
      <c r="AG12" s="229">
        <v>0</v>
      </c>
      <c r="AH12" s="228">
        <v>3.3</v>
      </c>
      <c r="AI12" s="228">
        <v>5.15</v>
      </c>
      <c r="AJ12" s="228">
        <v>-1.85</v>
      </c>
      <c r="AK12" s="229">
        <v>5.5999999999999999E-3</v>
      </c>
      <c r="AL12" s="228">
        <v>6.35</v>
      </c>
      <c r="AM12" s="228">
        <v>7.9</v>
      </c>
      <c r="AN12" s="228">
        <v>-1.55</v>
      </c>
      <c r="AO12" s="229">
        <v>1.0699999999999999E-2</v>
      </c>
      <c r="AP12" s="228">
        <v>592.24</v>
      </c>
      <c r="AQ12" s="228">
        <v>595.59</v>
      </c>
      <c r="AR12" s="228">
        <v>0</v>
      </c>
      <c r="AS12" s="228">
        <v>243</v>
      </c>
      <c r="AT12" s="228">
        <v>165</v>
      </c>
      <c r="AU12" s="228">
        <v>78</v>
      </c>
      <c r="AV12" s="229">
        <v>0.47089999999999999</v>
      </c>
      <c r="AW12" s="228">
        <v>167</v>
      </c>
      <c r="AX12" s="228">
        <v>132</v>
      </c>
      <c r="AY12" s="228">
        <v>35</v>
      </c>
      <c r="AZ12" s="229">
        <v>0.26469999999999999</v>
      </c>
      <c r="BA12" s="228">
        <v>76</v>
      </c>
      <c r="BB12" s="228">
        <v>31</v>
      </c>
      <c r="BC12" s="228">
        <v>45</v>
      </c>
      <c r="BD12" s="229">
        <v>1.4294</v>
      </c>
      <c r="BE12" s="228">
        <v>0</v>
      </c>
      <c r="BF12" s="228">
        <v>2</v>
      </c>
      <c r="BG12" s="228">
        <v>-2</v>
      </c>
      <c r="BH12" s="229">
        <v>-0.87880000000000003</v>
      </c>
      <c r="BI12" s="228">
        <v>355</v>
      </c>
      <c r="BJ12" s="228">
        <v>516</v>
      </c>
      <c r="BK12" s="228">
        <v>-160</v>
      </c>
      <c r="BL12" s="229">
        <v>-0.31080000000000002</v>
      </c>
      <c r="BM12" s="228">
        <v>145</v>
      </c>
      <c r="BN12" s="228">
        <v>193</v>
      </c>
      <c r="BO12" s="228">
        <v>-48</v>
      </c>
      <c r="BP12" s="229">
        <v>-0.24809999999999999</v>
      </c>
      <c r="BQ12" s="228">
        <v>744</v>
      </c>
      <c r="BR12" s="228">
        <v>874</v>
      </c>
      <c r="BS12" s="228">
        <v>-130</v>
      </c>
      <c r="BT12" s="229">
        <v>-0.14910000000000001</v>
      </c>
      <c r="BU12" s="230">
        <v>1122746</v>
      </c>
      <c r="BV12" s="230">
        <v>1960429</v>
      </c>
      <c r="BW12" s="230">
        <v>-837683</v>
      </c>
      <c r="BX12" s="229">
        <v>-0.42730000000000001</v>
      </c>
      <c r="BY12" s="230">
        <v>1775</v>
      </c>
      <c r="BZ12" s="230">
        <v>1747</v>
      </c>
      <c r="CA12" s="228">
        <v>28</v>
      </c>
      <c r="CB12" s="229">
        <v>1.61E-2</v>
      </c>
      <c r="CC12" s="230">
        <v>1634</v>
      </c>
      <c r="CD12" s="230">
        <v>1666</v>
      </c>
      <c r="CE12" s="228">
        <v>-33</v>
      </c>
      <c r="CF12" s="229">
        <v>-1.95E-2</v>
      </c>
      <c r="CG12" s="228">
        <v>135</v>
      </c>
      <c r="CH12" s="228">
        <v>74</v>
      </c>
      <c r="CI12" s="228">
        <v>61</v>
      </c>
      <c r="CJ12" s="229">
        <v>0.81620000000000004</v>
      </c>
      <c r="CK12" s="228">
        <v>6</v>
      </c>
      <c r="CL12" s="228">
        <v>6</v>
      </c>
      <c r="CM12" s="228">
        <v>0</v>
      </c>
      <c r="CN12" s="229">
        <v>-1.04E-2</v>
      </c>
      <c r="CO12" s="228">
        <v>665</v>
      </c>
      <c r="CP12" s="228">
        <v>648</v>
      </c>
      <c r="CQ12" s="228">
        <v>17</v>
      </c>
      <c r="CR12" s="229">
        <v>2.58E-2</v>
      </c>
      <c r="CS12" s="228">
        <v>365</v>
      </c>
      <c r="CT12" s="228">
        <v>349</v>
      </c>
      <c r="CU12" s="228">
        <v>16</v>
      </c>
      <c r="CV12" s="229">
        <v>4.4900000000000002E-2</v>
      </c>
      <c r="CW12" s="230">
        <v>2804</v>
      </c>
      <c r="CX12" s="230">
        <v>2744</v>
      </c>
      <c r="CY12" s="228">
        <v>60</v>
      </c>
      <c r="CZ12" s="229">
        <v>2.1999999999999999E-2</v>
      </c>
      <c r="DA12" s="228">
        <v>23.65</v>
      </c>
      <c r="DB12" s="228">
        <v>24.16</v>
      </c>
      <c r="DC12" s="228">
        <v>-0.51</v>
      </c>
      <c r="DD12" s="228">
        <v>-0.51</v>
      </c>
      <c r="DE12" s="228">
        <v>36.32</v>
      </c>
      <c r="DF12" s="228">
        <v>36.4</v>
      </c>
      <c r="DG12" s="228">
        <v>-12.67</v>
      </c>
      <c r="DH12" s="228">
        <v>-0.08</v>
      </c>
      <c r="DI12" s="228">
        <v>24.34</v>
      </c>
      <c r="DJ12" s="228">
        <v>24.62</v>
      </c>
      <c r="DK12" s="228">
        <v>-0.28000000000000003</v>
      </c>
      <c r="DL12" s="228">
        <v>-0.28000000000000003</v>
      </c>
      <c r="DM12" s="228">
        <v>21.96</v>
      </c>
      <c r="DN12" s="228">
        <v>22.92</v>
      </c>
      <c r="DO12" s="228">
        <v>-0.96</v>
      </c>
      <c r="DP12" s="228">
        <v>-0.96</v>
      </c>
      <c r="DQ12" s="228">
        <v>0.55000000000000004</v>
      </c>
      <c r="DR12" s="228">
        <v>0.54</v>
      </c>
      <c r="DS12" s="228">
        <v>0.01</v>
      </c>
      <c r="DT12" s="229">
        <v>1.8499999999999999E-2</v>
      </c>
      <c r="DU12" s="228">
        <v>650</v>
      </c>
      <c r="DV12" s="228">
        <v>650</v>
      </c>
      <c r="DW12" s="228">
        <v>0.41</v>
      </c>
      <c r="DX12" s="228">
        <v>0.37</v>
      </c>
      <c r="DY12" s="228">
        <v>0.04</v>
      </c>
      <c r="DZ12" s="229">
        <v>0.1081</v>
      </c>
      <c r="EA12" s="229">
        <v>7.9500000000000001E-2</v>
      </c>
      <c r="EB12" s="230">
        <v>1357650</v>
      </c>
      <c r="EC12" s="229">
        <v>5.5999999999999999E-3</v>
      </c>
      <c r="ED12" s="229">
        <v>7.9500000000000001E-2</v>
      </c>
      <c r="EE12" s="228">
        <v>3.35</v>
      </c>
      <c r="EF12" s="229">
        <v>5.7000000000000002E-3</v>
      </c>
      <c r="EG12" s="230">
        <v>757175</v>
      </c>
      <c r="EH12" s="230">
        <v>1077191</v>
      </c>
      <c r="EI12" s="229">
        <v>-0.29709999999999998</v>
      </c>
      <c r="EJ12" s="229">
        <v>0.6744</v>
      </c>
      <c r="EK12" s="228">
        <v>367.16</v>
      </c>
      <c r="EL12" s="228">
        <v>144.66</v>
      </c>
      <c r="EM12" s="228">
        <v>243.64</v>
      </c>
      <c r="EN12" s="228">
        <v>0</v>
      </c>
      <c r="EO12" s="228">
        <v>755.45</v>
      </c>
      <c r="EP12" s="228">
        <v>896.04</v>
      </c>
      <c r="EQ12" s="228">
        <v>-140.58000000000001</v>
      </c>
      <c r="ER12" s="229">
        <v>-0.15690000000000001</v>
      </c>
      <c r="ES12" s="228">
        <v>700.53</v>
      </c>
      <c r="ET12" s="228">
        <v>367.61</v>
      </c>
      <c r="EU12" s="231">
        <v>1775.43</v>
      </c>
      <c r="EV12" s="231">
        <v>159683698</v>
      </c>
      <c r="EW12" s="231">
        <v>2843.58</v>
      </c>
      <c r="EX12" s="231">
        <v>2790.31</v>
      </c>
      <c r="EY12" s="228">
        <v>53.27</v>
      </c>
      <c r="EZ12" s="229">
        <v>1.9099999999999999E-2</v>
      </c>
      <c r="FA12" s="229">
        <v>0.29670000000000002</v>
      </c>
      <c r="FB12" s="227" t="s">
        <v>567</v>
      </c>
      <c r="FC12">
        <f t="shared" si="0"/>
        <v>141</v>
      </c>
    </row>
    <row r="13" spans="1:159" ht="17.25" thickBot="1" x14ac:dyDescent="0.3">
      <c r="A13" s="226">
        <v>45889</v>
      </c>
      <c r="B13" s="227" t="s">
        <v>175</v>
      </c>
      <c r="C13" s="227" t="s">
        <v>610</v>
      </c>
      <c r="D13" s="228">
        <v>250</v>
      </c>
      <c r="E13" s="228">
        <v>8</v>
      </c>
      <c r="F13" s="231">
        <v>2722.4</v>
      </c>
      <c r="G13" s="231">
        <v>2679.3</v>
      </c>
      <c r="H13" s="228">
        <v>43.1</v>
      </c>
      <c r="I13" s="229">
        <v>1.61E-2</v>
      </c>
      <c r="J13" s="231">
        <v>2720.8</v>
      </c>
      <c r="K13" s="231">
        <v>2677.8</v>
      </c>
      <c r="L13" s="228">
        <v>43</v>
      </c>
      <c r="M13" s="229">
        <v>1.61E-2</v>
      </c>
      <c r="N13" s="231">
        <v>2722.4</v>
      </c>
      <c r="O13" s="231">
        <v>2679.3</v>
      </c>
      <c r="P13" s="228">
        <v>43.1</v>
      </c>
      <c r="Q13" s="229">
        <v>1.61E-2</v>
      </c>
      <c r="R13" s="231">
        <v>2722.2</v>
      </c>
      <c r="S13" s="231">
        <v>2682.6</v>
      </c>
      <c r="T13" s="228">
        <v>39.6</v>
      </c>
      <c r="U13" s="229">
        <v>1.4800000000000001E-2</v>
      </c>
      <c r="V13" s="231">
        <v>2723.7</v>
      </c>
      <c r="W13" s="231">
        <v>2696.2</v>
      </c>
      <c r="X13" s="228">
        <v>27.5</v>
      </c>
      <c r="Y13" s="229">
        <v>1.0200000000000001E-2</v>
      </c>
      <c r="Z13" s="228">
        <v>1.6</v>
      </c>
      <c r="AA13" s="228">
        <v>1.5</v>
      </c>
      <c r="AB13" s="228">
        <v>0.1</v>
      </c>
      <c r="AC13" s="229">
        <v>5.9999999999999995E-4</v>
      </c>
      <c r="AD13" s="228">
        <v>1.6</v>
      </c>
      <c r="AE13" s="228">
        <v>1.5</v>
      </c>
      <c r="AF13" s="228">
        <v>0.1</v>
      </c>
      <c r="AG13" s="229">
        <v>5.9999999999999995E-4</v>
      </c>
      <c r="AH13" s="228">
        <v>1.4</v>
      </c>
      <c r="AI13" s="228">
        <v>4.8</v>
      </c>
      <c r="AJ13" s="228">
        <v>-3.4</v>
      </c>
      <c r="AK13" s="229">
        <v>5.0000000000000001E-4</v>
      </c>
      <c r="AL13" s="228">
        <v>2.9</v>
      </c>
      <c r="AM13" s="228">
        <v>18.399999999999999</v>
      </c>
      <c r="AN13" s="228">
        <v>-15.5</v>
      </c>
      <c r="AO13" s="229">
        <v>1.1000000000000001E-3</v>
      </c>
      <c r="AP13" s="231">
        <v>2699.23</v>
      </c>
      <c r="AQ13" s="231">
        <v>2703.15</v>
      </c>
      <c r="AR13" s="228">
        <v>0</v>
      </c>
      <c r="AS13" s="228">
        <v>201</v>
      </c>
      <c r="AT13" s="228">
        <v>165</v>
      </c>
      <c r="AU13" s="228">
        <v>36</v>
      </c>
      <c r="AV13" s="229">
        <v>0.21890000000000001</v>
      </c>
      <c r="AW13" s="228">
        <v>167</v>
      </c>
      <c r="AX13" s="228">
        <v>132</v>
      </c>
      <c r="AY13" s="228">
        <v>35</v>
      </c>
      <c r="AZ13" s="229">
        <v>0.26400000000000001</v>
      </c>
      <c r="BA13" s="228">
        <v>32</v>
      </c>
      <c r="BB13" s="228">
        <v>32</v>
      </c>
      <c r="BC13" s="228">
        <v>0</v>
      </c>
      <c r="BD13" s="229">
        <v>1.4999999999999999E-2</v>
      </c>
      <c r="BE13" s="228">
        <v>2</v>
      </c>
      <c r="BF13" s="228">
        <v>1</v>
      </c>
      <c r="BG13" s="228">
        <v>1</v>
      </c>
      <c r="BH13" s="229">
        <v>0.64710000000000001</v>
      </c>
      <c r="BI13" s="228">
        <v>856</v>
      </c>
      <c r="BJ13" s="228">
        <v>608</v>
      </c>
      <c r="BK13" s="228">
        <v>248</v>
      </c>
      <c r="BL13" s="229">
        <v>0.4083</v>
      </c>
      <c r="BM13" s="228">
        <v>479</v>
      </c>
      <c r="BN13" s="228">
        <v>376</v>
      </c>
      <c r="BO13" s="228">
        <v>103</v>
      </c>
      <c r="BP13" s="229">
        <v>0.27350000000000002</v>
      </c>
      <c r="BQ13" s="230">
        <v>1536</v>
      </c>
      <c r="BR13" s="230">
        <v>1149</v>
      </c>
      <c r="BS13" s="228">
        <v>387</v>
      </c>
      <c r="BT13" s="229">
        <v>0.33700000000000002</v>
      </c>
      <c r="BU13" s="230">
        <v>677100</v>
      </c>
      <c r="BV13" s="230">
        <v>472034</v>
      </c>
      <c r="BW13" s="230">
        <v>205066</v>
      </c>
      <c r="BX13" s="229">
        <v>0.43440000000000001</v>
      </c>
      <c r="BY13" s="228">
        <v>703</v>
      </c>
      <c r="BZ13" s="228">
        <v>698</v>
      </c>
      <c r="CA13" s="228">
        <v>5</v>
      </c>
      <c r="CB13" s="229">
        <v>7.7999999999999996E-3</v>
      </c>
      <c r="CC13" s="228">
        <v>643</v>
      </c>
      <c r="CD13" s="228">
        <v>641</v>
      </c>
      <c r="CE13" s="228">
        <v>2</v>
      </c>
      <c r="CF13" s="229">
        <v>3.7000000000000002E-3</v>
      </c>
      <c r="CG13" s="228">
        <v>50</v>
      </c>
      <c r="CH13" s="228">
        <v>48</v>
      </c>
      <c r="CI13" s="228">
        <v>2</v>
      </c>
      <c r="CJ13" s="229">
        <v>5.11E-2</v>
      </c>
      <c r="CK13" s="228">
        <v>9</v>
      </c>
      <c r="CL13" s="228">
        <v>9</v>
      </c>
      <c r="CM13" s="228">
        <v>1</v>
      </c>
      <c r="CN13" s="229">
        <v>6.9199999999999998E-2</v>
      </c>
      <c r="CO13" s="228">
        <v>433</v>
      </c>
      <c r="CP13" s="228">
        <v>451</v>
      </c>
      <c r="CQ13" s="228">
        <v>-18</v>
      </c>
      <c r="CR13" s="229">
        <v>-3.9600000000000003E-2</v>
      </c>
      <c r="CS13" s="228">
        <v>392</v>
      </c>
      <c r="CT13" s="228">
        <v>391</v>
      </c>
      <c r="CU13" s="228">
        <v>1</v>
      </c>
      <c r="CV13" s="229">
        <v>2.5999999999999999E-3</v>
      </c>
      <c r="CW13" s="230">
        <v>1528</v>
      </c>
      <c r="CX13" s="230">
        <v>1539</v>
      </c>
      <c r="CY13" s="228">
        <v>-11</v>
      </c>
      <c r="CZ13" s="229">
        <v>-7.4000000000000003E-3</v>
      </c>
      <c r="DA13" s="228">
        <v>38.299999999999997</v>
      </c>
      <c r="DB13" s="228">
        <v>38.94</v>
      </c>
      <c r="DC13" s="228">
        <v>-0.64</v>
      </c>
      <c r="DD13" s="228">
        <v>-0.64</v>
      </c>
      <c r="DE13" s="228">
        <v>57.83</v>
      </c>
      <c r="DF13" s="228">
        <v>57.94</v>
      </c>
      <c r="DG13" s="228">
        <v>-19.53</v>
      </c>
      <c r="DH13" s="228">
        <v>-0.11</v>
      </c>
      <c r="DI13" s="228">
        <v>36.56</v>
      </c>
      <c r="DJ13" s="228">
        <v>37.75</v>
      </c>
      <c r="DK13" s="228">
        <v>-1.19</v>
      </c>
      <c r="DL13" s="228">
        <v>-1.19</v>
      </c>
      <c r="DM13" s="228">
        <v>41.41</v>
      </c>
      <c r="DN13" s="228">
        <v>40.869999999999997</v>
      </c>
      <c r="DO13" s="228">
        <v>0.54</v>
      </c>
      <c r="DP13" s="228">
        <v>0.54</v>
      </c>
      <c r="DQ13" s="228">
        <v>0.9</v>
      </c>
      <c r="DR13" s="228">
        <v>0.87</v>
      </c>
      <c r="DS13" s="228">
        <v>0.03</v>
      </c>
      <c r="DT13" s="229">
        <v>3.4500000000000003E-2</v>
      </c>
      <c r="DU13" s="231">
        <v>2700</v>
      </c>
      <c r="DV13" s="231">
        <v>2600</v>
      </c>
      <c r="DW13" s="228">
        <v>0.56000000000000005</v>
      </c>
      <c r="DX13" s="228">
        <v>0.62</v>
      </c>
      <c r="DY13" s="228">
        <v>-0.06</v>
      </c>
      <c r="DZ13" s="229">
        <v>-9.6799999999999997E-2</v>
      </c>
      <c r="EA13" s="229">
        <v>8.5199999999999998E-2</v>
      </c>
      <c r="EB13" s="230">
        <v>208750</v>
      </c>
      <c r="EC13" s="229">
        <v>-1E-4</v>
      </c>
      <c r="ED13" s="229">
        <v>8.5199999999999998E-2</v>
      </c>
      <c r="EE13" s="228">
        <v>3.92</v>
      </c>
      <c r="EF13" s="229">
        <v>1.5E-3</v>
      </c>
      <c r="EG13" s="230">
        <v>185566</v>
      </c>
      <c r="EH13" s="230">
        <v>95949</v>
      </c>
      <c r="EI13" s="229">
        <v>0.93400000000000005</v>
      </c>
      <c r="EJ13" s="229">
        <v>0.27410000000000001</v>
      </c>
      <c r="EK13" s="228">
        <v>881.02</v>
      </c>
      <c r="EL13" s="228">
        <v>461.72</v>
      </c>
      <c r="EM13" s="228">
        <v>199.59</v>
      </c>
      <c r="EN13" s="228">
        <v>0</v>
      </c>
      <c r="EO13" s="231">
        <v>1542.33</v>
      </c>
      <c r="EP13" s="231">
        <v>1148.8</v>
      </c>
      <c r="EQ13" s="228">
        <v>393.53</v>
      </c>
      <c r="ER13" s="229">
        <v>0.34260000000000002</v>
      </c>
      <c r="ES13" s="228">
        <v>442.81</v>
      </c>
      <c r="ET13" s="228">
        <v>368.99</v>
      </c>
      <c r="EU13" s="228">
        <v>703.33</v>
      </c>
      <c r="EV13" s="231">
        <v>12863513</v>
      </c>
      <c r="EW13" s="231">
        <v>1515.13</v>
      </c>
      <c r="EX13" s="231">
        <v>1514.09</v>
      </c>
      <c r="EY13" s="228">
        <v>1.04</v>
      </c>
      <c r="EZ13" s="229">
        <v>6.9999999999999999E-4</v>
      </c>
      <c r="FA13" s="229">
        <v>0.43619999999999998</v>
      </c>
      <c r="FB13" s="227" t="s">
        <v>555</v>
      </c>
      <c r="FC13">
        <f t="shared" si="0"/>
        <v>60</v>
      </c>
    </row>
    <row r="14" spans="1:159" ht="17.25" thickBot="1" x14ac:dyDescent="0.3">
      <c r="A14" s="226">
        <v>45889</v>
      </c>
      <c r="B14" s="227" t="s">
        <v>227</v>
      </c>
      <c r="C14" s="227" t="s">
        <v>599</v>
      </c>
      <c r="D14" s="228">
        <v>350</v>
      </c>
      <c r="E14" s="228">
        <v>8</v>
      </c>
      <c r="F14" s="231">
        <v>1627.1</v>
      </c>
      <c r="G14" s="231">
        <v>1625.5</v>
      </c>
      <c r="H14" s="228">
        <v>1.6</v>
      </c>
      <c r="I14" s="229">
        <v>1E-3</v>
      </c>
      <c r="J14" s="231">
        <v>1628.3</v>
      </c>
      <c r="K14" s="231">
        <v>1626.3</v>
      </c>
      <c r="L14" s="228">
        <v>2</v>
      </c>
      <c r="M14" s="229">
        <v>1.1999999999999999E-3</v>
      </c>
      <c r="N14" s="231">
        <v>1627.1</v>
      </c>
      <c r="O14" s="231">
        <v>1625.5</v>
      </c>
      <c r="P14" s="228">
        <v>1.6</v>
      </c>
      <c r="Q14" s="229">
        <v>1E-3</v>
      </c>
      <c r="R14" s="231">
        <v>1636.5</v>
      </c>
      <c r="S14" s="231">
        <v>1635.8</v>
      </c>
      <c r="T14" s="228">
        <v>0.7</v>
      </c>
      <c r="U14" s="229">
        <v>4.0000000000000002E-4</v>
      </c>
      <c r="V14" s="231">
        <v>1644</v>
      </c>
      <c r="W14" s="231">
        <v>1639</v>
      </c>
      <c r="X14" s="228">
        <v>5</v>
      </c>
      <c r="Y14" s="229">
        <v>3.0999999999999999E-3</v>
      </c>
      <c r="Z14" s="228">
        <v>-1.2</v>
      </c>
      <c r="AA14" s="228">
        <v>-0.8</v>
      </c>
      <c r="AB14" s="228">
        <v>-0.4</v>
      </c>
      <c r="AC14" s="229">
        <v>-6.9999999999999999E-4</v>
      </c>
      <c r="AD14" s="228">
        <v>-1.2</v>
      </c>
      <c r="AE14" s="228">
        <v>-0.8</v>
      </c>
      <c r="AF14" s="228">
        <v>-0.4</v>
      </c>
      <c r="AG14" s="229">
        <v>-6.9999999999999999E-4</v>
      </c>
      <c r="AH14" s="228">
        <v>8.1999999999999993</v>
      </c>
      <c r="AI14" s="228">
        <v>9.5</v>
      </c>
      <c r="AJ14" s="228">
        <v>-1.3</v>
      </c>
      <c r="AK14" s="229">
        <v>5.0000000000000001E-3</v>
      </c>
      <c r="AL14" s="228">
        <v>15.7</v>
      </c>
      <c r="AM14" s="228">
        <v>12.7</v>
      </c>
      <c r="AN14" s="228">
        <v>3</v>
      </c>
      <c r="AO14" s="229">
        <v>9.5999999999999992E-3</v>
      </c>
      <c r="AP14" s="231">
        <v>1630.49</v>
      </c>
      <c r="AQ14" s="231">
        <v>1641.19</v>
      </c>
      <c r="AR14" s="228">
        <v>0</v>
      </c>
      <c r="AS14" s="228">
        <v>144</v>
      </c>
      <c r="AT14" s="228">
        <v>98</v>
      </c>
      <c r="AU14" s="228">
        <v>46</v>
      </c>
      <c r="AV14" s="229">
        <v>0.46439999999999998</v>
      </c>
      <c r="AW14" s="228">
        <v>106</v>
      </c>
      <c r="AX14" s="228">
        <v>70</v>
      </c>
      <c r="AY14" s="228">
        <v>37</v>
      </c>
      <c r="AZ14" s="229">
        <v>0.52949999999999997</v>
      </c>
      <c r="BA14" s="228">
        <v>37</v>
      </c>
      <c r="BB14" s="228">
        <v>28</v>
      </c>
      <c r="BC14" s="228">
        <v>9</v>
      </c>
      <c r="BD14" s="229">
        <v>0.30259999999999998</v>
      </c>
      <c r="BE14" s="228">
        <v>1</v>
      </c>
      <c r="BF14" s="228">
        <v>0</v>
      </c>
      <c r="BG14" s="228">
        <v>0</v>
      </c>
      <c r="BH14" s="229">
        <v>0.66669999999999996</v>
      </c>
      <c r="BI14" s="228">
        <v>372</v>
      </c>
      <c r="BJ14" s="228">
        <v>213</v>
      </c>
      <c r="BK14" s="228">
        <v>159</v>
      </c>
      <c r="BL14" s="229">
        <v>0.74909999999999999</v>
      </c>
      <c r="BM14" s="228">
        <v>134</v>
      </c>
      <c r="BN14" s="228">
        <v>80</v>
      </c>
      <c r="BO14" s="228">
        <v>54</v>
      </c>
      <c r="BP14" s="229">
        <v>0.68210000000000004</v>
      </c>
      <c r="BQ14" s="228">
        <v>650</v>
      </c>
      <c r="BR14" s="228">
        <v>391</v>
      </c>
      <c r="BS14" s="228">
        <v>259</v>
      </c>
      <c r="BT14" s="229">
        <v>0.66379999999999995</v>
      </c>
      <c r="BU14" s="230">
        <v>359116</v>
      </c>
      <c r="BV14" s="230">
        <v>272240</v>
      </c>
      <c r="BW14" s="230">
        <v>86876</v>
      </c>
      <c r="BX14" s="229">
        <v>0.31909999999999999</v>
      </c>
      <c r="BY14" s="230">
        <v>1090</v>
      </c>
      <c r="BZ14" s="230">
        <v>1069</v>
      </c>
      <c r="CA14" s="228">
        <v>21</v>
      </c>
      <c r="CB14" s="229">
        <v>1.9199999999999998E-2</v>
      </c>
      <c r="CC14" s="230">
        <v>1028</v>
      </c>
      <c r="CD14" s="230">
        <v>1029</v>
      </c>
      <c r="CE14" s="228">
        <v>-1</v>
      </c>
      <c r="CF14" s="229">
        <v>-8.0000000000000004E-4</v>
      </c>
      <c r="CG14" s="228">
        <v>60</v>
      </c>
      <c r="CH14" s="228">
        <v>39</v>
      </c>
      <c r="CI14" s="228">
        <v>21</v>
      </c>
      <c r="CJ14" s="229">
        <v>0.5464</v>
      </c>
      <c r="CK14" s="228">
        <v>2</v>
      </c>
      <c r="CL14" s="228">
        <v>1</v>
      </c>
      <c r="CM14" s="228">
        <v>0</v>
      </c>
      <c r="CN14" s="229">
        <v>0.16</v>
      </c>
      <c r="CO14" s="228">
        <v>271</v>
      </c>
      <c r="CP14" s="228">
        <v>274</v>
      </c>
      <c r="CQ14" s="228">
        <v>-4</v>
      </c>
      <c r="CR14" s="229">
        <v>-1.37E-2</v>
      </c>
      <c r="CS14" s="228">
        <v>296</v>
      </c>
      <c r="CT14" s="228">
        <v>288</v>
      </c>
      <c r="CU14" s="228">
        <v>8</v>
      </c>
      <c r="CV14" s="229">
        <v>2.6499999999999999E-2</v>
      </c>
      <c r="CW14" s="230">
        <v>1656</v>
      </c>
      <c r="CX14" s="230">
        <v>1632</v>
      </c>
      <c r="CY14" s="228">
        <v>24</v>
      </c>
      <c r="CZ14" s="229">
        <v>1.49E-2</v>
      </c>
      <c r="DA14" s="228">
        <v>23.3</v>
      </c>
      <c r="DB14" s="228">
        <v>24.13</v>
      </c>
      <c r="DC14" s="228">
        <v>-0.83</v>
      </c>
      <c r="DD14" s="228">
        <v>-0.83</v>
      </c>
      <c r="DE14" s="228">
        <v>37.299999999999997</v>
      </c>
      <c r="DF14" s="228">
        <v>37.4</v>
      </c>
      <c r="DG14" s="228">
        <v>-14</v>
      </c>
      <c r="DH14" s="228">
        <v>-0.1</v>
      </c>
      <c r="DI14" s="228">
        <v>22.93</v>
      </c>
      <c r="DJ14" s="228">
        <v>23.01</v>
      </c>
      <c r="DK14" s="228">
        <v>-0.08</v>
      </c>
      <c r="DL14" s="228">
        <v>-0.08</v>
      </c>
      <c r="DM14" s="228">
        <v>24.32</v>
      </c>
      <c r="DN14" s="228">
        <v>27.11</v>
      </c>
      <c r="DO14" s="228">
        <v>-2.79</v>
      </c>
      <c r="DP14" s="228">
        <v>-2.79</v>
      </c>
      <c r="DQ14" s="228">
        <v>1.0900000000000001</v>
      </c>
      <c r="DR14" s="228">
        <v>1.05</v>
      </c>
      <c r="DS14" s="228">
        <v>0.04</v>
      </c>
      <c r="DT14" s="229">
        <v>3.8100000000000002E-2</v>
      </c>
      <c r="DU14" s="231">
        <v>1700</v>
      </c>
      <c r="DV14" s="231">
        <v>1600</v>
      </c>
      <c r="DW14" s="228">
        <v>0.36</v>
      </c>
      <c r="DX14" s="228">
        <v>0.37</v>
      </c>
      <c r="DY14" s="228">
        <v>-0.01</v>
      </c>
      <c r="DZ14" s="229">
        <v>-2.7E-2</v>
      </c>
      <c r="EA14" s="229">
        <v>5.6399999999999999E-2</v>
      </c>
      <c r="EB14" s="230">
        <v>246400</v>
      </c>
      <c r="EC14" s="229">
        <v>5.7999999999999996E-3</v>
      </c>
      <c r="ED14" s="229">
        <v>5.6399999999999999E-2</v>
      </c>
      <c r="EE14" s="228">
        <v>10.7</v>
      </c>
      <c r="EF14" s="229">
        <v>6.6E-3</v>
      </c>
      <c r="EG14" s="230">
        <v>208349</v>
      </c>
      <c r="EH14" s="230">
        <v>147018</v>
      </c>
      <c r="EI14" s="229">
        <v>0.41720000000000002</v>
      </c>
      <c r="EJ14" s="229">
        <v>0.58020000000000005</v>
      </c>
      <c r="EK14" s="228">
        <v>382.61</v>
      </c>
      <c r="EL14" s="228">
        <v>130.61000000000001</v>
      </c>
      <c r="EM14" s="228">
        <v>144.57</v>
      </c>
      <c r="EN14" s="228">
        <v>0</v>
      </c>
      <c r="EO14" s="228">
        <v>657.79</v>
      </c>
      <c r="EP14" s="228">
        <v>392.13</v>
      </c>
      <c r="EQ14" s="228">
        <v>265.66000000000003</v>
      </c>
      <c r="ER14" s="229">
        <v>0.67749999999999999</v>
      </c>
      <c r="ES14" s="228">
        <v>276.32</v>
      </c>
      <c r="ET14" s="228">
        <v>285.86</v>
      </c>
      <c r="EU14" s="231">
        <v>1090.19</v>
      </c>
      <c r="EV14" s="231">
        <v>39789203</v>
      </c>
      <c r="EW14" s="231">
        <v>1652.37</v>
      </c>
      <c r="EX14" s="231">
        <v>1626.82</v>
      </c>
      <c r="EY14" s="228">
        <v>25.55</v>
      </c>
      <c r="EZ14" s="229">
        <v>1.5699999999999999E-2</v>
      </c>
      <c r="FA14" s="229">
        <v>0.25580000000000003</v>
      </c>
      <c r="FB14" s="227" t="s">
        <v>555</v>
      </c>
      <c r="FC14">
        <f t="shared" si="0"/>
        <v>62</v>
      </c>
    </row>
    <row r="15" spans="1:159" ht="17.25" thickBot="1" x14ac:dyDescent="0.3">
      <c r="A15" s="226">
        <v>45889</v>
      </c>
      <c r="B15" s="227" t="s">
        <v>170</v>
      </c>
      <c r="C15" s="227" t="s">
        <v>165</v>
      </c>
      <c r="D15" s="228">
        <v>125</v>
      </c>
      <c r="E15" s="228">
        <v>8</v>
      </c>
      <c r="F15" s="231">
        <v>7885.5</v>
      </c>
      <c r="G15" s="231">
        <v>7847.5</v>
      </c>
      <c r="H15" s="228">
        <v>38</v>
      </c>
      <c r="I15" s="229">
        <v>4.7999999999999996E-3</v>
      </c>
      <c r="J15" s="231">
        <v>7883</v>
      </c>
      <c r="K15" s="231">
        <v>7823.5</v>
      </c>
      <c r="L15" s="228">
        <v>59.5</v>
      </c>
      <c r="M15" s="229">
        <v>7.6E-3</v>
      </c>
      <c r="N15" s="231">
        <v>7885.5</v>
      </c>
      <c r="O15" s="231">
        <v>7847.5</v>
      </c>
      <c r="P15" s="228">
        <v>38</v>
      </c>
      <c r="Q15" s="229">
        <v>4.7999999999999996E-3</v>
      </c>
      <c r="R15" s="231">
        <v>7931.5</v>
      </c>
      <c r="S15" s="231">
        <v>7892</v>
      </c>
      <c r="T15" s="228">
        <v>39.5</v>
      </c>
      <c r="U15" s="229">
        <v>5.0000000000000001E-3</v>
      </c>
      <c r="V15" s="231">
        <v>7969</v>
      </c>
      <c r="W15" s="231">
        <v>7930</v>
      </c>
      <c r="X15" s="228">
        <v>39</v>
      </c>
      <c r="Y15" s="229">
        <v>4.8999999999999998E-3</v>
      </c>
      <c r="Z15" s="228">
        <v>2.5</v>
      </c>
      <c r="AA15" s="228">
        <v>24</v>
      </c>
      <c r="AB15" s="228">
        <v>-21.5</v>
      </c>
      <c r="AC15" s="229">
        <v>2.9999999999999997E-4</v>
      </c>
      <c r="AD15" s="228">
        <v>2.5</v>
      </c>
      <c r="AE15" s="228">
        <v>24</v>
      </c>
      <c r="AF15" s="228">
        <v>-21.5</v>
      </c>
      <c r="AG15" s="229">
        <v>2.9999999999999997E-4</v>
      </c>
      <c r="AH15" s="228">
        <v>48.5</v>
      </c>
      <c r="AI15" s="228">
        <v>68.5</v>
      </c>
      <c r="AJ15" s="228">
        <v>-20</v>
      </c>
      <c r="AK15" s="229">
        <v>6.1999999999999998E-3</v>
      </c>
      <c r="AL15" s="228">
        <v>86</v>
      </c>
      <c r="AM15" s="228">
        <v>106.5</v>
      </c>
      <c r="AN15" s="228">
        <v>-20.5</v>
      </c>
      <c r="AO15" s="229">
        <v>1.09E-2</v>
      </c>
      <c r="AP15" s="231">
        <v>7889.41</v>
      </c>
      <c r="AQ15" s="231">
        <v>7936.83</v>
      </c>
      <c r="AR15" s="228">
        <v>0</v>
      </c>
      <c r="AS15" s="228">
        <v>449</v>
      </c>
      <c r="AT15" s="228">
        <v>266</v>
      </c>
      <c r="AU15" s="228">
        <v>183</v>
      </c>
      <c r="AV15" s="229">
        <v>0.68820000000000003</v>
      </c>
      <c r="AW15" s="228">
        <v>380</v>
      </c>
      <c r="AX15" s="228">
        <v>204</v>
      </c>
      <c r="AY15" s="228">
        <v>177</v>
      </c>
      <c r="AZ15" s="229">
        <v>0.86650000000000005</v>
      </c>
      <c r="BA15" s="228">
        <v>64</v>
      </c>
      <c r="BB15" s="228">
        <v>58</v>
      </c>
      <c r="BC15" s="228">
        <v>6</v>
      </c>
      <c r="BD15" s="229">
        <v>0.1043</v>
      </c>
      <c r="BE15" s="228">
        <v>5</v>
      </c>
      <c r="BF15" s="228">
        <v>4</v>
      </c>
      <c r="BG15" s="228">
        <v>0</v>
      </c>
      <c r="BH15" s="229">
        <v>6.8199999999999997E-2</v>
      </c>
      <c r="BI15" s="230">
        <v>3240</v>
      </c>
      <c r="BJ15" s="230">
        <v>1563</v>
      </c>
      <c r="BK15" s="230">
        <v>1678</v>
      </c>
      <c r="BL15" s="229">
        <v>1.0732999999999999</v>
      </c>
      <c r="BM15" s="230">
        <v>2057</v>
      </c>
      <c r="BN15" s="230">
        <v>1454</v>
      </c>
      <c r="BO15" s="228">
        <v>603</v>
      </c>
      <c r="BP15" s="229">
        <v>0.4143</v>
      </c>
      <c r="BQ15" s="230">
        <v>5746</v>
      </c>
      <c r="BR15" s="230">
        <v>3283</v>
      </c>
      <c r="BS15" s="230">
        <v>2463</v>
      </c>
      <c r="BT15" s="229">
        <v>0.75019999999999998</v>
      </c>
      <c r="BU15" s="230">
        <v>470677</v>
      </c>
      <c r="BV15" s="230">
        <v>407383</v>
      </c>
      <c r="BW15" s="230">
        <v>63294</v>
      </c>
      <c r="BX15" s="229">
        <v>0.15540000000000001</v>
      </c>
      <c r="BY15" s="230">
        <v>2700</v>
      </c>
      <c r="BZ15" s="230">
        <v>2789</v>
      </c>
      <c r="CA15" s="228">
        <v>-90</v>
      </c>
      <c r="CB15" s="229">
        <v>-3.2199999999999999E-2</v>
      </c>
      <c r="CC15" s="230">
        <v>2460</v>
      </c>
      <c r="CD15" s="230">
        <v>2564</v>
      </c>
      <c r="CE15" s="228">
        <v>-104</v>
      </c>
      <c r="CF15" s="229">
        <v>-4.0500000000000001E-2</v>
      </c>
      <c r="CG15" s="228">
        <v>219</v>
      </c>
      <c r="CH15" s="228">
        <v>204</v>
      </c>
      <c r="CI15" s="228">
        <v>15</v>
      </c>
      <c r="CJ15" s="229">
        <v>7.3800000000000004E-2</v>
      </c>
      <c r="CK15" s="228">
        <v>20</v>
      </c>
      <c r="CL15" s="228">
        <v>21</v>
      </c>
      <c r="CM15" s="228">
        <v>-1</v>
      </c>
      <c r="CN15" s="229">
        <v>-5.0700000000000002E-2</v>
      </c>
      <c r="CO15" s="230">
        <v>1612</v>
      </c>
      <c r="CP15" s="230">
        <v>1597</v>
      </c>
      <c r="CQ15" s="228">
        <v>15</v>
      </c>
      <c r="CR15" s="229">
        <v>9.2999999999999992E-3</v>
      </c>
      <c r="CS15" s="230">
        <v>1905</v>
      </c>
      <c r="CT15" s="230">
        <v>1799</v>
      </c>
      <c r="CU15" s="228">
        <v>106</v>
      </c>
      <c r="CV15" s="229">
        <v>5.8999999999999997E-2</v>
      </c>
      <c r="CW15" s="230">
        <v>6216</v>
      </c>
      <c r="CX15" s="230">
        <v>6185</v>
      </c>
      <c r="CY15" s="228">
        <v>31</v>
      </c>
      <c r="CZ15" s="229">
        <v>5.0000000000000001E-3</v>
      </c>
      <c r="DA15" s="228">
        <v>20.79</v>
      </c>
      <c r="DB15" s="228">
        <v>21.67</v>
      </c>
      <c r="DC15" s="228">
        <v>-0.88</v>
      </c>
      <c r="DD15" s="228">
        <v>-0.88</v>
      </c>
      <c r="DE15" s="228">
        <v>28.05</v>
      </c>
      <c r="DF15" s="228">
        <v>28.1</v>
      </c>
      <c r="DG15" s="228">
        <v>-7.26</v>
      </c>
      <c r="DH15" s="228">
        <v>-0.05</v>
      </c>
      <c r="DI15" s="228">
        <v>19.649999999999999</v>
      </c>
      <c r="DJ15" s="228">
        <v>19.97</v>
      </c>
      <c r="DK15" s="228">
        <v>-0.32</v>
      </c>
      <c r="DL15" s="228">
        <v>-0.32</v>
      </c>
      <c r="DM15" s="228">
        <v>22.58</v>
      </c>
      <c r="DN15" s="228">
        <v>23.5</v>
      </c>
      <c r="DO15" s="228">
        <v>-0.92</v>
      </c>
      <c r="DP15" s="228">
        <v>-0.92</v>
      </c>
      <c r="DQ15" s="228">
        <v>1.18</v>
      </c>
      <c r="DR15" s="228">
        <v>1.1299999999999999</v>
      </c>
      <c r="DS15" s="228">
        <v>0.05</v>
      </c>
      <c r="DT15" s="229">
        <v>4.4200000000000003E-2</v>
      </c>
      <c r="DU15" s="231">
        <v>7900</v>
      </c>
      <c r="DV15" s="231">
        <v>7600</v>
      </c>
      <c r="DW15" s="228">
        <v>0.63</v>
      </c>
      <c r="DX15" s="228">
        <v>0.93</v>
      </c>
      <c r="DY15" s="228">
        <v>-0.3</v>
      </c>
      <c r="DZ15" s="229">
        <v>-0.3226</v>
      </c>
      <c r="EA15" s="229">
        <v>8.8800000000000004E-2</v>
      </c>
      <c r="EB15" s="230">
        <v>286250</v>
      </c>
      <c r="EC15" s="229">
        <v>5.7999999999999996E-3</v>
      </c>
      <c r="ED15" s="229">
        <v>8.8800000000000004E-2</v>
      </c>
      <c r="EE15" s="228">
        <v>47.42</v>
      </c>
      <c r="EF15" s="229">
        <v>6.0000000000000001E-3</v>
      </c>
      <c r="EG15" s="230">
        <v>317292</v>
      </c>
      <c r="EH15" s="230">
        <v>296233</v>
      </c>
      <c r="EI15" s="229">
        <v>7.1099999999999997E-2</v>
      </c>
      <c r="EJ15" s="229">
        <v>0.67410000000000003</v>
      </c>
      <c r="EK15" s="231">
        <v>3312.63</v>
      </c>
      <c r="EL15" s="231">
        <v>2017.38</v>
      </c>
      <c r="EM15" s="228">
        <v>449.44</v>
      </c>
      <c r="EN15" s="228">
        <v>0</v>
      </c>
      <c r="EO15" s="231">
        <v>5779.46</v>
      </c>
      <c r="EP15" s="231">
        <v>3272.63</v>
      </c>
      <c r="EQ15" s="231">
        <v>2506.83</v>
      </c>
      <c r="ER15" s="229">
        <v>0.76600000000000001</v>
      </c>
      <c r="ES15" s="231">
        <v>1625.46</v>
      </c>
      <c r="ET15" s="231">
        <v>1803.41</v>
      </c>
      <c r="EU15" s="231">
        <v>2701.19</v>
      </c>
      <c r="EV15" s="231">
        <v>20320057</v>
      </c>
      <c r="EW15" s="231">
        <v>6130.07</v>
      </c>
      <c r="EX15" s="231">
        <v>6081.01</v>
      </c>
      <c r="EY15" s="228">
        <v>49.06</v>
      </c>
      <c r="EZ15" s="229">
        <v>8.0999999999999996E-3</v>
      </c>
      <c r="FA15" s="229">
        <v>0.38800000000000001</v>
      </c>
      <c r="FB15" s="227" t="s">
        <v>556</v>
      </c>
      <c r="FC15">
        <f t="shared" si="0"/>
        <v>240</v>
      </c>
    </row>
    <row r="16" spans="1:159" ht="17.25" thickBot="1" x14ac:dyDescent="0.3">
      <c r="A16" s="226">
        <v>45889</v>
      </c>
      <c r="B16" s="227" t="s">
        <v>162</v>
      </c>
      <c r="C16" s="227" t="s">
        <v>167</v>
      </c>
      <c r="D16" s="228">
        <v>5000</v>
      </c>
      <c r="E16" s="228">
        <v>8</v>
      </c>
      <c r="F16" s="228">
        <v>133.13</v>
      </c>
      <c r="G16" s="228">
        <v>133.32</v>
      </c>
      <c r="H16" s="228">
        <v>-0.19</v>
      </c>
      <c r="I16" s="229">
        <v>-1.4E-3</v>
      </c>
      <c r="J16" s="228">
        <v>133.1</v>
      </c>
      <c r="K16" s="228">
        <v>133.28</v>
      </c>
      <c r="L16" s="228">
        <v>-0.18</v>
      </c>
      <c r="M16" s="229">
        <v>-1.4E-3</v>
      </c>
      <c r="N16" s="228">
        <v>133.13</v>
      </c>
      <c r="O16" s="228">
        <v>133.32</v>
      </c>
      <c r="P16" s="228">
        <v>-0.19</v>
      </c>
      <c r="Q16" s="229">
        <v>-1.4E-3</v>
      </c>
      <c r="R16" s="228">
        <v>133.88</v>
      </c>
      <c r="S16" s="228">
        <v>134.02000000000001</v>
      </c>
      <c r="T16" s="228">
        <v>-0.14000000000000001</v>
      </c>
      <c r="U16" s="229">
        <v>-1E-3</v>
      </c>
      <c r="V16" s="228">
        <v>134.33000000000001</v>
      </c>
      <c r="W16" s="228">
        <v>134.37</v>
      </c>
      <c r="X16" s="228">
        <v>-0.04</v>
      </c>
      <c r="Y16" s="229">
        <v>-2.9999999999999997E-4</v>
      </c>
      <c r="Z16" s="228">
        <v>0.03</v>
      </c>
      <c r="AA16" s="228">
        <v>0.04</v>
      </c>
      <c r="AB16" s="228">
        <v>-0.01</v>
      </c>
      <c r="AC16" s="229">
        <v>2.0000000000000001E-4</v>
      </c>
      <c r="AD16" s="228">
        <v>0.03</v>
      </c>
      <c r="AE16" s="228">
        <v>0.04</v>
      </c>
      <c r="AF16" s="228">
        <v>-0.01</v>
      </c>
      <c r="AG16" s="229">
        <v>2.0000000000000001E-4</v>
      </c>
      <c r="AH16" s="228">
        <v>0.78</v>
      </c>
      <c r="AI16" s="228">
        <v>0.74</v>
      </c>
      <c r="AJ16" s="228">
        <v>0.04</v>
      </c>
      <c r="AK16" s="229">
        <v>5.8999999999999999E-3</v>
      </c>
      <c r="AL16" s="228">
        <v>1.23</v>
      </c>
      <c r="AM16" s="228">
        <v>1.0900000000000001</v>
      </c>
      <c r="AN16" s="228">
        <v>0.14000000000000001</v>
      </c>
      <c r="AO16" s="229">
        <v>9.1999999999999998E-3</v>
      </c>
      <c r="AP16" s="228">
        <v>133.21</v>
      </c>
      <c r="AQ16" s="228">
        <v>134.1</v>
      </c>
      <c r="AR16" s="228">
        <v>0</v>
      </c>
      <c r="AS16" s="228">
        <v>366</v>
      </c>
      <c r="AT16" s="228">
        <v>974</v>
      </c>
      <c r="AU16" s="228">
        <v>-608</v>
      </c>
      <c r="AV16" s="229">
        <v>-0.62450000000000006</v>
      </c>
      <c r="AW16" s="228">
        <v>297</v>
      </c>
      <c r="AX16" s="228">
        <v>830</v>
      </c>
      <c r="AY16" s="228">
        <v>-533</v>
      </c>
      <c r="AZ16" s="229">
        <v>-0.64190000000000003</v>
      </c>
      <c r="BA16" s="228">
        <v>65</v>
      </c>
      <c r="BB16" s="228">
        <v>134</v>
      </c>
      <c r="BC16" s="228">
        <v>-68</v>
      </c>
      <c r="BD16" s="229">
        <v>-0.51249999999999996</v>
      </c>
      <c r="BE16" s="228">
        <v>3</v>
      </c>
      <c r="BF16" s="228">
        <v>10</v>
      </c>
      <c r="BG16" s="228">
        <v>-7</v>
      </c>
      <c r="BH16" s="229">
        <v>-0.66890000000000005</v>
      </c>
      <c r="BI16" s="230">
        <v>1420</v>
      </c>
      <c r="BJ16" s="230">
        <v>4280</v>
      </c>
      <c r="BK16" s="230">
        <v>-2860</v>
      </c>
      <c r="BL16" s="229">
        <v>-0.66830000000000001</v>
      </c>
      <c r="BM16" s="228">
        <v>950</v>
      </c>
      <c r="BN16" s="230">
        <v>2495</v>
      </c>
      <c r="BO16" s="230">
        <v>-1546</v>
      </c>
      <c r="BP16" s="229">
        <v>-0.61939999999999995</v>
      </c>
      <c r="BQ16" s="230">
        <v>2735</v>
      </c>
      <c r="BR16" s="230">
        <v>7749</v>
      </c>
      <c r="BS16" s="230">
        <v>-5014</v>
      </c>
      <c r="BT16" s="229">
        <v>-0.64700000000000002</v>
      </c>
      <c r="BU16" s="230">
        <v>21754007</v>
      </c>
      <c r="BV16" s="230">
        <v>45277396</v>
      </c>
      <c r="BW16" s="230">
        <v>-23523389</v>
      </c>
      <c r="BX16" s="229">
        <v>-0.51949999999999996</v>
      </c>
      <c r="BY16" s="230">
        <v>1426</v>
      </c>
      <c r="BZ16" s="230">
        <v>1419</v>
      </c>
      <c r="CA16" s="228">
        <v>7</v>
      </c>
      <c r="CB16" s="229">
        <v>4.7000000000000002E-3</v>
      </c>
      <c r="CC16" s="230">
        <v>1307</v>
      </c>
      <c r="CD16" s="230">
        <v>1330</v>
      </c>
      <c r="CE16" s="228">
        <v>-23</v>
      </c>
      <c r="CF16" s="229">
        <v>-1.7299999999999999E-2</v>
      </c>
      <c r="CG16" s="228">
        <v>113</v>
      </c>
      <c r="CH16" s="228">
        <v>83</v>
      </c>
      <c r="CI16" s="228">
        <v>29</v>
      </c>
      <c r="CJ16" s="229">
        <v>0.3538</v>
      </c>
      <c r="CK16" s="228">
        <v>7</v>
      </c>
      <c r="CL16" s="228">
        <v>6</v>
      </c>
      <c r="CM16" s="228">
        <v>0</v>
      </c>
      <c r="CN16" s="229">
        <v>3.1300000000000001E-2</v>
      </c>
      <c r="CO16" s="228">
        <v>689</v>
      </c>
      <c r="CP16" s="228">
        <v>694</v>
      </c>
      <c r="CQ16" s="228">
        <v>-6</v>
      </c>
      <c r="CR16" s="229">
        <v>-8.0000000000000002E-3</v>
      </c>
      <c r="CS16" s="228">
        <v>758</v>
      </c>
      <c r="CT16" s="228">
        <v>752</v>
      </c>
      <c r="CU16" s="228">
        <v>6</v>
      </c>
      <c r="CV16" s="229">
        <v>8.0999999999999996E-3</v>
      </c>
      <c r="CW16" s="230">
        <v>2873</v>
      </c>
      <c r="CX16" s="230">
        <v>2866</v>
      </c>
      <c r="CY16" s="228">
        <v>7</v>
      </c>
      <c r="CZ16" s="229">
        <v>2.5999999999999999E-3</v>
      </c>
      <c r="DA16" s="228">
        <v>30.28</v>
      </c>
      <c r="DB16" s="228">
        <v>31.81</v>
      </c>
      <c r="DC16" s="228">
        <v>-1.53</v>
      </c>
      <c r="DD16" s="228">
        <v>-1.53</v>
      </c>
      <c r="DE16" s="228">
        <v>36.43</v>
      </c>
      <c r="DF16" s="228">
        <v>36.520000000000003</v>
      </c>
      <c r="DG16" s="228">
        <v>-6.15</v>
      </c>
      <c r="DH16" s="228">
        <v>-0.09</v>
      </c>
      <c r="DI16" s="228">
        <v>29.7</v>
      </c>
      <c r="DJ16" s="228">
        <v>30.81</v>
      </c>
      <c r="DK16" s="228">
        <v>-1.1100000000000001</v>
      </c>
      <c r="DL16" s="228">
        <v>-1.1100000000000001</v>
      </c>
      <c r="DM16" s="228">
        <v>31.14</v>
      </c>
      <c r="DN16" s="228">
        <v>33.520000000000003</v>
      </c>
      <c r="DO16" s="228">
        <v>-2.38</v>
      </c>
      <c r="DP16" s="228">
        <v>-2.38</v>
      </c>
      <c r="DQ16" s="228">
        <v>1.1000000000000001</v>
      </c>
      <c r="DR16" s="228">
        <v>1.08</v>
      </c>
      <c r="DS16" s="228">
        <v>0.02</v>
      </c>
      <c r="DT16" s="229">
        <v>1.8499999999999999E-2</v>
      </c>
      <c r="DU16" s="228">
        <v>135</v>
      </c>
      <c r="DV16" s="228">
        <v>130</v>
      </c>
      <c r="DW16" s="228">
        <v>0.67</v>
      </c>
      <c r="DX16" s="228">
        <v>0.57999999999999996</v>
      </c>
      <c r="DY16" s="228">
        <v>0.09</v>
      </c>
      <c r="DZ16" s="229">
        <v>0.1552</v>
      </c>
      <c r="EA16" s="229">
        <v>8.3699999999999997E-2</v>
      </c>
      <c r="EB16" s="230">
        <v>6740000</v>
      </c>
      <c r="EC16" s="229">
        <v>5.5999999999999999E-3</v>
      </c>
      <c r="ED16" s="229">
        <v>8.3699999999999997E-2</v>
      </c>
      <c r="EE16" s="228">
        <v>0.89</v>
      </c>
      <c r="EF16" s="229">
        <v>6.7000000000000002E-3</v>
      </c>
      <c r="EG16" s="230">
        <v>10338220</v>
      </c>
      <c r="EH16" s="230">
        <v>18809668</v>
      </c>
      <c r="EI16" s="229">
        <v>-0.45040000000000002</v>
      </c>
      <c r="EJ16" s="229">
        <v>0.47520000000000001</v>
      </c>
      <c r="EK16" s="231">
        <v>1473.25</v>
      </c>
      <c r="EL16" s="228">
        <v>935.44</v>
      </c>
      <c r="EM16" s="228">
        <v>366.39</v>
      </c>
      <c r="EN16" s="228">
        <v>0</v>
      </c>
      <c r="EO16" s="231">
        <v>2775.08</v>
      </c>
      <c r="EP16" s="231">
        <v>7777.96</v>
      </c>
      <c r="EQ16" s="231">
        <v>-5002.88</v>
      </c>
      <c r="ER16" s="229">
        <v>-0.64319999999999999</v>
      </c>
      <c r="ES16" s="228">
        <v>689.2</v>
      </c>
      <c r="ET16" s="228">
        <v>709.84</v>
      </c>
      <c r="EU16" s="231">
        <v>1426.92</v>
      </c>
      <c r="EV16" s="231">
        <v>564878806</v>
      </c>
      <c r="EW16" s="231">
        <v>2825.96</v>
      </c>
      <c r="EX16" s="231">
        <v>2816.99</v>
      </c>
      <c r="EY16" s="228">
        <v>8.9700000000000006</v>
      </c>
      <c r="EZ16" s="229">
        <v>3.2000000000000002E-3</v>
      </c>
      <c r="FA16" s="229">
        <v>0.3821</v>
      </c>
      <c r="FB16" s="227" t="s">
        <v>567</v>
      </c>
      <c r="FC16">
        <f t="shared" si="0"/>
        <v>119</v>
      </c>
    </row>
    <row r="17" spans="1:159" ht="17.25" thickBot="1" x14ac:dyDescent="0.3">
      <c r="A17" s="226">
        <v>45889</v>
      </c>
      <c r="B17" s="227" t="s">
        <v>168</v>
      </c>
      <c r="C17" s="227" t="s">
        <v>169</v>
      </c>
      <c r="D17" s="228">
        <v>250</v>
      </c>
      <c r="E17" s="228">
        <v>8</v>
      </c>
      <c r="F17" s="231">
        <v>2569.6</v>
      </c>
      <c r="G17" s="231">
        <v>2579.8000000000002</v>
      </c>
      <c r="H17" s="228">
        <v>-10.199999999999999</v>
      </c>
      <c r="I17" s="229">
        <v>-4.0000000000000001E-3</v>
      </c>
      <c r="J17" s="231">
        <v>2570.1</v>
      </c>
      <c r="K17" s="231">
        <v>2579.4</v>
      </c>
      <c r="L17" s="228">
        <v>-9.3000000000000007</v>
      </c>
      <c r="M17" s="229">
        <v>-3.5999999999999999E-3</v>
      </c>
      <c r="N17" s="231">
        <v>2569.6</v>
      </c>
      <c r="O17" s="231">
        <v>2579.8000000000002</v>
      </c>
      <c r="P17" s="228">
        <v>-10.199999999999999</v>
      </c>
      <c r="Q17" s="229">
        <v>-4.0000000000000001E-3</v>
      </c>
      <c r="R17" s="231">
        <v>2582.8000000000002</v>
      </c>
      <c r="S17" s="231">
        <v>2593.4</v>
      </c>
      <c r="T17" s="228">
        <v>-10.6</v>
      </c>
      <c r="U17" s="229">
        <v>-4.1000000000000003E-3</v>
      </c>
      <c r="V17" s="231">
        <v>2596.8000000000002</v>
      </c>
      <c r="W17" s="231">
        <v>2608.4</v>
      </c>
      <c r="X17" s="228">
        <v>-11.6</v>
      </c>
      <c r="Y17" s="229">
        <v>-4.4000000000000003E-3</v>
      </c>
      <c r="Z17" s="228">
        <v>-0.5</v>
      </c>
      <c r="AA17" s="228">
        <v>0.4</v>
      </c>
      <c r="AB17" s="228">
        <v>-0.9</v>
      </c>
      <c r="AC17" s="229">
        <v>-2.0000000000000001E-4</v>
      </c>
      <c r="AD17" s="228">
        <v>-0.5</v>
      </c>
      <c r="AE17" s="228">
        <v>0.4</v>
      </c>
      <c r="AF17" s="228">
        <v>-0.9</v>
      </c>
      <c r="AG17" s="229">
        <v>-2.0000000000000001E-4</v>
      </c>
      <c r="AH17" s="228">
        <v>12.7</v>
      </c>
      <c r="AI17" s="228">
        <v>14</v>
      </c>
      <c r="AJ17" s="228">
        <v>-1.3</v>
      </c>
      <c r="AK17" s="229">
        <v>4.8999999999999998E-3</v>
      </c>
      <c r="AL17" s="228">
        <v>26.7</v>
      </c>
      <c r="AM17" s="228">
        <v>29</v>
      </c>
      <c r="AN17" s="228">
        <v>-2.2999999999999998</v>
      </c>
      <c r="AO17" s="229">
        <v>1.04E-2</v>
      </c>
      <c r="AP17" s="231">
        <v>2570.41</v>
      </c>
      <c r="AQ17" s="231">
        <v>2584.0100000000002</v>
      </c>
      <c r="AR17" s="228">
        <v>0</v>
      </c>
      <c r="AS17" s="228">
        <v>355</v>
      </c>
      <c r="AT17" s="228">
        <v>480</v>
      </c>
      <c r="AU17" s="228">
        <v>-125</v>
      </c>
      <c r="AV17" s="229">
        <v>-0.26090000000000002</v>
      </c>
      <c r="AW17" s="228">
        <v>297</v>
      </c>
      <c r="AX17" s="228">
        <v>404</v>
      </c>
      <c r="AY17" s="228">
        <v>-106</v>
      </c>
      <c r="AZ17" s="229">
        <v>-0.2636</v>
      </c>
      <c r="BA17" s="228">
        <v>55</v>
      </c>
      <c r="BB17" s="228">
        <v>71</v>
      </c>
      <c r="BC17" s="228">
        <v>-16</v>
      </c>
      <c r="BD17" s="229">
        <v>-0.21959999999999999</v>
      </c>
      <c r="BE17" s="228">
        <v>2</v>
      </c>
      <c r="BF17" s="228">
        <v>5</v>
      </c>
      <c r="BG17" s="228">
        <v>-3</v>
      </c>
      <c r="BH17" s="229">
        <v>-0.62819999999999998</v>
      </c>
      <c r="BI17" s="228">
        <v>988</v>
      </c>
      <c r="BJ17" s="230">
        <v>1949</v>
      </c>
      <c r="BK17" s="228">
        <v>-961</v>
      </c>
      <c r="BL17" s="229">
        <v>-0.49309999999999998</v>
      </c>
      <c r="BM17" s="228">
        <v>589</v>
      </c>
      <c r="BN17" s="230">
        <v>1012</v>
      </c>
      <c r="BO17" s="228">
        <v>-424</v>
      </c>
      <c r="BP17" s="229">
        <v>-0.41849999999999998</v>
      </c>
      <c r="BQ17" s="230">
        <v>1931</v>
      </c>
      <c r="BR17" s="230">
        <v>3441</v>
      </c>
      <c r="BS17" s="230">
        <v>-1510</v>
      </c>
      <c r="BT17" s="229">
        <v>-0.43880000000000002</v>
      </c>
      <c r="BU17" s="230">
        <v>357165</v>
      </c>
      <c r="BV17" s="230">
        <v>722677</v>
      </c>
      <c r="BW17" s="230">
        <v>-365512</v>
      </c>
      <c r="BX17" s="229">
        <v>-0.50580000000000003</v>
      </c>
      <c r="BY17" s="230">
        <v>3656</v>
      </c>
      <c r="BZ17" s="230">
        <v>3563</v>
      </c>
      <c r="CA17" s="228">
        <v>93</v>
      </c>
      <c r="CB17" s="229">
        <v>2.5999999999999999E-2</v>
      </c>
      <c r="CC17" s="230">
        <v>3414</v>
      </c>
      <c r="CD17" s="230">
        <v>3358</v>
      </c>
      <c r="CE17" s="228">
        <v>56</v>
      </c>
      <c r="CF17" s="229">
        <v>1.6799999999999999E-2</v>
      </c>
      <c r="CG17" s="228">
        <v>229</v>
      </c>
      <c r="CH17" s="228">
        <v>194</v>
      </c>
      <c r="CI17" s="228">
        <v>36</v>
      </c>
      <c r="CJ17" s="229">
        <v>0.18410000000000001</v>
      </c>
      <c r="CK17" s="228">
        <v>13</v>
      </c>
      <c r="CL17" s="228">
        <v>12</v>
      </c>
      <c r="CM17" s="228">
        <v>1</v>
      </c>
      <c r="CN17" s="229">
        <v>7.0699999999999999E-2</v>
      </c>
      <c r="CO17" s="230">
        <v>1697</v>
      </c>
      <c r="CP17" s="230">
        <v>1732</v>
      </c>
      <c r="CQ17" s="228">
        <v>-36</v>
      </c>
      <c r="CR17" s="229">
        <v>-2.06E-2</v>
      </c>
      <c r="CS17" s="230">
        <v>1068</v>
      </c>
      <c r="CT17" s="230">
        <v>1050</v>
      </c>
      <c r="CU17" s="228">
        <v>18</v>
      </c>
      <c r="CV17" s="229">
        <v>1.7399999999999999E-2</v>
      </c>
      <c r="CW17" s="230">
        <v>6421</v>
      </c>
      <c r="CX17" s="230">
        <v>6345</v>
      </c>
      <c r="CY17" s="228">
        <v>75</v>
      </c>
      <c r="CZ17" s="229">
        <v>1.1900000000000001E-2</v>
      </c>
      <c r="DA17" s="228">
        <v>18.87</v>
      </c>
      <c r="DB17" s="228">
        <v>18.63</v>
      </c>
      <c r="DC17" s="228">
        <v>0.24</v>
      </c>
      <c r="DD17" s="228">
        <v>0.24</v>
      </c>
      <c r="DE17" s="228">
        <v>24.11</v>
      </c>
      <c r="DF17" s="228">
        <v>24.16</v>
      </c>
      <c r="DG17" s="228">
        <v>-5.24</v>
      </c>
      <c r="DH17" s="228">
        <v>-0.05</v>
      </c>
      <c r="DI17" s="228">
        <v>18.78</v>
      </c>
      <c r="DJ17" s="228">
        <v>18.48</v>
      </c>
      <c r="DK17" s="228">
        <v>0.3</v>
      </c>
      <c r="DL17" s="228">
        <v>0.3</v>
      </c>
      <c r="DM17" s="228">
        <v>19.03</v>
      </c>
      <c r="DN17" s="228">
        <v>18.899999999999999</v>
      </c>
      <c r="DO17" s="228">
        <v>0.13</v>
      </c>
      <c r="DP17" s="228">
        <v>0.13</v>
      </c>
      <c r="DQ17" s="228">
        <v>0.63</v>
      </c>
      <c r="DR17" s="228">
        <v>0.61</v>
      </c>
      <c r="DS17" s="228">
        <v>0.02</v>
      </c>
      <c r="DT17" s="229">
        <v>3.2800000000000003E-2</v>
      </c>
      <c r="DU17" s="231">
        <v>2540</v>
      </c>
      <c r="DV17" s="231">
        <v>2400</v>
      </c>
      <c r="DW17" s="228">
        <v>0.6</v>
      </c>
      <c r="DX17" s="228">
        <v>0.52</v>
      </c>
      <c r="DY17" s="228">
        <v>0.08</v>
      </c>
      <c r="DZ17" s="229">
        <v>0.15379999999999999</v>
      </c>
      <c r="EA17" s="229">
        <v>6.6199999999999995E-2</v>
      </c>
      <c r="EB17" s="230">
        <v>799500</v>
      </c>
      <c r="EC17" s="229">
        <v>5.1000000000000004E-3</v>
      </c>
      <c r="ED17" s="229">
        <v>6.6199999999999995E-2</v>
      </c>
      <c r="EE17" s="228">
        <v>13.6</v>
      </c>
      <c r="EF17" s="229">
        <v>5.3E-3</v>
      </c>
      <c r="EG17" s="230">
        <v>227336</v>
      </c>
      <c r="EH17" s="230">
        <v>362782</v>
      </c>
      <c r="EI17" s="229">
        <v>-0.37340000000000001</v>
      </c>
      <c r="EJ17" s="229">
        <v>0.63649999999999995</v>
      </c>
      <c r="EK17" s="231">
        <v>1016.86</v>
      </c>
      <c r="EL17" s="228">
        <v>577.12</v>
      </c>
      <c r="EM17" s="228">
        <v>354.97</v>
      </c>
      <c r="EN17" s="228">
        <v>0</v>
      </c>
      <c r="EO17" s="231">
        <v>1948.94</v>
      </c>
      <c r="EP17" s="231">
        <v>3490.73</v>
      </c>
      <c r="EQ17" s="231">
        <v>-1541.79</v>
      </c>
      <c r="ER17" s="229">
        <v>-0.44169999999999998</v>
      </c>
      <c r="ES17" s="231">
        <v>1699.35</v>
      </c>
      <c r="ET17" s="231">
        <v>1012.71</v>
      </c>
      <c r="EU17" s="231">
        <v>3657.27</v>
      </c>
      <c r="EV17" s="231">
        <v>90755647</v>
      </c>
      <c r="EW17" s="231">
        <v>6369.34</v>
      </c>
      <c r="EX17" s="231">
        <v>6310.74</v>
      </c>
      <c r="EY17" s="228">
        <v>58.6</v>
      </c>
      <c r="EZ17" s="229">
        <v>9.2999999999999992E-3</v>
      </c>
      <c r="FA17" s="229">
        <v>0.27529999999999999</v>
      </c>
      <c r="FB17" s="227" t="s">
        <v>567</v>
      </c>
      <c r="FC17">
        <f t="shared" si="0"/>
        <v>242</v>
      </c>
    </row>
    <row r="18" spans="1:159" ht="17.25" thickBot="1" x14ac:dyDescent="0.3">
      <c r="A18" s="226">
        <v>45889</v>
      </c>
      <c r="B18" s="227" t="s">
        <v>184</v>
      </c>
      <c r="C18" s="227" t="s">
        <v>503</v>
      </c>
      <c r="D18" s="228">
        <v>425</v>
      </c>
      <c r="E18" s="228">
        <v>8</v>
      </c>
      <c r="F18" s="231">
        <v>1399.1</v>
      </c>
      <c r="G18" s="231">
        <v>1371.5</v>
      </c>
      <c r="H18" s="228">
        <v>27.6</v>
      </c>
      <c r="I18" s="229">
        <v>2.01E-2</v>
      </c>
      <c r="J18" s="231">
        <v>1393.8</v>
      </c>
      <c r="K18" s="231">
        <v>1366.1</v>
      </c>
      <c r="L18" s="228">
        <v>27.7</v>
      </c>
      <c r="M18" s="229">
        <v>2.0299999999999999E-2</v>
      </c>
      <c r="N18" s="231">
        <v>1399.1</v>
      </c>
      <c r="O18" s="231">
        <v>1371.5</v>
      </c>
      <c r="P18" s="228">
        <v>27.6</v>
      </c>
      <c r="Q18" s="229">
        <v>2.01E-2</v>
      </c>
      <c r="R18" s="231">
        <v>1402.2</v>
      </c>
      <c r="S18" s="231">
        <v>1373.4</v>
      </c>
      <c r="T18" s="228">
        <v>28.8</v>
      </c>
      <c r="U18" s="229">
        <v>2.1000000000000001E-2</v>
      </c>
      <c r="V18" s="231">
        <v>1401.7</v>
      </c>
      <c r="W18" s="231">
        <v>1372.3</v>
      </c>
      <c r="X18" s="228">
        <v>29.4</v>
      </c>
      <c r="Y18" s="229">
        <v>2.1399999999999999E-2</v>
      </c>
      <c r="Z18" s="228">
        <v>5.3</v>
      </c>
      <c r="AA18" s="228">
        <v>5.4</v>
      </c>
      <c r="AB18" s="228">
        <v>-0.1</v>
      </c>
      <c r="AC18" s="229">
        <v>3.8E-3</v>
      </c>
      <c r="AD18" s="228">
        <v>5.3</v>
      </c>
      <c r="AE18" s="228">
        <v>5.4</v>
      </c>
      <c r="AF18" s="228">
        <v>-0.1</v>
      </c>
      <c r="AG18" s="229">
        <v>3.8E-3</v>
      </c>
      <c r="AH18" s="228">
        <v>8.4</v>
      </c>
      <c r="AI18" s="228">
        <v>7.3</v>
      </c>
      <c r="AJ18" s="228">
        <v>1.1000000000000001</v>
      </c>
      <c r="AK18" s="229">
        <v>6.0000000000000001E-3</v>
      </c>
      <c r="AL18" s="228">
        <v>7.9</v>
      </c>
      <c r="AM18" s="228">
        <v>6.2</v>
      </c>
      <c r="AN18" s="228">
        <v>1.7</v>
      </c>
      <c r="AO18" s="229">
        <v>5.7000000000000002E-3</v>
      </c>
      <c r="AP18" s="231">
        <v>1391.22</v>
      </c>
      <c r="AQ18" s="231">
        <v>1392.42</v>
      </c>
      <c r="AR18" s="228">
        <v>0</v>
      </c>
      <c r="AS18" s="228">
        <v>336</v>
      </c>
      <c r="AT18" s="228">
        <v>453</v>
      </c>
      <c r="AU18" s="228">
        <v>-117</v>
      </c>
      <c r="AV18" s="229">
        <v>-0.25850000000000001</v>
      </c>
      <c r="AW18" s="228">
        <v>277</v>
      </c>
      <c r="AX18" s="228">
        <v>370</v>
      </c>
      <c r="AY18" s="228">
        <v>-93</v>
      </c>
      <c r="AZ18" s="229">
        <v>-0.25190000000000001</v>
      </c>
      <c r="BA18" s="228">
        <v>53</v>
      </c>
      <c r="BB18" s="228">
        <v>72</v>
      </c>
      <c r="BC18" s="228">
        <v>-20</v>
      </c>
      <c r="BD18" s="229">
        <v>-0.26989999999999997</v>
      </c>
      <c r="BE18" s="228">
        <v>6</v>
      </c>
      <c r="BF18" s="228">
        <v>10</v>
      </c>
      <c r="BG18" s="228">
        <v>-4</v>
      </c>
      <c r="BH18" s="229">
        <v>-0.41860000000000003</v>
      </c>
      <c r="BI18" s="230">
        <v>1912</v>
      </c>
      <c r="BJ18" s="230">
        <v>1626</v>
      </c>
      <c r="BK18" s="228">
        <v>286</v>
      </c>
      <c r="BL18" s="229">
        <v>0.17560000000000001</v>
      </c>
      <c r="BM18" s="228">
        <v>704</v>
      </c>
      <c r="BN18" s="228">
        <v>785</v>
      </c>
      <c r="BO18" s="228">
        <v>-81</v>
      </c>
      <c r="BP18" s="229">
        <v>-0.1033</v>
      </c>
      <c r="BQ18" s="230">
        <v>2951</v>
      </c>
      <c r="BR18" s="230">
        <v>2864</v>
      </c>
      <c r="BS18" s="228">
        <v>87</v>
      </c>
      <c r="BT18" s="229">
        <v>3.0499999999999999E-2</v>
      </c>
      <c r="BU18" s="230">
        <v>1575452</v>
      </c>
      <c r="BV18" s="230">
        <v>1883130</v>
      </c>
      <c r="BW18" s="230">
        <v>-307678</v>
      </c>
      <c r="BX18" s="229">
        <v>-0.16339999999999999</v>
      </c>
      <c r="BY18" s="230">
        <v>1069</v>
      </c>
      <c r="BZ18" s="230">
        <v>1102</v>
      </c>
      <c r="CA18" s="228">
        <v>-34</v>
      </c>
      <c r="CB18" s="229">
        <v>-3.0700000000000002E-2</v>
      </c>
      <c r="CC18" s="228">
        <v>951</v>
      </c>
      <c r="CD18" s="228">
        <v>988</v>
      </c>
      <c r="CE18" s="228">
        <v>-37</v>
      </c>
      <c r="CF18" s="229">
        <v>-3.6999999999999998E-2</v>
      </c>
      <c r="CG18" s="228">
        <v>103</v>
      </c>
      <c r="CH18" s="228">
        <v>101</v>
      </c>
      <c r="CI18" s="228">
        <v>2</v>
      </c>
      <c r="CJ18" s="229">
        <v>2.3599999999999999E-2</v>
      </c>
      <c r="CK18" s="228">
        <v>14</v>
      </c>
      <c r="CL18" s="228">
        <v>14</v>
      </c>
      <c r="CM18" s="228">
        <v>0</v>
      </c>
      <c r="CN18" s="229">
        <v>2.1299999999999999E-2</v>
      </c>
      <c r="CO18" s="228">
        <v>503</v>
      </c>
      <c r="CP18" s="228">
        <v>502</v>
      </c>
      <c r="CQ18" s="228">
        <v>1</v>
      </c>
      <c r="CR18" s="229">
        <v>1.8E-3</v>
      </c>
      <c r="CS18" s="228">
        <v>449</v>
      </c>
      <c r="CT18" s="228">
        <v>448</v>
      </c>
      <c r="CU18" s="228">
        <v>1</v>
      </c>
      <c r="CV18" s="229">
        <v>1.1999999999999999E-3</v>
      </c>
      <c r="CW18" s="230">
        <v>2020</v>
      </c>
      <c r="CX18" s="230">
        <v>2053</v>
      </c>
      <c r="CY18" s="228">
        <v>-32</v>
      </c>
      <c r="CZ18" s="229">
        <v>-1.5800000000000002E-2</v>
      </c>
      <c r="DA18" s="228">
        <v>26.53</v>
      </c>
      <c r="DB18" s="228">
        <v>26.98</v>
      </c>
      <c r="DC18" s="228">
        <v>-0.45</v>
      </c>
      <c r="DD18" s="228">
        <v>-0.45</v>
      </c>
      <c r="DE18" s="228">
        <v>35.06</v>
      </c>
      <c r="DF18" s="228">
        <v>35.04</v>
      </c>
      <c r="DG18" s="228">
        <v>-8.5299999999999994</v>
      </c>
      <c r="DH18" s="228">
        <v>0.02</v>
      </c>
      <c r="DI18" s="228">
        <v>25.64</v>
      </c>
      <c r="DJ18" s="228">
        <v>26.19</v>
      </c>
      <c r="DK18" s="228">
        <v>-0.55000000000000004</v>
      </c>
      <c r="DL18" s="228">
        <v>-0.55000000000000004</v>
      </c>
      <c r="DM18" s="228">
        <v>28.94</v>
      </c>
      <c r="DN18" s="228">
        <v>28.62</v>
      </c>
      <c r="DO18" s="228">
        <v>0.32</v>
      </c>
      <c r="DP18" s="228">
        <v>0.32</v>
      </c>
      <c r="DQ18" s="228">
        <v>0.89</v>
      </c>
      <c r="DR18" s="228">
        <v>0.89</v>
      </c>
      <c r="DS18" s="228">
        <v>0</v>
      </c>
      <c r="DT18" s="229">
        <v>0</v>
      </c>
      <c r="DU18" s="231">
        <v>1400</v>
      </c>
      <c r="DV18" s="231">
        <v>1300</v>
      </c>
      <c r="DW18" s="228">
        <v>0.37</v>
      </c>
      <c r="DX18" s="228">
        <v>0.48</v>
      </c>
      <c r="DY18" s="228">
        <v>-0.11</v>
      </c>
      <c r="DZ18" s="229">
        <v>-0.22919999999999999</v>
      </c>
      <c r="EA18" s="229">
        <v>0.10970000000000001</v>
      </c>
      <c r="EB18" s="230">
        <v>818975</v>
      </c>
      <c r="EC18" s="229">
        <v>2.2000000000000001E-3</v>
      </c>
      <c r="ED18" s="229">
        <v>0.10970000000000001</v>
      </c>
      <c r="EE18" s="228">
        <v>1.2</v>
      </c>
      <c r="EF18" s="229">
        <v>8.9999999999999998E-4</v>
      </c>
      <c r="EG18" s="230">
        <v>737067</v>
      </c>
      <c r="EH18" s="230">
        <v>987184</v>
      </c>
      <c r="EI18" s="229">
        <v>-0.25340000000000001</v>
      </c>
      <c r="EJ18" s="229">
        <v>0.46779999999999999</v>
      </c>
      <c r="EK18" s="231">
        <v>1950.58</v>
      </c>
      <c r="EL18" s="228">
        <v>686.18</v>
      </c>
      <c r="EM18" s="228">
        <v>333.76</v>
      </c>
      <c r="EN18" s="228">
        <v>0</v>
      </c>
      <c r="EO18" s="231">
        <v>2970.52</v>
      </c>
      <c r="EP18" s="231">
        <v>2817.08</v>
      </c>
      <c r="EQ18" s="228">
        <v>153.44</v>
      </c>
      <c r="ER18" s="229">
        <v>5.45E-2</v>
      </c>
      <c r="ES18" s="228">
        <v>513.22</v>
      </c>
      <c r="ET18" s="228">
        <v>421.97</v>
      </c>
      <c r="EU18" s="231">
        <v>1068.8399999999999</v>
      </c>
      <c r="EV18" s="231">
        <v>24660712</v>
      </c>
      <c r="EW18" s="231">
        <v>2004.03</v>
      </c>
      <c r="EX18" s="231">
        <v>2010.1</v>
      </c>
      <c r="EY18" s="228">
        <v>-6.07</v>
      </c>
      <c r="EZ18" s="229">
        <v>-3.0000000000000001E-3</v>
      </c>
      <c r="FA18" s="229">
        <v>0.58560000000000001</v>
      </c>
      <c r="FB18" s="227" t="s">
        <v>556</v>
      </c>
      <c r="FC18">
        <f t="shared" si="0"/>
        <v>118</v>
      </c>
    </row>
    <row r="19" spans="1:159" ht="17.25" thickBot="1" x14ac:dyDescent="0.3">
      <c r="A19" s="226">
        <v>45889</v>
      </c>
      <c r="B19" s="227" t="s">
        <v>193</v>
      </c>
      <c r="C19" s="227" t="s">
        <v>590</v>
      </c>
      <c r="D19" s="228">
        <v>875</v>
      </c>
      <c r="E19" s="228">
        <v>8</v>
      </c>
      <c r="F19" s="228">
        <v>633.1</v>
      </c>
      <c r="G19" s="228">
        <v>631.6</v>
      </c>
      <c r="H19" s="228">
        <v>1.5</v>
      </c>
      <c r="I19" s="229">
        <v>2.3999999999999998E-3</v>
      </c>
      <c r="J19" s="228">
        <v>630.4</v>
      </c>
      <c r="K19" s="228">
        <v>628.75</v>
      </c>
      <c r="L19" s="228">
        <v>1.65</v>
      </c>
      <c r="M19" s="229">
        <v>2.5999999999999999E-3</v>
      </c>
      <c r="N19" s="228">
        <v>633.1</v>
      </c>
      <c r="O19" s="228">
        <v>631.6</v>
      </c>
      <c r="P19" s="228">
        <v>1.5</v>
      </c>
      <c r="Q19" s="229">
        <v>2.3999999999999998E-3</v>
      </c>
      <c r="R19" s="228">
        <v>0</v>
      </c>
      <c r="S19" s="228">
        <v>0</v>
      </c>
      <c r="T19" s="228">
        <v>0</v>
      </c>
      <c r="U19" s="229">
        <v>0</v>
      </c>
      <c r="V19" s="228">
        <v>0</v>
      </c>
      <c r="W19" s="228">
        <v>0</v>
      </c>
      <c r="X19" s="228">
        <v>0</v>
      </c>
      <c r="Y19" s="229">
        <v>0</v>
      </c>
      <c r="Z19" s="228">
        <v>2.7</v>
      </c>
      <c r="AA19" s="228">
        <v>2.85</v>
      </c>
      <c r="AB19" s="228">
        <v>-0.15</v>
      </c>
      <c r="AC19" s="229">
        <v>4.3E-3</v>
      </c>
      <c r="AD19" s="228">
        <v>2.7</v>
      </c>
      <c r="AE19" s="228">
        <v>2.85</v>
      </c>
      <c r="AF19" s="228">
        <v>-0.15</v>
      </c>
      <c r="AG19" s="229">
        <v>4.3E-3</v>
      </c>
      <c r="AH19" s="228">
        <v>0</v>
      </c>
      <c r="AI19" s="228">
        <v>0</v>
      </c>
      <c r="AJ19" s="228">
        <v>0</v>
      </c>
      <c r="AK19" s="229">
        <v>0</v>
      </c>
      <c r="AL19" s="228">
        <v>0</v>
      </c>
      <c r="AM19" s="228">
        <v>0</v>
      </c>
      <c r="AN19" s="228">
        <v>0</v>
      </c>
      <c r="AO19" s="229">
        <v>0</v>
      </c>
      <c r="AP19" s="228">
        <v>633.1</v>
      </c>
      <c r="AQ19" s="228">
        <v>0</v>
      </c>
      <c r="AR19" s="228">
        <v>0</v>
      </c>
      <c r="AS19" s="228">
        <v>44</v>
      </c>
      <c r="AT19" s="228">
        <v>35</v>
      </c>
      <c r="AU19" s="228">
        <v>9</v>
      </c>
      <c r="AV19" s="229">
        <v>0.2472</v>
      </c>
      <c r="AW19" s="228">
        <v>44</v>
      </c>
      <c r="AX19" s="228">
        <v>35</v>
      </c>
      <c r="AY19" s="228">
        <v>9</v>
      </c>
      <c r="AZ19" s="229">
        <v>0.2472</v>
      </c>
      <c r="BA19" s="228">
        <v>0</v>
      </c>
      <c r="BB19" s="228">
        <v>0</v>
      </c>
      <c r="BC19" s="228">
        <v>0</v>
      </c>
      <c r="BD19" s="229">
        <v>0</v>
      </c>
      <c r="BE19" s="228">
        <v>0</v>
      </c>
      <c r="BF19" s="228">
        <v>0</v>
      </c>
      <c r="BG19" s="228">
        <v>0</v>
      </c>
      <c r="BH19" s="229">
        <v>0</v>
      </c>
      <c r="BI19" s="228">
        <v>86</v>
      </c>
      <c r="BJ19" s="228">
        <v>102</v>
      </c>
      <c r="BK19" s="228">
        <v>-15</v>
      </c>
      <c r="BL19" s="229">
        <v>-0.151</v>
      </c>
      <c r="BM19" s="228">
        <v>28</v>
      </c>
      <c r="BN19" s="228">
        <v>29</v>
      </c>
      <c r="BO19" s="228">
        <v>-1</v>
      </c>
      <c r="BP19" s="229">
        <v>-1.9199999999999998E-2</v>
      </c>
      <c r="BQ19" s="228">
        <v>158</v>
      </c>
      <c r="BR19" s="228">
        <v>166</v>
      </c>
      <c r="BS19" s="228">
        <v>-7</v>
      </c>
      <c r="BT19" s="229">
        <v>-4.3799999999999999E-2</v>
      </c>
      <c r="BU19" s="230">
        <v>616313</v>
      </c>
      <c r="BV19" s="230">
        <v>524350</v>
      </c>
      <c r="BW19" s="230">
        <v>91963</v>
      </c>
      <c r="BX19" s="229">
        <v>0.1754</v>
      </c>
      <c r="BY19" s="228">
        <v>160</v>
      </c>
      <c r="BZ19" s="228">
        <v>170</v>
      </c>
      <c r="CA19" s="228">
        <v>-10</v>
      </c>
      <c r="CB19" s="229">
        <v>-5.7099999999999998E-2</v>
      </c>
      <c r="CC19" s="228">
        <v>160</v>
      </c>
      <c r="CD19" s="228">
        <v>170</v>
      </c>
      <c r="CE19" s="228">
        <v>-10</v>
      </c>
      <c r="CF19" s="229">
        <v>-5.7099999999999998E-2</v>
      </c>
      <c r="CG19" s="228">
        <v>0</v>
      </c>
      <c r="CH19" s="228">
        <v>0</v>
      </c>
      <c r="CI19" s="228">
        <v>0</v>
      </c>
      <c r="CJ19" s="229">
        <v>0</v>
      </c>
      <c r="CK19" s="228">
        <v>0</v>
      </c>
      <c r="CL19" s="228">
        <v>0</v>
      </c>
      <c r="CM19" s="228">
        <v>0</v>
      </c>
      <c r="CN19" s="229">
        <v>0</v>
      </c>
      <c r="CO19" s="228">
        <v>94</v>
      </c>
      <c r="CP19" s="228">
        <v>103</v>
      </c>
      <c r="CQ19" s="228">
        <v>-9</v>
      </c>
      <c r="CR19" s="229">
        <v>-9.06E-2</v>
      </c>
      <c r="CS19" s="228">
        <v>83</v>
      </c>
      <c r="CT19" s="228">
        <v>85</v>
      </c>
      <c r="CU19" s="228">
        <v>-2</v>
      </c>
      <c r="CV19" s="229">
        <v>-2.5499999999999998E-2</v>
      </c>
      <c r="CW19" s="228">
        <v>337</v>
      </c>
      <c r="CX19" s="228">
        <v>358</v>
      </c>
      <c r="CY19" s="228">
        <v>-21</v>
      </c>
      <c r="CZ19" s="229">
        <v>-5.9299999999999999E-2</v>
      </c>
      <c r="DA19" s="228">
        <v>27.15</v>
      </c>
      <c r="DB19" s="228">
        <v>29.82</v>
      </c>
      <c r="DC19" s="228">
        <v>-2.67</v>
      </c>
      <c r="DD19" s="228">
        <v>-2.67</v>
      </c>
      <c r="DE19" s="228">
        <v>54.79</v>
      </c>
      <c r="DF19" s="228">
        <v>54.93</v>
      </c>
      <c r="DG19" s="228">
        <v>-27.64</v>
      </c>
      <c r="DH19" s="228">
        <v>-0.14000000000000001</v>
      </c>
      <c r="DI19" s="228">
        <v>26.77</v>
      </c>
      <c r="DJ19" s="228">
        <v>29.56</v>
      </c>
      <c r="DK19" s="228">
        <v>-2.79</v>
      </c>
      <c r="DL19" s="228">
        <v>-2.79</v>
      </c>
      <c r="DM19" s="228">
        <v>28.32</v>
      </c>
      <c r="DN19" s="228">
        <v>30.73</v>
      </c>
      <c r="DO19" s="228">
        <v>-2.41</v>
      </c>
      <c r="DP19" s="228">
        <v>-2.41</v>
      </c>
      <c r="DQ19" s="228">
        <v>0.88</v>
      </c>
      <c r="DR19" s="228">
        <v>0.82</v>
      </c>
      <c r="DS19" s="228">
        <v>0.06</v>
      </c>
      <c r="DT19" s="229">
        <v>7.3200000000000001E-2</v>
      </c>
      <c r="DU19" s="228">
        <v>700</v>
      </c>
      <c r="DV19" s="228">
        <v>600</v>
      </c>
      <c r="DW19" s="228">
        <v>0.33</v>
      </c>
      <c r="DX19" s="228">
        <v>0.28000000000000003</v>
      </c>
      <c r="DY19" s="228">
        <v>0.05</v>
      </c>
      <c r="DZ19" s="229">
        <v>0.17860000000000001</v>
      </c>
      <c r="EA19" s="229">
        <v>0</v>
      </c>
      <c r="EB19" s="228">
        <v>0</v>
      </c>
      <c r="EC19" s="229">
        <v>0</v>
      </c>
      <c r="ED19" s="229">
        <v>0</v>
      </c>
      <c r="EE19" s="228">
        <v>0</v>
      </c>
      <c r="EF19" s="229">
        <v>0</v>
      </c>
      <c r="EG19" s="230">
        <v>237793</v>
      </c>
      <c r="EH19" s="230">
        <v>143059</v>
      </c>
      <c r="EI19" s="229">
        <v>0.66220000000000001</v>
      </c>
      <c r="EJ19" s="229">
        <v>0.38579999999999998</v>
      </c>
      <c r="EK19" s="228">
        <v>88.61</v>
      </c>
      <c r="EL19" s="228">
        <v>28.2</v>
      </c>
      <c r="EM19" s="228">
        <v>43.6</v>
      </c>
      <c r="EN19" s="228">
        <v>0</v>
      </c>
      <c r="EO19" s="228">
        <v>160.41</v>
      </c>
      <c r="EP19" s="228">
        <v>167.37</v>
      </c>
      <c r="EQ19" s="228">
        <v>-6.96</v>
      </c>
      <c r="ER19" s="229">
        <v>-4.1599999999999998E-2</v>
      </c>
      <c r="ES19" s="228">
        <v>97.04</v>
      </c>
      <c r="ET19" s="228">
        <v>78.290000000000006</v>
      </c>
      <c r="EU19" s="228">
        <v>160.21</v>
      </c>
      <c r="EV19" s="231">
        <v>55429320</v>
      </c>
      <c r="EW19" s="228">
        <v>335.53</v>
      </c>
      <c r="EX19" s="228">
        <v>356.22</v>
      </c>
      <c r="EY19" s="228">
        <v>-20.69</v>
      </c>
      <c r="EZ19" s="229">
        <v>-5.8099999999999999E-2</v>
      </c>
      <c r="FA19" s="229">
        <v>9.6000000000000002E-2</v>
      </c>
      <c r="FB19" s="227" t="s">
        <v>556</v>
      </c>
      <c r="FC19">
        <f t="shared" si="0"/>
        <v>0</v>
      </c>
    </row>
    <row r="20" spans="1:159" ht="17.25" thickBot="1" x14ac:dyDescent="0.3">
      <c r="A20" s="226">
        <v>45889</v>
      </c>
      <c r="B20" s="227" t="s">
        <v>172</v>
      </c>
      <c r="C20" s="227" t="s">
        <v>495</v>
      </c>
      <c r="D20" s="228">
        <v>1000</v>
      </c>
      <c r="E20" s="228">
        <v>8</v>
      </c>
      <c r="F20" s="228">
        <v>757.6</v>
      </c>
      <c r="G20" s="228">
        <v>757</v>
      </c>
      <c r="H20" s="228">
        <v>0.6</v>
      </c>
      <c r="I20" s="229">
        <v>8.0000000000000004E-4</v>
      </c>
      <c r="J20" s="228">
        <v>759.15</v>
      </c>
      <c r="K20" s="228">
        <v>758.5</v>
      </c>
      <c r="L20" s="228">
        <v>0.65</v>
      </c>
      <c r="M20" s="229">
        <v>8.9999999999999998E-4</v>
      </c>
      <c r="N20" s="228">
        <v>757.6</v>
      </c>
      <c r="O20" s="228">
        <v>757</v>
      </c>
      <c r="P20" s="228">
        <v>0.6</v>
      </c>
      <c r="Q20" s="229">
        <v>8.0000000000000004E-4</v>
      </c>
      <c r="R20" s="228">
        <v>756.65</v>
      </c>
      <c r="S20" s="228">
        <v>756.65</v>
      </c>
      <c r="T20" s="228">
        <v>0</v>
      </c>
      <c r="U20" s="229">
        <v>0</v>
      </c>
      <c r="V20" s="228">
        <v>757.55</v>
      </c>
      <c r="W20" s="228">
        <v>757.3</v>
      </c>
      <c r="X20" s="228">
        <v>0.25</v>
      </c>
      <c r="Y20" s="229">
        <v>2.9999999999999997E-4</v>
      </c>
      <c r="Z20" s="228">
        <v>-1.55</v>
      </c>
      <c r="AA20" s="228">
        <v>-1.5</v>
      </c>
      <c r="AB20" s="228">
        <v>-0.05</v>
      </c>
      <c r="AC20" s="229">
        <v>-2E-3</v>
      </c>
      <c r="AD20" s="228">
        <v>-1.55</v>
      </c>
      <c r="AE20" s="228">
        <v>-1.5</v>
      </c>
      <c r="AF20" s="228">
        <v>-0.05</v>
      </c>
      <c r="AG20" s="229">
        <v>-2E-3</v>
      </c>
      <c r="AH20" s="228">
        <v>-2.5</v>
      </c>
      <c r="AI20" s="228">
        <v>-1.85</v>
      </c>
      <c r="AJ20" s="228">
        <v>-0.65</v>
      </c>
      <c r="AK20" s="229">
        <v>-3.3E-3</v>
      </c>
      <c r="AL20" s="228">
        <v>-1.6</v>
      </c>
      <c r="AM20" s="228">
        <v>-1.2</v>
      </c>
      <c r="AN20" s="228">
        <v>-0.4</v>
      </c>
      <c r="AO20" s="229">
        <v>-2.0999999999999999E-3</v>
      </c>
      <c r="AP20" s="228">
        <v>752.87</v>
      </c>
      <c r="AQ20" s="228">
        <v>753.3</v>
      </c>
      <c r="AR20" s="228">
        <v>0</v>
      </c>
      <c r="AS20" s="228">
        <v>343</v>
      </c>
      <c r="AT20" s="228">
        <v>315</v>
      </c>
      <c r="AU20" s="228">
        <v>27</v>
      </c>
      <c r="AV20" s="229">
        <v>8.6199999999999999E-2</v>
      </c>
      <c r="AW20" s="228">
        <v>260</v>
      </c>
      <c r="AX20" s="228">
        <v>247</v>
      </c>
      <c r="AY20" s="228">
        <v>13</v>
      </c>
      <c r="AZ20" s="229">
        <v>5.3699999999999998E-2</v>
      </c>
      <c r="BA20" s="228">
        <v>79</v>
      </c>
      <c r="BB20" s="228">
        <v>65</v>
      </c>
      <c r="BC20" s="228">
        <v>14</v>
      </c>
      <c r="BD20" s="229">
        <v>0.20949999999999999</v>
      </c>
      <c r="BE20" s="228">
        <v>3</v>
      </c>
      <c r="BF20" s="228">
        <v>3</v>
      </c>
      <c r="BG20" s="228">
        <v>0</v>
      </c>
      <c r="BH20" s="229">
        <v>7.6899999999999996E-2</v>
      </c>
      <c r="BI20" s="228">
        <v>676</v>
      </c>
      <c r="BJ20" s="228">
        <v>460</v>
      </c>
      <c r="BK20" s="228">
        <v>216</v>
      </c>
      <c r="BL20" s="229">
        <v>0.46970000000000001</v>
      </c>
      <c r="BM20" s="228">
        <v>344</v>
      </c>
      <c r="BN20" s="228">
        <v>229</v>
      </c>
      <c r="BO20" s="228">
        <v>116</v>
      </c>
      <c r="BP20" s="229">
        <v>0.50580000000000003</v>
      </c>
      <c r="BQ20" s="230">
        <v>1363</v>
      </c>
      <c r="BR20" s="230">
        <v>1004</v>
      </c>
      <c r="BS20" s="228">
        <v>359</v>
      </c>
      <c r="BT20" s="229">
        <v>0.35749999999999998</v>
      </c>
      <c r="BU20" s="230">
        <v>1219950</v>
      </c>
      <c r="BV20" s="230">
        <v>865869</v>
      </c>
      <c r="BW20" s="230">
        <v>354081</v>
      </c>
      <c r="BX20" s="229">
        <v>0.40889999999999999</v>
      </c>
      <c r="BY20" s="230">
        <v>1563</v>
      </c>
      <c r="BZ20" s="230">
        <v>1558</v>
      </c>
      <c r="CA20" s="228">
        <v>5</v>
      </c>
      <c r="CB20" s="229">
        <v>3.3999999999999998E-3</v>
      </c>
      <c r="CC20" s="230">
        <v>1379</v>
      </c>
      <c r="CD20" s="230">
        <v>1405</v>
      </c>
      <c r="CE20" s="228">
        <v>-26</v>
      </c>
      <c r="CF20" s="229">
        <v>-1.8200000000000001E-2</v>
      </c>
      <c r="CG20" s="228">
        <v>175</v>
      </c>
      <c r="CH20" s="228">
        <v>143</v>
      </c>
      <c r="CI20" s="228">
        <v>32</v>
      </c>
      <c r="CJ20" s="229">
        <v>0.22040000000000001</v>
      </c>
      <c r="CK20" s="228">
        <v>9</v>
      </c>
      <c r="CL20" s="228">
        <v>10</v>
      </c>
      <c r="CM20" s="228">
        <v>-1</v>
      </c>
      <c r="CN20" s="229">
        <v>-8.6599999999999996E-2</v>
      </c>
      <c r="CO20" s="228">
        <v>701</v>
      </c>
      <c r="CP20" s="228">
        <v>698</v>
      </c>
      <c r="CQ20" s="228">
        <v>3</v>
      </c>
      <c r="CR20" s="229">
        <v>4.1000000000000003E-3</v>
      </c>
      <c r="CS20" s="228">
        <v>416</v>
      </c>
      <c r="CT20" s="228">
        <v>405</v>
      </c>
      <c r="CU20" s="228">
        <v>11</v>
      </c>
      <c r="CV20" s="229">
        <v>2.7300000000000001E-2</v>
      </c>
      <c r="CW20" s="230">
        <v>2680</v>
      </c>
      <c r="CX20" s="230">
        <v>2661</v>
      </c>
      <c r="CY20" s="228">
        <v>19</v>
      </c>
      <c r="CZ20" s="229">
        <v>7.1999999999999998E-3</v>
      </c>
      <c r="DA20" s="228">
        <v>25.94</v>
      </c>
      <c r="DB20" s="228">
        <v>26.29</v>
      </c>
      <c r="DC20" s="228">
        <v>-0.35</v>
      </c>
      <c r="DD20" s="228">
        <v>-0.35</v>
      </c>
      <c r="DE20" s="228">
        <v>37.61</v>
      </c>
      <c r="DF20" s="228">
        <v>37.700000000000003</v>
      </c>
      <c r="DG20" s="228">
        <v>-11.67</v>
      </c>
      <c r="DH20" s="228">
        <v>-0.09</v>
      </c>
      <c r="DI20" s="228">
        <v>26.2</v>
      </c>
      <c r="DJ20" s="228">
        <v>26.72</v>
      </c>
      <c r="DK20" s="228">
        <v>-0.52</v>
      </c>
      <c r="DL20" s="228">
        <v>-0.52</v>
      </c>
      <c r="DM20" s="228">
        <v>25.42</v>
      </c>
      <c r="DN20" s="228">
        <v>25.41</v>
      </c>
      <c r="DO20" s="228">
        <v>0.01</v>
      </c>
      <c r="DP20" s="228">
        <v>0.01</v>
      </c>
      <c r="DQ20" s="228">
        <v>0.59</v>
      </c>
      <c r="DR20" s="228">
        <v>0.57999999999999996</v>
      </c>
      <c r="DS20" s="228">
        <v>0.01</v>
      </c>
      <c r="DT20" s="229">
        <v>1.72E-2</v>
      </c>
      <c r="DU20" s="228">
        <v>800</v>
      </c>
      <c r="DV20" s="228">
        <v>730</v>
      </c>
      <c r="DW20" s="228">
        <v>0.51</v>
      </c>
      <c r="DX20" s="228">
        <v>0.5</v>
      </c>
      <c r="DY20" s="228">
        <v>0.01</v>
      </c>
      <c r="DZ20" s="229">
        <v>0.02</v>
      </c>
      <c r="EA20" s="229">
        <v>0.11749999999999999</v>
      </c>
      <c r="EB20" s="230">
        <v>2019000</v>
      </c>
      <c r="EC20" s="229">
        <v>-1.2999999999999999E-3</v>
      </c>
      <c r="ED20" s="229">
        <v>0.11749999999999999</v>
      </c>
      <c r="EE20" s="228">
        <v>0.43</v>
      </c>
      <c r="EF20" s="229">
        <v>5.9999999999999995E-4</v>
      </c>
      <c r="EG20" s="230">
        <v>696528</v>
      </c>
      <c r="EH20" s="230">
        <v>465291</v>
      </c>
      <c r="EI20" s="229">
        <v>0.497</v>
      </c>
      <c r="EJ20" s="229">
        <v>0.57089999999999996</v>
      </c>
      <c r="EK20" s="228">
        <v>696.86</v>
      </c>
      <c r="EL20" s="228">
        <v>338</v>
      </c>
      <c r="EM20" s="228">
        <v>340.5</v>
      </c>
      <c r="EN20" s="228">
        <v>0</v>
      </c>
      <c r="EO20" s="231">
        <v>1375.36</v>
      </c>
      <c r="EP20" s="231">
        <v>1020.5</v>
      </c>
      <c r="EQ20" s="228">
        <v>354.86</v>
      </c>
      <c r="ER20" s="229">
        <v>0.34770000000000001</v>
      </c>
      <c r="ES20" s="228">
        <v>728.88</v>
      </c>
      <c r="ET20" s="228">
        <v>400.93</v>
      </c>
      <c r="EU20" s="231">
        <v>1562.78</v>
      </c>
      <c r="EV20" s="231">
        <v>114978915</v>
      </c>
      <c r="EW20" s="231">
        <v>2692.6</v>
      </c>
      <c r="EX20" s="231">
        <v>2673.27</v>
      </c>
      <c r="EY20" s="228">
        <v>19.329999999999998</v>
      </c>
      <c r="EZ20" s="229">
        <v>7.1999999999999998E-3</v>
      </c>
      <c r="FA20" s="229">
        <v>0.30769999999999997</v>
      </c>
      <c r="FB20" s="227" t="s">
        <v>555</v>
      </c>
      <c r="FC20">
        <f t="shared" si="0"/>
        <v>184</v>
      </c>
    </row>
    <row r="21" spans="1:159" ht="17.25" thickBot="1" x14ac:dyDescent="0.3">
      <c r="A21" s="226">
        <v>45889</v>
      </c>
      <c r="B21" s="227" t="s">
        <v>170</v>
      </c>
      <c r="C21" s="227" t="s">
        <v>171</v>
      </c>
      <c r="D21" s="228">
        <v>550</v>
      </c>
      <c r="E21" s="228">
        <v>8</v>
      </c>
      <c r="F21" s="231">
        <v>1048.8</v>
      </c>
      <c r="G21" s="231">
        <v>1092.5999999999999</v>
      </c>
      <c r="H21" s="228">
        <v>-43.8</v>
      </c>
      <c r="I21" s="229">
        <v>-4.0099999999999997E-2</v>
      </c>
      <c r="J21" s="231">
        <v>1046.4000000000001</v>
      </c>
      <c r="K21" s="231">
        <v>1089.7</v>
      </c>
      <c r="L21" s="228">
        <v>-43.3</v>
      </c>
      <c r="M21" s="229">
        <v>-3.9699999999999999E-2</v>
      </c>
      <c r="N21" s="231">
        <v>1048.8</v>
      </c>
      <c r="O21" s="231">
        <v>1092.5999999999999</v>
      </c>
      <c r="P21" s="228">
        <v>-43.8</v>
      </c>
      <c r="Q21" s="229">
        <v>-4.0099999999999997E-2</v>
      </c>
      <c r="R21" s="231">
        <v>1054.8</v>
      </c>
      <c r="S21" s="231">
        <v>1099.5</v>
      </c>
      <c r="T21" s="228">
        <v>-44.7</v>
      </c>
      <c r="U21" s="229">
        <v>-4.07E-2</v>
      </c>
      <c r="V21" s="231">
        <v>1060.3</v>
      </c>
      <c r="W21" s="231">
        <v>1103.4000000000001</v>
      </c>
      <c r="X21" s="228">
        <v>-43.1</v>
      </c>
      <c r="Y21" s="229">
        <v>-3.9100000000000003E-2</v>
      </c>
      <c r="Z21" s="228">
        <v>2.4</v>
      </c>
      <c r="AA21" s="228">
        <v>2.9</v>
      </c>
      <c r="AB21" s="228">
        <v>-0.5</v>
      </c>
      <c r="AC21" s="229">
        <v>2.3E-3</v>
      </c>
      <c r="AD21" s="228">
        <v>2.4</v>
      </c>
      <c r="AE21" s="228">
        <v>2.9</v>
      </c>
      <c r="AF21" s="228">
        <v>-0.5</v>
      </c>
      <c r="AG21" s="229">
        <v>2.3E-3</v>
      </c>
      <c r="AH21" s="228">
        <v>8.4</v>
      </c>
      <c r="AI21" s="228">
        <v>9.8000000000000007</v>
      </c>
      <c r="AJ21" s="228">
        <v>-1.4</v>
      </c>
      <c r="AK21" s="229">
        <v>8.0000000000000002E-3</v>
      </c>
      <c r="AL21" s="228">
        <v>13.9</v>
      </c>
      <c r="AM21" s="228">
        <v>13.7</v>
      </c>
      <c r="AN21" s="228">
        <v>0.2</v>
      </c>
      <c r="AO21" s="229">
        <v>1.3299999999999999E-2</v>
      </c>
      <c r="AP21" s="231">
        <v>1056.8499999999999</v>
      </c>
      <c r="AQ21" s="231">
        <v>1061.42</v>
      </c>
      <c r="AR21" s="228">
        <v>0</v>
      </c>
      <c r="AS21" s="228">
        <v>926</v>
      </c>
      <c r="AT21" s="228">
        <v>144</v>
      </c>
      <c r="AU21" s="228">
        <v>782</v>
      </c>
      <c r="AV21" s="229">
        <v>5.4267000000000003</v>
      </c>
      <c r="AW21" s="228">
        <v>640</v>
      </c>
      <c r="AX21" s="228">
        <v>120</v>
      </c>
      <c r="AY21" s="228">
        <v>520</v>
      </c>
      <c r="AZ21" s="229">
        <v>4.3422000000000001</v>
      </c>
      <c r="BA21" s="228">
        <v>270</v>
      </c>
      <c r="BB21" s="228">
        <v>23</v>
      </c>
      <c r="BC21" s="228">
        <v>247</v>
      </c>
      <c r="BD21" s="229">
        <v>10.635199999999999</v>
      </c>
      <c r="BE21" s="228">
        <v>15</v>
      </c>
      <c r="BF21" s="228">
        <v>1</v>
      </c>
      <c r="BG21" s="228">
        <v>14</v>
      </c>
      <c r="BH21" s="229">
        <v>14.529400000000001</v>
      </c>
      <c r="BI21" s="230">
        <v>2762</v>
      </c>
      <c r="BJ21" s="228">
        <v>334</v>
      </c>
      <c r="BK21" s="230">
        <v>2428</v>
      </c>
      <c r="BL21" s="229">
        <v>7.2693000000000003</v>
      </c>
      <c r="BM21" s="230">
        <v>1697</v>
      </c>
      <c r="BN21" s="228">
        <v>275</v>
      </c>
      <c r="BO21" s="230">
        <v>1422</v>
      </c>
      <c r="BP21" s="229">
        <v>5.1677</v>
      </c>
      <c r="BQ21" s="230">
        <v>5385</v>
      </c>
      <c r="BR21" s="228">
        <v>753</v>
      </c>
      <c r="BS21" s="230">
        <v>4632</v>
      </c>
      <c r="BT21" s="229">
        <v>6.1490999999999998</v>
      </c>
      <c r="BU21" s="230">
        <v>4835913</v>
      </c>
      <c r="BV21" s="230">
        <v>276616</v>
      </c>
      <c r="BW21" s="230">
        <v>4559297</v>
      </c>
      <c r="BX21" s="229">
        <v>16.482399999999998</v>
      </c>
      <c r="BY21" s="230">
        <v>2043</v>
      </c>
      <c r="BZ21" s="230">
        <v>1863</v>
      </c>
      <c r="CA21" s="228">
        <v>180</v>
      </c>
      <c r="CB21" s="229">
        <v>9.6799999999999997E-2</v>
      </c>
      <c r="CC21" s="230">
        <v>1802</v>
      </c>
      <c r="CD21" s="230">
        <v>1786</v>
      </c>
      <c r="CE21" s="228">
        <v>16</v>
      </c>
      <c r="CF21" s="229">
        <v>8.8000000000000005E-3</v>
      </c>
      <c r="CG21" s="228">
        <v>229</v>
      </c>
      <c r="CH21" s="228">
        <v>72</v>
      </c>
      <c r="CI21" s="228">
        <v>156</v>
      </c>
      <c r="CJ21" s="229">
        <v>2.1652999999999998</v>
      </c>
      <c r="CK21" s="228">
        <v>12</v>
      </c>
      <c r="CL21" s="228">
        <v>4</v>
      </c>
      <c r="CM21" s="228">
        <v>8</v>
      </c>
      <c r="CN21" s="229">
        <v>2.0434999999999999</v>
      </c>
      <c r="CO21" s="228">
        <v>802</v>
      </c>
      <c r="CP21" s="228">
        <v>442</v>
      </c>
      <c r="CQ21" s="228">
        <v>361</v>
      </c>
      <c r="CR21" s="229">
        <v>0.81610000000000005</v>
      </c>
      <c r="CS21" s="228">
        <v>447</v>
      </c>
      <c r="CT21" s="228">
        <v>330</v>
      </c>
      <c r="CU21" s="228">
        <v>117</v>
      </c>
      <c r="CV21" s="229">
        <v>0.35439999999999999</v>
      </c>
      <c r="CW21" s="230">
        <v>3292</v>
      </c>
      <c r="CX21" s="230">
        <v>2635</v>
      </c>
      <c r="CY21" s="228">
        <v>658</v>
      </c>
      <c r="CZ21" s="229">
        <v>0.24970000000000001</v>
      </c>
      <c r="DA21" s="228">
        <v>35.82</v>
      </c>
      <c r="DB21" s="228">
        <v>31.42</v>
      </c>
      <c r="DC21" s="228">
        <v>4.4000000000000004</v>
      </c>
      <c r="DD21" s="228">
        <v>4.4000000000000004</v>
      </c>
      <c r="DE21" s="228">
        <v>35.75</v>
      </c>
      <c r="DF21" s="228">
        <v>35.409999999999997</v>
      </c>
      <c r="DG21" s="228">
        <v>7.0000000000000007E-2</v>
      </c>
      <c r="DH21" s="228">
        <v>0.34</v>
      </c>
      <c r="DI21" s="228">
        <v>36.9</v>
      </c>
      <c r="DJ21" s="228">
        <v>30.68</v>
      </c>
      <c r="DK21" s="228">
        <v>6.22</v>
      </c>
      <c r="DL21" s="228">
        <v>6.22</v>
      </c>
      <c r="DM21" s="228">
        <v>34.06</v>
      </c>
      <c r="DN21" s="228">
        <v>32.33</v>
      </c>
      <c r="DO21" s="228">
        <v>1.73</v>
      </c>
      <c r="DP21" s="228">
        <v>1.73</v>
      </c>
      <c r="DQ21" s="228">
        <v>0.56000000000000005</v>
      </c>
      <c r="DR21" s="228">
        <v>0.75</v>
      </c>
      <c r="DS21" s="228">
        <v>-0.19</v>
      </c>
      <c r="DT21" s="229">
        <v>-0.25330000000000003</v>
      </c>
      <c r="DU21" s="231">
        <v>1100</v>
      </c>
      <c r="DV21" s="231">
        <v>1000</v>
      </c>
      <c r="DW21" s="228">
        <v>0.61</v>
      </c>
      <c r="DX21" s="228">
        <v>0.82</v>
      </c>
      <c r="DY21" s="228">
        <v>-0.21</v>
      </c>
      <c r="DZ21" s="229">
        <v>-0.25609999999999999</v>
      </c>
      <c r="EA21" s="229">
        <v>0.1178</v>
      </c>
      <c r="EB21" s="230">
        <v>726550</v>
      </c>
      <c r="EC21" s="229">
        <v>5.7000000000000002E-3</v>
      </c>
      <c r="ED21" s="229">
        <v>0.1178</v>
      </c>
      <c r="EE21" s="228">
        <v>4.57</v>
      </c>
      <c r="EF21" s="229">
        <v>4.3E-3</v>
      </c>
      <c r="EG21" s="230">
        <v>2355804</v>
      </c>
      <c r="EH21" s="230">
        <v>105662</v>
      </c>
      <c r="EI21" s="229">
        <v>21.2957</v>
      </c>
      <c r="EJ21" s="229">
        <v>0.48709999999999998</v>
      </c>
      <c r="EK21" s="231">
        <v>2918.91</v>
      </c>
      <c r="EL21" s="231">
        <v>1699.11</v>
      </c>
      <c r="EM21" s="228">
        <v>934.48</v>
      </c>
      <c r="EN21" s="228">
        <v>0</v>
      </c>
      <c r="EO21" s="231">
        <v>5552.5</v>
      </c>
      <c r="EP21" s="228">
        <v>792.13</v>
      </c>
      <c r="EQ21" s="231">
        <v>4760.37</v>
      </c>
      <c r="ER21" s="229">
        <v>6.0095999999999998</v>
      </c>
      <c r="ES21" s="228">
        <v>862.78</v>
      </c>
      <c r="ET21" s="228">
        <v>443.89</v>
      </c>
      <c r="EU21" s="231">
        <v>2044.38</v>
      </c>
      <c r="EV21" s="231">
        <v>55970580</v>
      </c>
      <c r="EW21" s="231">
        <v>3351.04</v>
      </c>
      <c r="EX21" s="231">
        <v>2756.79</v>
      </c>
      <c r="EY21" s="228">
        <v>594.25</v>
      </c>
      <c r="EZ21" s="229">
        <v>0.21560000000000001</v>
      </c>
      <c r="FA21" s="229">
        <v>0.56089999999999995</v>
      </c>
      <c r="FB21" s="227" t="s">
        <v>567</v>
      </c>
      <c r="FC21">
        <f t="shared" si="0"/>
        <v>241</v>
      </c>
    </row>
    <row r="22" spans="1:159" ht="17.25" thickBot="1" x14ac:dyDescent="0.3">
      <c r="A22" s="226">
        <v>45889</v>
      </c>
      <c r="B22" s="227" t="s">
        <v>172</v>
      </c>
      <c r="C22" s="227" t="s">
        <v>173</v>
      </c>
      <c r="D22" s="228">
        <v>625</v>
      </c>
      <c r="E22" s="228">
        <v>8</v>
      </c>
      <c r="F22" s="231">
        <v>1082.0999999999999</v>
      </c>
      <c r="G22" s="231">
        <v>1086.8</v>
      </c>
      <c r="H22" s="228">
        <v>-4.7</v>
      </c>
      <c r="I22" s="229">
        <v>-4.3E-3</v>
      </c>
      <c r="J22" s="231">
        <v>1080.2</v>
      </c>
      <c r="K22" s="231">
        <v>1083.2</v>
      </c>
      <c r="L22" s="228">
        <v>-3</v>
      </c>
      <c r="M22" s="229">
        <v>-2.8E-3</v>
      </c>
      <c r="N22" s="231">
        <v>1082.0999999999999</v>
      </c>
      <c r="O22" s="231">
        <v>1086.8</v>
      </c>
      <c r="P22" s="228">
        <v>-4.7</v>
      </c>
      <c r="Q22" s="229">
        <v>-4.3E-3</v>
      </c>
      <c r="R22" s="231">
        <v>1088.3</v>
      </c>
      <c r="S22" s="231">
        <v>1092.8</v>
      </c>
      <c r="T22" s="228">
        <v>-4.5</v>
      </c>
      <c r="U22" s="229">
        <v>-4.1000000000000003E-3</v>
      </c>
      <c r="V22" s="231">
        <v>1094.0999999999999</v>
      </c>
      <c r="W22" s="231">
        <v>1098.4000000000001</v>
      </c>
      <c r="X22" s="228">
        <v>-4.3</v>
      </c>
      <c r="Y22" s="229">
        <v>-3.8999999999999998E-3</v>
      </c>
      <c r="Z22" s="228">
        <v>1.9</v>
      </c>
      <c r="AA22" s="228">
        <v>3.6</v>
      </c>
      <c r="AB22" s="228">
        <v>-1.7</v>
      </c>
      <c r="AC22" s="229">
        <v>1.8E-3</v>
      </c>
      <c r="AD22" s="228">
        <v>1.9</v>
      </c>
      <c r="AE22" s="228">
        <v>3.6</v>
      </c>
      <c r="AF22" s="228">
        <v>-1.7</v>
      </c>
      <c r="AG22" s="229">
        <v>1.8E-3</v>
      </c>
      <c r="AH22" s="228">
        <v>8.1</v>
      </c>
      <c r="AI22" s="228">
        <v>9.6</v>
      </c>
      <c r="AJ22" s="228">
        <v>-1.5</v>
      </c>
      <c r="AK22" s="229">
        <v>7.4999999999999997E-3</v>
      </c>
      <c r="AL22" s="228">
        <v>13.9</v>
      </c>
      <c r="AM22" s="228">
        <v>15.2</v>
      </c>
      <c r="AN22" s="228">
        <v>-1.3</v>
      </c>
      <c r="AO22" s="229">
        <v>1.29E-2</v>
      </c>
      <c r="AP22" s="231">
        <v>1082.8900000000001</v>
      </c>
      <c r="AQ22" s="231">
        <v>1089.29</v>
      </c>
      <c r="AR22" s="228">
        <v>0</v>
      </c>
      <c r="AS22" s="228">
        <v>883</v>
      </c>
      <c r="AT22" s="228">
        <v>851</v>
      </c>
      <c r="AU22" s="228">
        <v>31</v>
      </c>
      <c r="AV22" s="229">
        <v>3.6900000000000002E-2</v>
      </c>
      <c r="AW22" s="228">
        <v>601</v>
      </c>
      <c r="AX22" s="228">
        <v>674</v>
      </c>
      <c r="AY22" s="228">
        <v>-73</v>
      </c>
      <c r="AZ22" s="229">
        <v>-0.10829999999999999</v>
      </c>
      <c r="BA22" s="228">
        <v>209</v>
      </c>
      <c r="BB22" s="228">
        <v>135</v>
      </c>
      <c r="BC22" s="228">
        <v>74</v>
      </c>
      <c r="BD22" s="229">
        <v>0.54910000000000003</v>
      </c>
      <c r="BE22" s="228">
        <v>73</v>
      </c>
      <c r="BF22" s="228">
        <v>42</v>
      </c>
      <c r="BG22" s="228">
        <v>30</v>
      </c>
      <c r="BH22" s="229">
        <v>0.71499999999999997</v>
      </c>
      <c r="BI22" s="230">
        <v>1608</v>
      </c>
      <c r="BJ22" s="230">
        <v>2519</v>
      </c>
      <c r="BK22" s="228">
        <v>-911</v>
      </c>
      <c r="BL22" s="229">
        <v>-0.36170000000000002</v>
      </c>
      <c r="BM22" s="228">
        <v>861</v>
      </c>
      <c r="BN22" s="230">
        <v>1342</v>
      </c>
      <c r="BO22" s="228">
        <v>-481</v>
      </c>
      <c r="BP22" s="229">
        <v>-0.35830000000000001</v>
      </c>
      <c r="BQ22" s="230">
        <v>3352</v>
      </c>
      <c r="BR22" s="230">
        <v>4712</v>
      </c>
      <c r="BS22" s="230">
        <v>-1361</v>
      </c>
      <c r="BT22" s="229">
        <v>-0.28870000000000001</v>
      </c>
      <c r="BU22" s="230">
        <v>3074305</v>
      </c>
      <c r="BV22" s="230">
        <v>5935351</v>
      </c>
      <c r="BW22" s="230">
        <v>-2861046</v>
      </c>
      <c r="BX22" s="229">
        <v>-0.48199999999999998</v>
      </c>
      <c r="BY22" s="230">
        <v>11331</v>
      </c>
      <c r="BZ22" s="230">
        <v>11271</v>
      </c>
      <c r="CA22" s="228">
        <v>60</v>
      </c>
      <c r="CB22" s="229">
        <v>5.3E-3</v>
      </c>
      <c r="CC22" s="230">
        <v>10296</v>
      </c>
      <c r="CD22" s="230">
        <v>10481</v>
      </c>
      <c r="CE22" s="228">
        <v>-186</v>
      </c>
      <c r="CF22" s="229">
        <v>-1.77E-2</v>
      </c>
      <c r="CG22" s="228">
        <v>612</v>
      </c>
      <c r="CH22" s="228">
        <v>437</v>
      </c>
      <c r="CI22" s="228">
        <v>176</v>
      </c>
      <c r="CJ22" s="229">
        <v>0.40200000000000002</v>
      </c>
      <c r="CK22" s="228">
        <v>423</v>
      </c>
      <c r="CL22" s="228">
        <v>353</v>
      </c>
      <c r="CM22" s="228">
        <v>70</v>
      </c>
      <c r="CN22" s="229">
        <v>0.1988</v>
      </c>
      <c r="CO22" s="230">
        <v>2278</v>
      </c>
      <c r="CP22" s="230">
        <v>2173</v>
      </c>
      <c r="CQ22" s="228">
        <v>105</v>
      </c>
      <c r="CR22" s="229">
        <v>4.8300000000000003E-2</v>
      </c>
      <c r="CS22" s="230">
        <v>1260</v>
      </c>
      <c r="CT22" s="230">
        <v>1222</v>
      </c>
      <c r="CU22" s="228">
        <v>38</v>
      </c>
      <c r="CV22" s="229">
        <v>3.15E-2</v>
      </c>
      <c r="CW22" s="230">
        <v>14869</v>
      </c>
      <c r="CX22" s="230">
        <v>14665</v>
      </c>
      <c r="CY22" s="228">
        <v>203</v>
      </c>
      <c r="CZ22" s="229">
        <v>1.3899999999999999E-2</v>
      </c>
      <c r="DA22" s="228">
        <v>19.52</v>
      </c>
      <c r="DB22" s="228">
        <v>18.78</v>
      </c>
      <c r="DC22" s="228">
        <v>0.74</v>
      </c>
      <c r="DD22" s="228">
        <v>0.74</v>
      </c>
      <c r="DE22" s="228">
        <v>27.53</v>
      </c>
      <c r="DF22" s="228">
        <v>27.59</v>
      </c>
      <c r="DG22" s="228">
        <v>-8.01</v>
      </c>
      <c r="DH22" s="228">
        <v>-0.06</v>
      </c>
      <c r="DI22" s="228">
        <v>19.84</v>
      </c>
      <c r="DJ22" s="228">
        <v>18.71</v>
      </c>
      <c r="DK22" s="228">
        <v>1.1299999999999999</v>
      </c>
      <c r="DL22" s="228">
        <v>1.1299999999999999</v>
      </c>
      <c r="DM22" s="228">
        <v>18.920000000000002</v>
      </c>
      <c r="DN22" s="228">
        <v>18.920000000000002</v>
      </c>
      <c r="DO22" s="228">
        <v>0</v>
      </c>
      <c r="DP22" s="228">
        <v>0</v>
      </c>
      <c r="DQ22" s="228">
        <v>0.55000000000000004</v>
      </c>
      <c r="DR22" s="228">
        <v>0.56000000000000005</v>
      </c>
      <c r="DS22" s="228">
        <v>-0.01</v>
      </c>
      <c r="DT22" s="229">
        <v>-1.7899999999999999E-2</v>
      </c>
      <c r="DU22" s="231">
        <v>1100</v>
      </c>
      <c r="DV22" s="231">
        <v>1060</v>
      </c>
      <c r="DW22" s="228">
        <v>0.54</v>
      </c>
      <c r="DX22" s="228">
        <v>0.53</v>
      </c>
      <c r="DY22" s="228">
        <v>0.01</v>
      </c>
      <c r="DZ22" s="229">
        <v>1.89E-2</v>
      </c>
      <c r="EA22" s="229">
        <v>9.1300000000000006E-2</v>
      </c>
      <c r="EB22" s="230">
        <v>7295000</v>
      </c>
      <c r="EC22" s="229">
        <v>5.7000000000000002E-3</v>
      </c>
      <c r="ED22" s="229">
        <v>9.1300000000000006E-2</v>
      </c>
      <c r="EE22" s="228">
        <v>6.4</v>
      </c>
      <c r="EF22" s="229">
        <v>5.8999999999999999E-3</v>
      </c>
      <c r="EG22" s="230">
        <v>2123656</v>
      </c>
      <c r="EH22" s="230">
        <v>3845138</v>
      </c>
      <c r="EI22" s="229">
        <v>-0.44769999999999999</v>
      </c>
      <c r="EJ22" s="229">
        <v>0.69079999999999997</v>
      </c>
      <c r="EK22" s="231">
        <v>1659.69</v>
      </c>
      <c r="EL22" s="228">
        <v>857.57</v>
      </c>
      <c r="EM22" s="228">
        <v>885.31</v>
      </c>
      <c r="EN22" s="228">
        <v>0</v>
      </c>
      <c r="EO22" s="231">
        <v>3402.56</v>
      </c>
      <c r="EP22" s="231">
        <v>4791.99</v>
      </c>
      <c r="EQ22" s="231">
        <v>-1389.42</v>
      </c>
      <c r="ER22" s="229">
        <v>-0.28989999999999999</v>
      </c>
      <c r="ES22" s="231">
        <v>2398.5</v>
      </c>
      <c r="ET22" s="231">
        <v>1228.1300000000001</v>
      </c>
      <c r="EU22" s="231">
        <v>11338.8</v>
      </c>
      <c r="EV22" s="231">
        <v>550740541</v>
      </c>
      <c r="EW22" s="231">
        <v>14965.43</v>
      </c>
      <c r="EX22" s="231">
        <v>14808.83</v>
      </c>
      <c r="EY22" s="228">
        <v>156.6</v>
      </c>
      <c r="EZ22" s="229">
        <v>1.06E-2</v>
      </c>
      <c r="FA22" s="229">
        <v>0.2495</v>
      </c>
      <c r="FB22" s="227" t="s">
        <v>567</v>
      </c>
      <c r="FC22">
        <f t="shared" si="0"/>
        <v>1035</v>
      </c>
    </row>
    <row r="23" spans="1:159" ht="17.25" thickBot="1" x14ac:dyDescent="0.3">
      <c r="A23" s="226">
        <v>45889</v>
      </c>
      <c r="B23" s="227" t="s">
        <v>162</v>
      </c>
      <c r="C23" s="227" t="s">
        <v>174</v>
      </c>
      <c r="D23" s="228">
        <v>75</v>
      </c>
      <c r="E23" s="228">
        <v>8</v>
      </c>
      <c r="F23" s="231">
        <v>8826.5</v>
      </c>
      <c r="G23" s="231">
        <v>8800.5</v>
      </c>
      <c r="H23" s="228">
        <v>26</v>
      </c>
      <c r="I23" s="229">
        <v>3.0000000000000001E-3</v>
      </c>
      <c r="J23" s="231">
        <v>8827.5</v>
      </c>
      <c r="K23" s="231">
        <v>8795.5</v>
      </c>
      <c r="L23" s="228">
        <v>32</v>
      </c>
      <c r="M23" s="229">
        <v>3.5999999999999999E-3</v>
      </c>
      <c r="N23" s="231">
        <v>8826.5</v>
      </c>
      <c r="O23" s="231">
        <v>8800.5</v>
      </c>
      <c r="P23" s="228">
        <v>26</v>
      </c>
      <c r="Q23" s="229">
        <v>3.0000000000000001E-3</v>
      </c>
      <c r="R23" s="231">
        <v>8872</v>
      </c>
      <c r="S23" s="231">
        <v>8846</v>
      </c>
      <c r="T23" s="228">
        <v>26</v>
      </c>
      <c r="U23" s="229">
        <v>2.8999999999999998E-3</v>
      </c>
      <c r="V23" s="231">
        <v>8913</v>
      </c>
      <c r="W23" s="231">
        <v>8892.5</v>
      </c>
      <c r="X23" s="228">
        <v>20.5</v>
      </c>
      <c r="Y23" s="229">
        <v>2.3E-3</v>
      </c>
      <c r="Z23" s="228">
        <v>-1</v>
      </c>
      <c r="AA23" s="228">
        <v>5</v>
      </c>
      <c r="AB23" s="228">
        <v>-6</v>
      </c>
      <c r="AC23" s="229">
        <v>-1E-4</v>
      </c>
      <c r="AD23" s="228">
        <v>-1</v>
      </c>
      <c r="AE23" s="228">
        <v>5</v>
      </c>
      <c r="AF23" s="228">
        <v>-6</v>
      </c>
      <c r="AG23" s="229">
        <v>-1E-4</v>
      </c>
      <c r="AH23" s="228">
        <v>44.5</v>
      </c>
      <c r="AI23" s="228">
        <v>50.5</v>
      </c>
      <c r="AJ23" s="228">
        <v>-6</v>
      </c>
      <c r="AK23" s="229">
        <v>5.0000000000000001E-3</v>
      </c>
      <c r="AL23" s="228">
        <v>85.5</v>
      </c>
      <c r="AM23" s="228">
        <v>97</v>
      </c>
      <c r="AN23" s="228">
        <v>-11.5</v>
      </c>
      <c r="AO23" s="229">
        <v>9.7000000000000003E-3</v>
      </c>
      <c r="AP23" s="231">
        <v>8826</v>
      </c>
      <c r="AQ23" s="231">
        <v>8873.66</v>
      </c>
      <c r="AR23" s="228">
        <v>0</v>
      </c>
      <c r="AS23" s="228">
        <v>567</v>
      </c>
      <c r="AT23" s="230">
        <v>1317</v>
      </c>
      <c r="AU23" s="228">
        <v>-750</v>
      </c>
      <c r="AV23" s="229">
        <v>-0.56979999999999997</v>
      </c>
      <c r="AW23" s="228">
        <v>456</v>
      </c>
      <c r="AX23" s="230">
        <v>1136</v>
      </c>
      <c r="AY23" s="228">
        <v>-680</v>
      </c>
      <c r="AZ23" s="229">
        <v>-0.59850000000000003</v>
      </c>
      <c r="BA23" s="228">
        <v>104</v>
      </c>
      <c r="BB23" s="228">
        <v>171</v>
      </c>
      <c r="BC23" s="228">
        <v>-67</v>
      </c>
      <c r="BD23" s="229">
        <v>-0.3926</v>
      </c>
      <c r="BE23" s="228">
        <v>7</v>
      </c>
      <c r="BF23" s="228">
        <v>10</v>
      </c>
      <c r="BG23" s="228">
        <v>-4</v>
      </c>
      <c r="BH23" s="229">
        <v>-0.34639999999999999</v>
      </c>
      <c r="BI23" s="230">
        <v>3840</v>
      </c>
      <c r="BJ23" s="230">
        <v>15796</v>
      </c>
      <c r="BK23" s="230">
        <v>-11956</v>
      </c>
      <c r="BL23" s="229">
        <v>-0.75690000000000002</v>
      </c>
      <c r="BM23" s="230">
        <v>1990</v>
      </c>
      <c r="BN23" s="230">
        <v>6438</v>
      </c>
      <c r="BO23" s="230">
        <v>-4448</v>
      </c>
      <c r="BP23" s="229">
        <v>-0.69089999999999996</v>
      </c>
      <c r="BQ23" s="230">
        <v>6396</v>
      </c>
      <c r="BR23" s="230">
        <v>23551</v>
      </c>
      <c r="BS23" s="230">
        <v>-17155</v>
      </c>
      <c r="BT23" s="229">
        <v>-0.72840000000000005</v>
      </c>
      <c r="BU23" s="230">
        <v>501159</v>
      </c>
      <c r="BV23" s="230">
        <v>1079516</v>
      </c>
      <c r="BW23" s="230">
        <v>-578357</v>
      </c>
      <c r="BX23" s="229">
        <v>-0.53580000000000005</v>
      </c>
      <c r="BY23" s="230">
        <v>2540</v>
      </c>
      <c r="BZ23" s="230">
        <v>2540</v>
      </c>
      <c r="CA23" s="228">
        <v>1</v>
      </c>
      <c r="CB23" s="229">
        <v>2.0000000000000001E-4</v>
      </c>
      <c r="CC23" s="230">
        <v>2383</v>
      </c>
      <c r="CD23" s="230">
        <v>2426</v>
      </c>
      <c r="CE23" s="228">
        <v>-43</v>
      </c>
      <c r="CF23" s="229">
        <v>-1.78E-2</v>
      </c>
      <c r="CG23" s="228">
        <v>147</v>
      </c>
      <c r="CH23" s="228">
        <v>105</v>
      </c>
      <c r="CI23" s="228">
        <v>42</v>
      </c>
      <c r="CJ23" s="229">
        <v>0.40389999999999998</v>
      </c>
      <c r="CK23" s="228">
        <v>10</v>
      </c>
      <c r="CL23" s="228">
        <v>8</v>
      </c>
      <c r="CM23" s="228">
        <v>1</v>
      </c>
      <c r="CN23" s="229">
        <v>0.1694</v>
      </c>
      <c r="CO23" s="230">
        <v>1308</v>
      </c>
      <c r="CP23" s="230">
        <v>1375</v>
      </c>
      <c r="CQ23" s="228">
        <v>-68</v>
      </c>
      <c r="CR23" s="229">
        <v>-4.9200000000000001E-2</v>
      </c>
      <c r="CS23" s="230">
        <v>1089</v>
      </c>
      <c r="CT23" s="230">
        <v>1062</v>
      </c>
      <c r="CU23" s="228">
        <v>27</v>
      </c>
      <c r="CV23" s="229">
        <v>2.5700000000000001E-2</v>
      </c>
      <c r="CW23" s="230">
        <v>4937</v>
      </c>
      <c r="CX23" s="230">
        <v>4977</v>
      </c>
      <c r="CY23" s="228">
        <v>-40</v>
      </c>
      <c r="CZ23" s="229">
        <v>-8.0000000000000002E-3</v>
      </c>
      <c r="DA23" s="228">
        <v>25.01</v>
      </c>
      <c r="DB23" s="228">
        <v>25.35</v>
      </c>
      <c r="DC23" s="228">
        <v>-0.34</v>
      </c>
      <c r="DD23" s="228">
        <v>-0.34</v>
      </c>
      <c r="DE23" s="228">
        <v>31.72</v>
      </c>
      <c r="DF23" s="228">
        <v>31.8</v>
      </c>
      <c r="DG23" s="228">
        <v>-6.71</v>
      </c>
      <c r="DH23" s="228">
        <v>-0.08</v>
      </c>
      <c r="DI23" s="228">
        <v>24.61</v>
      </c>
      <c r="DJ23" s="228">
        <v>25.08</v>
      </c>
      <c r="DK23" s="228">
        <v>-0.47</v>
      </c>
      <c r="DL23" s="228">
        <v>-0.47</v>
      </c>
      <c r="DM23" s="228">
        <v>25.77</v>
      </c>
      <c r="DN23" s="228">
        <v>26</v>
      </c>
      <c r="DO23" s="228">
        <v>-0.23</v>
      </c>
      <c r="DP23" s="228">
        <v>-0.23</v>
      </c>
      <c r="DQ23" s="228">
        <v>0.83</v>
      </c>
      <c r="DR23" s="228">
        <v>0.77</v>
      </c>
      <c r="DS23" s="228">
        <v>0.06</v>
      </c>
      <c r="DT23" s="229">
        <v>7.7899999999999997E-2</v>
      </c>
      <c r="DU23" s="231">
        <v>9000</v>
      </c>
      <c r="DV23" s="231">
        <v>8500</v>
      </c>
      <c r="DW23" s="228">
        <v>0.52</v>
      </c>
      <c r="DX23" s="228">
        <v>0.41</v>
      </c>
      <c r="DY23" s="228">
        <v>0.11</v>
      </c>
      <c r="DZ23" s="229">
        <v>0.26829999999999998</v>
      </c>
      <c r="EA23" s="229">
        <v>6.1800000000000001E-2</v>
      </c>
      <c r="EB23" s="230">
        <v>128325</v>
      </c>
      <c r="EC23" s="229">
        <v>5.1999999999999998E-3</v>
      </c>
      <c r="ED23" s="229">
        <v>6.1800000000000001E-2</v>
      </c>
      <c r="EE23" s="228">
        <v>47.66</v>
      </c>
      <c r="EF23" s="229">
        <v>5.4000000000000003E-3</v>
      </c>
      <c r="EG23" s="230">
        <v>240505</v>
      </c>
      <c r="EH23" s="230">
        <v>434315</v>
      </c>
      <c r="EI23" s="229">
        <v>-0.44619999999999999</v>
      </c>
      <c r="EJ23" s="229">
        <v>0.47989999999999999</v>
      </c>
      <c r="EK23" s="231">
        <v>3959.68</v>
      </c>
      <c r="EL23" s="231">
        <v>1952.52</v>
      </c>
      <c r="EM23" s="228">
        <v>567.20000000000005</v>
      </c>
      <c r="EN23" s="228">
        <v>0</v>
      </c>
      <c r="EO23" s="231">
        <v>6479.4</v>
      </c>
      <c r="EP23" s="231">
        <v>23841.86</v>
      </c>
      <c r="EQ23" s="231">
        <v>-17362.45</v>
      </c>
      <c r="ER23" s="229">
        <v>-0.72819999999999996</v>
      </c>
      <c r="ES23" s="231">
        <v>1315.42</v>
      </c>
      <c r="ET23" s="231">
        <v>1015.05</v>
      </c>
      <c r="EU23" s="231">
        <v>2540.9699999999998</v>
      </c>
      <c r="EV23" s="231">
        <v>25095463</v>
      </c>
      <c r="EW23" s="231">
        <v>4871.4399999999996</v>
      </c>
      <c r="EX23" s="231">
        <v>4903.32</v>
      </c>
      <c r="EY23" s="228">
        <v>-31.88</v>
      </c>
      <c r="EZ23" s="229">
        <v>-6.4999999999999997E-3</v>
      </c>
      <c r="FA23" s="229">
        <v>0.22289999999999999</v>
      </c>
      <c r="FB23" s="227" t="s">
        <v>555</v>
      </c>
      <c r="FC23">
        <f t="shared" si="0"/>
        <v>157</v>
      </c>
    </row>
    <row r="24" spans="1:159" ht="17.25" thickBot="1" x14ac:dyDescent="0.3">
      <c r="A24" s="226">
        <v>45889</v>
      </c>
      <c r="B24" s="227" t="s">
        <v>175</v>
      </c>
      <c r="C24" s="227" t="s">
        <v>176</v>
      </c>
      <c r="D24" s="228">
        <v>500</v>
      </c>
      <c r="E24" s="228">
        <v>8</v>
      </c>
      <c r="F24" s="231">
        <v>1962.9</v>
      </c>
      <c r="G24" s="231">
        <v>1978.8</v>
      </c>
      <c r="H24" s="228">
        <v>-15.9</v>
      </c>
      <c r="I24" s="229">
        <v>-8.0000000000000002E-3</v>
      </c>
      <c r="J24" s="231">
        <v>1958.5</v>
      </c>
      <c r="K24" s="231">
        <v>1972.2</v>
      </c>
      <c r="L24" s="228">
        <v>-13.7</v>
      </c>
      <c r="M24" s="229">
        <v>-6.8999999999999999E-3</v>
      </c>
      <c r="N24" s="231">
        <v>1962.9</v>
      </c>
      <c r="O24" s="231">
        <v>1978.8</v>
      </c>
      <c r="P24" s="228">
        <v>-15.9</v>
      </c>
      <c r="Q24" s="229">
        <v>-8.0000000000000002E-3</v>
      </c>
      <c r="R24" s="231">
        <v>1972.2</v>
      </c>
      <c r="S24" s="231">
        <v>1989.8</v>
      </c>
      <c r="T24" s="228">
        <v>-17.600000000000001</v>
      </c>
      <c r="U24" s="229">
        <v>-8.8000000000000005E-3</v>
      </c>
      <c r="V24" s="231">
        <v>1982.3</v>
      </c>
      <c r="W24" s="231">
        <v>1998</v>
      </c>
      <c r="X24" s="228">
        <v>-15.7</v>
      </c>
      <c r="Y24" s="229">
        <v>-7.9000000000000008E-3</v>
      </c>
      <c r="Z24" s="228">
        <v>4.4000000000000004</v>
      </c>
      <c r="AA24" s="228">
        <v>6.6</v>
      </c>
      <c r="AB24" s="228">
        <v>-2.2000000000000002</v>
      </c>
      <c r="AC24" s="229">
        <v>2.2000000000000001E-3</v>
      </c>
      <c r="AD24" s="228">
        <v>4.4000000000000004</v>
      </c>
      <c r="AE24" s="228">
        <v>6.6</v>
      </c>
      <c r="AF24" s="228">
        <v>-2.2000000000000002</v>
      </c>
      <c r="AG24" s="229">
        <v>2.2000000000000001E-3</v>
      </c>
      <c r="AH24" s="228">
        <v>13.7</v>
      </c>
      <c r="AI24" s="228">
        <v>17.600000000000001</v>
      </c>
      <c r="AJ24" s="228">
        <v>-3.9</v>
      </c>
      <c r="AK24" s="229">
        <v>7.0000000000000001E-3</v>
      </c>
      <c r="AL24" s="228">
        <v>23.8</v>
      </c>
      <c r="AM24" s="228">
        <v>25.8</v>
      </c>
      <c r="AN24" s="228">
        <v>-2</v>
      </c>
      <c r="AO24" s="229">
        <v>1.2200000000000001E-2</v>
      </c>
      <c r="AP24" s="231">
        <v>1961.01</v>
      </c>
      <c r="AQ24" s="231">
        <v>1972.26</v>
      </c>
      <c r="AR24" s="228">
        <v>0</v>
      </c>
      <c r="AS24" s="228">
        <v>421</v>
      </c>
      <c r="AT24" s="228">
        <v>427</v>
      </c>
      <c r="AU24" s="228">
        <v>-6</v>
      </c>
      <c r="AV24" s="229">
        <v>-1.3299999999999999E-2</v>
      </c>
      <c r="AW24" s="228">
        <v>333</v>
      </c>
      <c r="AX24" s="228">
        <v>359</v>
      </c>
      <c r="AY24" s="228">
        <v>-26</v>
      </c>
      <c r="AZ24" s="229">
        <v>-7.3200000000000001E-2</v>
      </c>
      <c r="BA24" s="228">
        <v>83</v>
      </c>
      <c r="BB24" s="228">
        <v>63</v>
      </c>
      <c r="BC24" s="228">
        <v>21</v>
      </c>
      <c r="BD24" s="229">
        <v>0.3281</v>
      </c>
      <c r="BE24" s="228">
        <v>5</v>
      </c>
      <c r="BF24" s="228">
        <v>5</v>
      </c>
      <c r="BG24" s="228">
        <v>0</v>
      </c>
      <c r="BH24" s="229">
        <v>1.8499999999999999E-2</v>
      </c>
      <c r="BI24" s="230">
        <v>1856</v>
      </c>
      <c r="BJ24" s="230">
        <v>1937</v>
      </c>
      <c r="BK24" s="228">
        <v>-81</v>
      </c>
      <c r="BL24" s="229">
        <v>-4.1799999999999997E-2</v>
      </c>
      <c r="BM24" s="228">
        <v>899</v>
      </c>
      <c r="BN24" s="230">
        <v>1228</v>
      </c>
      <c r="BO24" s="228">
        <v>-329</v>
      </c>
      <c r="BP24" s="229">
        <v>-0.2676</v>
      </c>
      <c r="BQ24" s="230">
        <v>3177</v>
      </c>
      <c r="BR24" s="230">
        <v>3592</v>
      </c>
      <c r="BS24" s="228">
        <v>-415</v>
      </c>
      <c r="BT24" s="229">
        <v>-0.11559999999999999</v>
      </c>
      <c r="BU24" s="230">
        <v>1480633</v>
      </c>
      <c r="BV24" s="230">
        <v>1419398</v>
      </c>
      <c r="BW24" s="230">
        <v>61235</v>
      </c>
      <c r="BX24" s="229">
        <v>4.3099999999999999E-2</v>
      </c>
      <c r="BY24" s="230">
        <v>3359</v>
      </c>
      <c r="BZ24" s="230">
        <v>3334</v>
      </c>
      <c r="CA24" s="228">
        <v>25</v>
      </c>
      <c r="CB24" s="229">
        <v>7.6E-3</v>
      </c>
      <c r="CC24" s="230">
        <v>3200</v>
      </c>
      <c r="CD24" s="230">
        <v>3221</v>
      </c>
      <c r="CE24" s="228">
        <v>-21</v>
      </c>
      <c r="CF24" s="229">
        <v>-6.4999999999999997E-3</v>
      </c>
      <c r="CG24" s="228">
        <v>138</v>
      </c>
      <c r="CH24" s="228">
        <v>93</v>
      </c>
      <c r="CI24" s="228">
        <v>45</v>
      </c>
      <c r="CJ24" s="229">
        <v>0.47789999999999999</v>
      </c>
      <c r="CK24" s="228">
        <v>22</v>
      </c>
      <c r="CL24" s="228">
        <v>20</v>
      </c>
      <c r="CM24" s="228">
        <v>2</v>
      </c>
      <c r="CN24" s="229">
        <v>8.8200000000000001E-2</v>
      </c>
      <c r="CO24" s="230">
        <v>1254</v>
      </c>
      <c r="CP24" s="230">
        <v>1141</v>
      </c>
      <c r="CQ24" s="228">
        <v>113</v>
      </c>
      <c r="CR24" s="229">
        <v>9.8599999999999993E-2</v>
      </c>
      <c r="CS24" s="228">
        <v>892</v>
      </c>
      <c r="CT24" s="228">
        <v>907</v>
      </c>
      <c r="CU24" s="228">
        <v>-16</v>
      </c>
      <c r="CV24" s="229">
        <v>-1.7100000000000001E-2</v>
      </c>
      <c r="CW24" s="230">
        <v>5505</v>
      </c>
      <c r="CX24" s="230">
        <v>5383</v>
      </c>
      <c r="CY24" s="228">
        <v>122</v>
      </c>
      <c r="CZ24" s="229">
        <v>2.2800000000000001E-2</v>
      </c>
      <c r="DA24" s="228">
        <v>22.01</v>
      </c>
      <c r="DB24" s="228">
        <v>21</v>
      </c>
      <c r="DC24" s="228">
        <v>1.01</v>
      </c>
      <c r="DD24" s="228">
        <v>1.01</v>
      </c>
      <c r="DE24" s="228">
        <v>29.56</v>
      </c>
      <c r="DF24" s="228">
        <v>29.61</v>
      </c>
      <c r="DG24" s="228">
        <v>-7.55</v>
      </c>
      <c r="DH24" s="228">
        <v>-0.05</v>
      </c>
      <c r="DI24" s="228">
        <v>22.15</v>
      </c>
      <c r="DJ24" s="228">
        <v>21.17</v>
      </c>
      <c r="DK24" s="228">
        <v>0.98</v>
      </c>
      <c r="DL24" s="228">
        <v>0.98</v>
      </c>
      <c r="DM24" s="228">
        <v>21.72</v>
      </c>
      <c r="DN24" s="228">
        <v>20.75</v>
      </c>
      <c r="DO24" s="228">
        <v>0.97</v>
      </c>
      <c r="DP24" s="228">
        <v>0.97</v>
      </c>
      <c r="DQ24" s="228">
        <v>0.71</v>
      </c>
      <c r="DR24" s="228">
        <v>0.79</v>
      </c>
      <c r="DS24" s="228">
        <v>-0.08</v>
      </c>
      <c r="DT24" s="229">
        <v>-0.1013</v>
      </c>
      <c r="DU24" s="231">
        <v>2000</v>
      </c>
      <c r="DV24" s="231">
        <v>1900</v>
      </c>
      <c r="DW24" s="228">
        <v>0.48</v>
      </c>
      <c r="DX24" s="228">
        <v>0.63</v>
      </c>
      <c r="DY24" s="228">
        <v>-0.15</v>
      </c>
      <c r="DZ24" s="229">
        <v>-0.23810000000000001</v>
      </c>
      <c r="EA24" s="229">
        <v>4.7500000000000001E-2</v>
      </c>
      <c r="EB24" s="230">
        <v>577000</v>
      </c>
      <c r="EC24" s="229">
        <v>4.7000000000000002E-3</v>
      </c>
      <c r="ED24" s="229">
        <v>4.7500000000000001E-2</v>
      </c>
      <c r="EE24" s="228">
        <v>11.25</v>
      </c>
      <c r="EF24" s="229">
        <v>5.7000000000000002E-3</v>
      </c>
      <c r="EG24" s="230">
        <v>1015639</v>
      </c>
      <c r="EH24" s="230">
        <v>968153</v>
      </c>
      <c r="EI24" s="229">
        <v>4.9000000000000002E-2</v>
      </c>
      <c r="EJ24" s="229">
        <v>0.68589999999999995</v>
      </c>
      <c r="EK24" s="231">
        <v>1908.2</v>
      </c>
      <c r="EL24" s="228">
        <v>893</v>
      </c>
      <c r="EM24" s="228">
        <v>421.37</v>
      </c>
      <c r="EN24" s="228">
        <v>0</v>
      </c>
      <c r="EO24" s="231">
        <v>3222.57</v>
      </c>
      <c r="EP24" s="231">
        <v>3674.03</v>
      </c>
      <c r="EQ24" s="228">
        <v>-451.45</v>
      </c>
      <c r="ER24" s="229">
        <v>-0.1229</v>
      </c>
      <c r="ES24" s="231">
        <v>1309.82</v>
      </c>
      <c r="ET24" s="228">
        <v>852.71</v>
      </c>
      <c r="EU24" s="231">
        <v>3360.27</v>
      </c>
      <c r="EV24" s="231">
        <v>131319425</v>
      </c>
      <c r="EW24" s="231">
        <v>5522.8</v>
      </c>
      <c r="EX24" s="231">
        <v>5426.43</v>
      </c>
      <c r="EY24" s="228">
        <v>96.37</v>
      </c>
      <c r="EZ24" s="229">
        <v>1.78E-2</v>
      </c>
      <c r="FA24" s="229">
        <v>0.21360000000000001</v>
      </c>
      <c r="FB24" s="227" t="s">
        <v>567</v>
      </c>
      <c r="FC24">
        <f t="shared" si="0"/>
        <v>159</v>
      </c>
    </row>
    <row r="25" spans="1:159" ht="17.25" thickBot="1" x14ac:dyDescent="0.3">
      <c r="A25" s="226">
        <v>45889</v>
      </c>
      <c r="B25" s="227" t="s">
        <v>175</v>
      </c>
      <c r="C25" s="227" t="s">
        <v>177</v>
      </c>
      <c r="D25" s="228">
        <v>750</v>
      </c>
      <c r="E25" s="228">
        <v>8</v>
      </c>
      <c r="F25" s="228">
        <v>887.95</v>
      </c>
      <c r="G25" s="228">
        <v>904.1</v>
      </c>
      <c r="H25" s="228">
        <v>-16.149999999999999</v>
      </c>
      <c r="I25" s="229">
        <v>-1.7899999999999999E-2</v>
      </c>
      <c r="J25" s="228">
        <v>887.8</v>
      </c>
      <c r="K25" s="228">
        <v>902.3</v>
      </c>
      <c r="L25" s="228">
        <v>-14.5</v>
      </c>
      <c r="M25" s="229">
        <v>-1.61E-2</v>
      </c>
      <c r="N25" s="228">
        <v>887.95</v>
      </c>
      <c r="O25" s="228">
        <v>904.1</v>
      </c>
      <c r="P25" s="228">
        <v>-16.149999999999999</v>
      </c>
      <c r="Q25" s="229">
        <v>-1.7899999999999999E-2</v>
      </c>
      <c r="R25" s="228">
        <v>893.2</v>
      </c>
      <c r="S25" s="228">
        <v>909.2</v>
      </c>
      <c r="T25" s="228">
        <v>-16</v>
      </c>
      <c r="U25" s="229">
        <v>-1.7600000000000001E-2</v>
      </c>
      <c r="V25" s="228">
        <v>897.5</v>
      </c>
      <c r="W25" s="228">
        <v>913.2</v>
      </c>
      <c r="X25" s="228">
        <v>-15.7</v>
      </c>
      <c r="Y25" s="229">
        <v>-1.72E-2</v>
      </c>
      <c r="Z25" s="228">
        <v>0.15</v>
      </c>
      <c r="AA25" s="228">
        <v>1.8</v>
      </c>
      <c r="AB25" s="228">
        <v>-1.65</v>
      </c>
      <c r="AC25" s="229">
        <v>2.0000000000000001E-4</v>
      </c>
      <c r="AD25" s="228">
        <v>0.15</v>
      </c>
      <c r="AE25" s="228">
        <v>1.8</v>
      </c>
      <c r="AF25" s="228">
        <v>-1.65</v>
      </c>
      <c r="AG25" s="229">
        <v>2.0000000000000001E-4</v>
      </c>
      <c r="AH25" s="228">
        <v>5.4</v>
      </c>
      <c r="AI25" s="228">
        <v>6.9</v>
      </c>
      <c r="AJ25" s="228">
        <v>-1.5</v>
      </c>
      <c r="AK25" s="229">
        <v>6.1000000000000004E-3</v>
      </c>
      <c r="AL25" s="228">
        <v>9.6999999999999993</v>
      </c>
      <c r="AM25" s="228">
        <v>10.9</v>
      </c>
      <c r="AN25" s="228">
        <v>-1.2</v>
      </c>
      <c r="AO25" s="229">
        <v>1.09E-2</v>
      </c>
      <c r="AP25" s="228">
        <v>889.76</v>
      </c>
      <c r="AQ25" s="228">
        <v>894.53</v>
      </c>
      <c r="AR25" s="228">
        <v>0</v>
      </c>
      <c r="AS25" s="230">
        <v>1024</v>
      </c>
      <c r="AT25" s="228">
        <v>933</v>
      </c>
      <c r="AU25" s="228">
        <v>92</v>
      </c>
      <c r="AV25" s="229">
        <v>9.8199999999999996E-2</v>
      </c>
      <c r="AW25" s="228">
        <v>771</v>
      </c>
      <c r="AX25" s="228">
        <v>716</v>
      </c>
      <c r="AY25" s="228">
        <v>55</v>
      </c>
      <c r="AZ25" s="229">
        <v>7.6600000000000001E-2</v>
      </c>
      <c r="BA25" s="228">
        <v>242</v>
      </c>
      <c r="BB25" s="228">
        <v>138</v>
      </c>
      <c r="BC25" s="228">
        <v>104</v>
      </c>
      <c r="BD25" s="229">
        <v>0.75839999999999996</v>
      </c>
      <c r="BE25" s="228">
        <v>11</v>
      </c>
      <c r="BF25" s="228">
        <v>79</v>
      </c>
      <c r="BG25" s="228">
        <v>-68</v>
      </c>
      <c r="BH25" s="229">
        <v>-0.85799999999999998</v>
      </c>
      <c r="BI25" s="230">
        <v>2886</v>
      </c>
      <c r="BJ25" s="230">
        <v>3381</v>
      </c>
      <c r="BK25" s="228">
        <v>-495</v>
      </c>
      <c r="BL25" s="229">
        <v>-0.14649999999999999</v>
      </c>
      <c r="BM25" s="230">
        <v>1585</v>
      </c>
      <c r="BN25" s="230">
        <v>1873</v>
      </c>
      <c r="BO25" s="228">
        <v>-287</v>
      </c>
      <c r="BP25" s="229">
        <v>-0.15340000000000001</v>
      </c>
      <c r="BQ25" s="230">
        <v>5495</v>
      </c>
      <c r="BR25" s="230">
        <v>6186</v>
      </c>
      <c r="BS25" s="228">
        <v>-691</v>
      </c>
      <c r="BT25" s="229">
        <v>-0.11169999999999999</v>
      </c>
      <c r="BU25" s="230">
        <v>5811966</v>
      </c>
      <c r="BV25" s="230">
        <v>5939275</v>
      </c>
      <c r="BW25" s="230">
        <v>-127309</v>
      </c>
      <c r="BX25" s="229">
        <v>-2.1399999999999999E-2</v>
      </c>
      <c r="BY25" s="230">
        <v>8775</v>
      </c>
      <c r="BZ25" s="230">
        <v>8737</v>
      </c>
      <c r="CA25" s="228">
        <v>38</v>
      </c>
      <c r="CB25" s="229">
        <v>4.4000000000000003E-3</v>
      </c>
      <c r="CC25" s="230">
        <v>7485</v>
      </c>
      <c r="CD25" s="230">
        <v>7618</v>
      </c>
      <c r="CE25" s="228">
        <v>-134</v>
      </c>
      <c r="CF25" s="229">
        <v>-1.7500000000000002E-2</v>
      </c>
      <c r="CG25" s="228">
        <v>959</v>
      </c>
      <c r="CH25" s="228">
        <v>792</v>
      </c>
      <c r="CI25" s="228">
        <v>166</v>
      </c>
      <c r="CJ25" s="229">
        <v>0.2099</v>
      </c>
      <c r="CK25" s="228">
        <v>332</v>
      </c>
      <c r="CL25" s="228">
        <v>326</v>
      </c>
      <c r="CM25" s="228">
        <v>6</v>
      </c>
      <c r="CN25" s="229">
        <v>1.72E-2</v>
      </c>
      <c r="CO25" s="230">
        <v>2638</v>
      </c>
      <c r="CP25" s="230">
        <v>2331</v>
      </c>
      <c r="CQ25" s="228">
        <v>307</v>
      </c>
      <c r="CR25" s="229">
        <v>0.13189999999999999</v>
      </c>
      <c r="CS25" s="230">
        <v>1400</v>
      </c>
      <c r="CT25" s="230">
        <v>1361</v>
      </c>
      <c r="CU25" s="228">
        <v>39</v>
      </c>
      <c r="CV25" s="229">
        <v>2.8799999999999999E-2</v>
      </c>
      <c r="CW25" s="230">
        <v>12813</v>
      </c>
      <c r="CX25" s="230">
        <v>12428</v>
      </c>
      <c r="CY25" s="228">
        <v>385</v>
      </c>
      <c r="CZ25" s="229">
        <v>3.1E-2</v>
      </c>
      <c r="DA25" s="228">
        <v>27.59</v>
      </c>
      <c r="DB25" s="228">
        <v>26.27</v>
      </c>
      <c r="DC25" s="228">
        <v>1.32</v>
      </c>
      <c r="DD25" s="228">
        <v>1.32</v>
      </c>
      <c r="DE25" s="228">
        <v>31.85</v>
      </c>
      <c r="DF25" s="228">
        <v>31.85</v>
      </c>
      <c r="DG25" s="228">
        <v>-4.26</v>
      </c>
      <c r="DH25" s="228">
        <v>0</v>
      </c>
      <c r="DI25" s="228">
        <v>28.07</v>
      </c>
      <c r="DJ25" s="228">
        <v>26.41</v>
      </c>
      <c r="DK25" s="228">
        <v>1.66</v>
      </c>
      <c r="DL25" s="228">
        <v>1.66</v>
      </c>
      <c r="DM25" s="228">
        <v>26.7</v>
      </c>
      <c r="DN25" s="228">
        <v>26.02</v>
      </c>
      <c r="DO25" s="228">
        <v>0.68</v>
      </c>
      <c r="DP25" s="228">
        <v>0.68</v>
      </c>
      <c r="DQ25" s="228">
        <v>0.53</v>
      </c>
      <c r="DR25" s="228">
        <v>0.57999999999999996</v>
      </c>
      <c r="DS25" s="228">
        <v>-0.05</v>
      </c>
      <c r="DT25" s="229">
        <v>-8.6199999999999999E-2</v>
      </c>
      <c r="DU25" s="228">
        <v>900</v>
      </c>
      <c r="DV25" s="228">
        <v>900</v>
      </c>
      <c r="DW25" s="228">
        <v>0.55000000000000004</v>
      </c>
      <c r="DX25" s="228">
        <v>0.55000000000000004</v>
      </c>
      <c r="DY25" s="228">
        <v>0</v>
      </c>
      <c r="DZ25" s="229">
        <v>0</v>
      </c>
      <c r="EA25" s="229">
        <v>0.14699999999999999</v>
      </c>
      <c r="EB25" s="230">
        <v>12594000</v>
      </c>
      <c r="EC25" s="229">
        <v>5.8999999999999999E-3</v>
      </c>
      <c r="ED25" s="229">
        <v>0.14699999999999999</v>
      </c>
      <c r="EE25" s="228">
        <v>4.7699999999999996</v>
      </c>
      <c r="EF25" s="229">
        <v>5.4000000000000003E-3</v>
      </c>
      <c r="EG25" s="230">
        <v>3694117</v>
      </c>
      <c r="EH25" s="230">
        <v>2936986</v>
      </c>
      <c r="EI25" s="229">
        <v>0.25779999999999997</v>
      </c>
      <c r="EJ25" s="229">
        <v>0.63560000000000005</v>
      </c>
      <c r="EK25" s="231">
        <v>3010.19</v>
      </c>
      <c r="EL25" s="231">
        <v>1589.62</v>
      </c>
      <c r="EM25" s="231">
        <v>1027.76</v>
      </c>
      <c r="EN25" s="228">
        <v>0</v>
      </c>
      <c r="EO25" s="231">
        <v>5627.58</v>
      </c>
      <c r="EP25" s="231">
        <v>6385.8</v>
      </c>
      <c r="EQ25" s="228">
        <v>-758.22</v>
      </c>
      <c r="ER25" s="229">
        <v>-0.1187</v>
      </c>
      <c r="ES25" s="231">
        <v>2798.28</v>
      </c>
      <c r="ET25" s="231">
        <v>1361.83</v>
      </c>
      <c r="EU25" s="231">
        <v>8784.16</v>
      </c>
      <c r="EV25" s="231">
        <v>562232690</v>
      </c>
      <c r="EW25" s="231">
        <v>12944.26</v>
      </c>
      <c r="EX25" s="231">
        <v>12709.04</v>
      </c>
      <c r="EY25" s="228">
        <v>235.22</v>
      </c>
      <c r="EZ25" s="229">
        <v>1.8499999999999999E-2</v>
      </c>
      <c r="FA25" s="229">
        <v>0.25669999999999998</v>
      </c>
      <c r="FB25" s="227" t="s">
        <v>567</v>
      </c>
      <c r="FC25">
        <f t="shared" si="0"/>
        <v>1290</v>
      </c>
    </row>
    <row r="26" spans="1:159" ht="17.25" thickBot="1" x14ac:dyDescent="0.3">
      <c r="A26" s="226">
        <v>45889</v>
      </c>
      <c r="B26" s="227" t="s">
        <v>172</v>
      </c>
      <c r="C26" s="227" t="s">
        <v>179</v>
      </c>
      <c r="D26" s="228">
        <v>3600</v>
      </c>
      <c r="E26" s="228">
        <v>8</v>
      </c>
      <c r="F26" s="228">
        <v>174.74</v>
      </c>
      <c r="G26" s="228">
        <v>174.26</v>
      </c>
      <c r="H26" s="228">
        <v>0.48</v>
      </c>
      <c r="I26" s="229">
        <v>2.8E-3</v>
      </c>
      <c r="J26" s="228">
        <v>174.28</v>
      </c>
      <c r="K26" s="228">
        <v>174.01</v>
      </c>
      <c r="L26" s="228">
        <v>0.27</v>
      </c>
      <c r="M26" s="229">
        <v>1.6000000000000001E-3</v>
      </c>
      <c r="N26" s="228">
        <v>174.74</v>
      </c>
      <c r="O26" s="228">
        <v>174.26</v>
      </c>
      <c r="P26" s="228">
        <v>0.48</v>
      </c>
      <c r="Q26" s="229">
        <v>2.8E-3</v>
      </c>
      <c r="R26" s="228">
        <v>175.74</v>
      </c>
      <c r="S26" s="228">
        <v>175.32</v>
      </c>
      <c r="T26" s="228">
        <v>0.42</v>
      </c>
      <c r="U26" s="229">
        <v>2.3999999999999998E-3</v>
      </c>
      <c r="V26" s="228">
        <v>176.5</v>
      </c>
      <c r="W26" s="228">
        <v>176.28</v>
      </c>
      <c r="X26" s="228">
        <v>0.22</v>
      </c>
      <c r="Y26" s="229">
        <v>1.1999999999999999E-3</v>
      </c>
      <c r="Z26" s="228">
        <v>0.46</v>
      </c>
      <c r="AA26" s="228">
        <v>0.25</v>
      </c>
      <c r="AB26" s="228">
        <v>0.21</v>
      </c>
      <c r="AC26" s="229">
        <v>2.5999999999999999E-3</v>
      </c>
      <c r="AD26" s="228">
        <v>0.46</v>
      </c>
      <c r="AE26" s="228">
        <v>0.25</v>
      </c>
      <c r="AF26" s="228">
        <v>0.21</v>
      </c>
      <c r="AG26" s="229">
        <v>2.5999999999999999E-3</v>
      </c>
      <c r="AH26" s="228">
        <v>1.46</v>
      </c>
      <c r="AI26" s="228">
        <v>1.31</v>
      </c>
      <c r="AJ26" s="228">
        <v>0.15</v>
      </c>
      <c r="AK26" s="229">
        <v>8.3999999999999995E-3</v>
      </c>
      <c r="AL26" s="228">
        <v>2.2200000000000002</v>
      </c>
      <c r="AM26" s="228">
        <v>2.27</v>
      </c>
      <c r="AN26" s="228">
        <v>-0.05</v>
      </c>
      <c r="AO26" s="229">
        <v>1.2699999999999999E-2</v>
      </c>
      <c r="AP26" s="228">
        <v>174.36</v>
      </c>
      <c r="AQ26" s="228">
        <v>175.01</v>
      </c>
      <c r="AR26" s="228">
        <v>0</v>
      </c>
      <c r="AS26" s="228">
        <v>246</v>
      </c>
      <c r="AT26" s="228">
        <v>418</v>
      </c>
      <c r="AU26" s="228">
        <v>-172</v>
      </c>
      <c r="AV26" s="229">
        <v>-0.41139999999999999</v>
      </c>
      <c r="AW26" s="228">
        <v>188</v>
      </c>
      <c r="AX26" s="228">
        <v>357</v>
      </c>
      <c r="AY26" s="228">
        <v>-169</v>
      </c>
      <c r="AZ26" s="229">
        <v>-0.47270000000000001</v>
      </c>
      <c r="BA26" s="228">
        <v>54</v>
      </c>
      <c r="BB26" s="228">
        <v>55</v>
      </c>
      <c r="BC26" s="228">
        <v>0</v>
      </c>
      <c r="BD26" s="229">
        <v>-4.5999999999999999E-3</v>
      </c>
      <c r="BE26" s="228">
        <v>4</v>
      </c>
      <c r="BF26" s="228">
        <v>7</v>
      </c>
      <c r="BG26" s="228">
        <v>-3</v>
      </c>
      <c r="BH26" s="229">
        <v>-0.4667</v>
      </c>
      <c r="BI26" s="228">
        <v>346</v>
      </c>
      <c r="BJ26" s="228">
        <v>806</v>
      </c>
      <c r="BK26" s="228">
        <v>-460</v>
      </c>
      <c r="BL26" s="229">
        <v>-0.57050000000000001</v>
      </c>
      <c r="BM26" s="228">
        <v>251</v>
      </c>
      <c r="BN26" s="228">
        <v>512</v>
      </c>
      <c r="BO26" s="228">
        <v>-260</v>
      </c>
      <c r="BP26" s="229">
        <v>-0.50870000000000004</v>
      </c>
      <c r="BQ26" s="228">
        <v>844</v>
      </c>
      <c r="BR26" s="230">
        <v>1736</v>
      </c>
      <c r="BS26" s="228">
        <v>-892</v>
      </c>
      <c r="BT26" s="229">
        <v>-0.51400000000000001</v>
      </c>
      <c r="BU26" s="230">
        <v>5617227</v>
      </c>
      <c r="BV26" s="230">
        <v>8122813</v>
      </c>
      <c r="BW26" s="230">
        <v>-2505586</v>
      </c>
      <c r="BX26" s="229">
        <v>-0.3085</v>
      </c>
      <c r="BY26" s="230">
        <v>1439</v>
      </c>
      <c r="BZ26" s="230">
        <v>1420</v>
      </c>
      <c r="CA26" s="228">
        <v>20</v>
      </c>
      <c r="CB26" s="229">
        <v>1.38E-2</v>
      </c>
      <c r="CC26" s="230">
        <v>1262</v>
      </c>
      <c r="CD26" s="230">
        <v>1276</v>
      </c>
      <c r="CE26" s="228">
        <v>-14</v>
      </c>
      <c r="CF26" s="229">
        <v>-1.12E-2</v>
      </c>
      <c r="CG26" s="228">
        <v>156</v>
      </c>
      <c r="CH26" s="228">
        <v>124</v>
      </c>
      <c r="CI26" s="228">
        <v>32</v>
      </c>
      <c r="CJ26" s="229">
        <v>0.25790000000000002</v>
      </c>
      <c r="CK26" s="228">
        <v>21</v>
      </c>
      <c r="CL26" s="228">
        <v>19</v>
      </c>
      <c r="CM26" s="228">
        <v>2</v>
      </c>
      <c r="CN26" s="229">
        <v>9.8000000000000004E-2</v>
      </c>
      <c r="CO26" s="228">
        <v>404</v>
      </c>
      <c r="CP26" s="228">
        <v>403</v>
      </c>
      <c r="CQ26" s="228">
        <v>2</v>
      </c>
      <c r="CR26" s="229">
        <v>3.7000000000000002E-3</v>
      </c>
      <c r="CS26" s="228">
        <v>300</v>
      </c>
      <c r="CT26" s="228">
        <v>307</v>
      </c>
      <c r="CU26" s="228">
        <v>-7</v>
      </c>
      <c r="CV26" s="229">
        <v>-2.3E-2</v>
      </c>
      <c r="CW26" s="230">
        <v>2144</v>
      </c>
      <c r="CX26" s="230">
        <v>2129</v>
      </c>
      <c r="CY26" s="228">
        <v>14</v>
      </c>
      <c r="CZ26" s="229">
        <v>6.6E-3</v>
      </c>
      <c r="DA26" s="228">
        <v>30.21</v>
      </c>
      <c r="DB26" s="228">
        <v>31.47</v>
      </c>
      <c r="DC26" s="228">
        <v>-1.26</v>
      </c>
      <c r="DD26" s="228">
        <v>-1.26</v>
      </c>
      <c r="DE26" s="228">
        <v>43.69</v>
      </c>
      <c r="DF26" s="228">
        <v>43.8</v>
      </c>
      <c r="DG26" s="228">
        <v>-13.48</v>
      </c>
      <c r="DH26" s="228">
        <v>-0.11</v>
      </c>
      <c r="DI26" s="228">
        <v>29.5</v>
      </c>
      <c r="DJ26" s="228">
        <v>30.18</v>
      </c>
      <c r="DK26" s="228">
        <v>-0.68</v>
      </c>
      <c r="DL26" s="228">
        <v>-0.68</v>
      </c>
      <c r="DM26" s="228">
        <v>31.19</v>
      </c>
      <c r="DN26" s="228">
        <v>33.51</v>
      </c>
      <c r="DO26" s="228">
        <v>-2.3199999999999998</v>
      </c>
      <c r="DP26" s="228">
        <v>-2.3199999999999998</v>
      </c>
      <c r="DQ26" s="228">
        <v>0.74</v>
      </c>
      <c r="DR26" s="228">
        <v>0.76</v>
      </c>
      <c r="DS26" s="228">
        <v>-0.02</v>
      </c>
      <c r="DT26" s="229">
        <v>-2.63E-2</v>
      </c>
      <c r="DU26" s="228">
        <v>175</v>
      </c>
      <c r="DV26" s="228">
        <v>160</v>
      </c>
      <c r="DW26" s="228">
        <v>0.73</v>
      </c>
      <c r="DX26" s="228">
        <v>0.63</v>
      </c>
      <c r="DY26" s="228">
        <v>0.1</v>
      </c>
      <c r="DZ26" s="229">
        <v>0.15870000000000001</v>
      </c>
      <c r="EA26" s="229">
        <v>0.1232</v>
      </c>
      <c r="EB26" s="230">
        <v>8208000</v>
      </c>
      <c r="EC26" s="229">
        <v>5.7000000000000002E-3</v>
      </c>
      <c r="ED26" s="229">
        <v>0.1232</v>
      </c>
      <c r="EE26" s="228">
        <v>0.65</v>
      </c>
      <c r="EF26" s="229">
        <v>3.7000000000000002E-3</v>
      </c>
      <c r="EG26" s="230">
        <v>2833407</v>
      </c>
      <c r="EH26" s="230">
        <v>2917733</v>
      </c>
      <c r="EI26" s="229">
        <v>-2.8899999999999999E-2</v>
      </c>
      <c r="EJ26" s="229">
        <v>0.50439999999999996</v>
      </c>
      <c r="EK26" s="228">
        <v>356.09</v>
      </c>
      <c r="EL26" s="228">
        <v>249.13</v>
      </c>
      <c r="EM26" s="228">
        <v>245.66</v>
      </c>
      <c r="EN26" s="228">
        <v>0</v>
      </c>
      <c r="EO26" s="228">
        <v>850.88</v>
      </c>
      <c r="EP26" s="231">
        <v>1728.41</v>
      </c>
      <c r="EQ26" s="228">
        <v>-877.53</v>
      </c>
      <c r="ER26" s="229">
        <v>-0.50770000000000004</v>
      </c>
      <c r="ES26" s="228">
        <v>418.31</v>
      </c>
      <c r="ET26" s="228">
        <v>287.74</v>
      </c>
      <c r="EU26" s="231">
        <v>1440.53</v>
      </c>
      <c r="EV26" s="231">
        <v>190337283</v>
      </c>
      <c r="EW26" s="231">
        <v>2146.58</v>
      </c>
      <c r="EX26" s="231">
        <v>2126.16</v>
      </c>
      <c r="EY26" s="228">
        <v>20.420000000000002</v>
      </c>
      <c r="EZ26" s="229">
        <v>9.5999999999999992E-3</v>
      </c>
      <c r="FA26" s="229">
        <v>0.64449999999999996</v>
      </c>
      <c r="FB26" s="227" t="s">
        <v>555</v>
      </c>
      <c r="FC26">
        <f t="shared" si="0"/>
        <v>177</v>
      </c>
    </row>
    <row r="27" spans="1:159" ht="17.25" thickBot="1" x14ac:dyDescent="0.3">
      <c r="A27" s="226">
        <v>45889</v>
      </c>
      <c r="B27" s="227" t="s">
        <v>172</v>
      </c>
      <c r="C27" s="227" t="s">
        <v>180</v>
      </c>
      <c r="D27" s="228">
        <v>2925</v>
      </c>
      <c r="E27" s="228">
        <v>8</v>
      </c>
      <c r="F27" s="228">
        <v>245.54</v>
      </c>
      <c r="G27" s="228">
        <v>247.9</v>
      </c>
      <c r="H27" s="228">
        <v>-2.36</v>
      </c>
      <c r="I27" s="229">
        <v>-9.4999999999999998E-3</v>
      </c>
      <c r="J27" s="228">
        <v>244.88</v>
      </c>
      <c r="K27" s="228">
        <v>247.05</v>
      </c>
      <c r="L27" s="228">
        <v>-2.17</v>
      </c>
      <c r="M27" s="229">
        <v>-8.8000000000000005E-3</v>
      </c>
      <c r="N27" s="228">
        <v>245.54</v>
      </c>
      <c r="O27" s="228">
        <v>247.9</v>
      </c>
      <c r="P27" s="228">
        <v>-2.36</v>
      </c>
      <c r="Q27" s="229">
        <v>-9.4999999999999998E-3</v>
      </c>
      <c r="R27" s="228">
        <v>246.94</v>
      </c>
      <c r="S27" s="228">
        <v>249.25</v>
      </c>
      <c r="T27" s="228">
        <v>-2.31</v>
      </c>
      <c r="U27" s="229">
        <v>-9.2999999999999992E-3</v>
      </c>
      <c r="V27" s="228">
        <v>248.13</v>
      </c>
      <c r="W27" s="228">
        <v>250.48</v>
      </c>
      <c r="X27" s="228">
        <v>-2.35</v>
      </c>
      <c r="Y27" s="229">
        <v>-9.4000000000000004E-3</v>
      </c>
      <c r="Z27" s="228">
        <v>0.66</v>
      </c>
      <c r="AA27" s="228">
        <v>0.85</v>
      </c>
      <c r="AB27" s="228">
        <v>-0.19</v>
      </c>
      <c r="AC27" s="229">
        <v>2.7000000000000001E-3</v>
      </c>
      <c r="AD27" s="228">
        <v>0.66</v>
      </c>
      <c r="AE27" s="228">
        <v>0.85</v>
      </c>
      <c r="AF27" s="228">
        <v>-0.19</v>
      </c>
      <c r="AG27" s="229">
        <v>2.7000000000000001E-3</v>
      </c>
      <c r="AH27" s="228">
        <v>2.06</v>
      </c>
      <c r="AI27" s="228">
        <v>2.2000000000000002</v>
      </c>
      <c r="AJ27" s="228">
        <v>-0.14000000000000001</v>
      </c>
      <c r="AK27" s="229">
        <v>8.3999999999999995E-3</v>
      </c>
      <c r="AL27" s="228">
        <v>3.25</v>
      </c>
      <c r="AM27" s="228">
        <v>3.43</v>
      </c>
      <c r="AN27" s="228">
        <v>-0.18</v>
      </c>
      <c r="AO27" s="229">
        <v>1.3299999999999999E-2</v>
      </c>
      <c r="AP27" s="228">
        <v>247.23</v>
      </c>
      <c r="AQ27" s="228">
        <v>248.66</v>
      </c>
      <c r="AR27" s="228">
        <v>0</v>
      </c>
      <c r="AS27" s="228">
        <v>821</v>
      </c>
      <c r="AT27" s="228">
        <v>551</v>
      </c>
      <c r="AU27" s="228">
        <v>270</v>
      </c>
      <c r="AV27" s="229">
        <v>0.4894</v>
      </c>
      <c r="AW27" s="228">
        <v>537</v>
      </c>
      <c r="AX27" s="228">
        <v>445</v>
      </c>
      <c r="AY27" s="228">
        <v>93</v>
      </c>
      <c r="AZ27" s="229">
        <v>0.20810000000000001</v>
      </c>
      <c r="BA27" s="228">
        <v>277</v>
      </c>
      <c r="BB27" s="228">
        <v>102</v>
      </c>
      <c r="BC27" s="228">
        <v>175</v>
      </c>
      <c r="BD27" s="229">
        <v>1.7193000000000001</v>
      </c>
      <c r="BE27" s="228">
        <v>7</v>
      </c>
      <c r="BF27" s="228">
        <v>5</v>
      </c>
      <c r="BG27" s="228">
        <v>2</v>
      </c>
      <c r="BH27" s="229">
        <v>0.44619999999999999</v>
      </c>
      <c r="BI27" s="230">
        <v>1177</v>
      </c>
      <c r="BJ27" s="230">
        <v>1244</v>
      </c>
      <c r="BK27" s="228">
        <v>-67</v>
      </c>
      <c r="BL27" s="229">
        <v>-5.3600000000000002E-2</v>
      </c>
      <c r="BM27" s="228">
        <v>715</v>
      </c>
      <c r="BN27" s="228">
        <v>688</v>
      </c>
      <c r="BO27" s="228">
        <v>26</v>
      </c>
      <c r="BP27" s="229">
        <v>3.8100000000000002E-2</v>
      </c>
      <c r="BQ27" s="230">
        <v>2713</v>
      </c>
      <c r="BR27" s="230">
        <v>2483</v>
      </c>
      <c r="BS27" s="228">
        <v>229</v>
      </c>
      <c r="BT27" s="229">
        <v>9.2299999999999993E-2</v>
      </c>
      <c r="BU27" s="230">
        <v>8387081</v>
      </c>
      <c r="BV27" s="230">
        <v>5951895</v>
      </c>
      <c r="BW27" s="230">
        <v>2435186</v>
      </c>
      <c r="BX27" s="229">
        <v>0.40910000000000002</v>
      </c>
      <c r="BY27" s="230">
        <v>2672</v>
      </c>
      <c r="BZ27" s="230">
        <v>2595</v>
      </c>
      <c r="CA27" s="228">
        <v>77</v>
      </c>
      <c r="CB27" s="229">
        <v>2.9700000000000001E-2</v>
      </c>
      <c r="CC27" s="230">
        <v>2294</v>
      </c>
      <c r="CD27" s="230">
        <v>2444</v>
      </c>
      <c r="CE27" s="228">
        <v>-150</v>
      </c>
      <c r="CF27" s="229">
        <v>-6.1499999999999999E-2</v>
      </c>
      <c r="CG27" s="228">
        <v>368</v>
      </c>
      <c r="CH27" s="228">
        <v>143</v>
      </c>
      <c r="CI27" s="228">
        <v>225</v>
      </c>
      <c r="CJ27" s="229">
        <v>1.5696000000000001</v>
      </c>
      <c r="CK27" s="228">
        <v>10</v>
      </c>
      <c r="CL27" s="228">
        <v>8</v>
      </c>
      <c r="CM27" s="228">
        <v>2</v>
      </c>
      <c r="CN27" s="229">
        <v>0.27189999999999998</v>
      </c>
      <c r="CO27" s="230">
        <v>1014</v>
      </c>
      <c r="CP27" s="228">
        <v>916</v>
      </c>
      <c r="CQ27" s="228">
        <v>99</v>
      </c>
      <c r="CR27" s="229">
        <v>0.1076</v>
      </c>
      <c r="CS27" s="228">
        <v>938</v>
      </c>
      <c r="CT27" s="228">
        <v>901</v>
      </c>
      <c r="CU27" s="228">
        <v>38</v>
      </c>
      <c r="CV27" s="229">
        <v>4.19E-2</v>
      </c>
      <c r="CW27" s="230">
        <v>4625</v>
      </c>
      <c r="CX27" s="230">
        <v>4411</v>
      </c>
      <c r="CY27" s="228">
        <v>213</v>
      </c>
      <c r="CZ27" s="229">
        <v>4.8399999999999999E-2</v>
      </c>
      <c r="DA27" s="228">
        <v>24.82</v>
      </c>
      <c r="DB27" s="228">
        <v>24.99</v>
      </c>
      <c r="DC27" s="228">
        <v>-0.17</v>
      </c>
      <c r="DD27" s="228">
        <v>-0.17</v>
      </c>
      <c r="DE27" s="228">
        <v>37.549999999999997</v>
      </c>
      <c r="DF27" s="228">
        <v>37.619999999999997</v>
      </c>
      <c r="DG27" s="228">
        <v>-12.73</v>
      </c>
      <c r="DH27" s="228">
        <v>-7.0000000000000007E-2</v>
      </c>
      <c r="DI27" s="228">
        <v>25.07</v>
      </c>
      <c r="DJ27" s="228">
        <v>24.09</v>
      </c>
      <c r="DK27" s="228">
        <v>0.98</v>
      </c>
      <c r="DL27" s="228">
        <v>0.98</v>
      </c>
      <c r="DM27" s="228">
        <v>24.4</v>
      </c>
      <c r="DN27" s="228">
        <v>26.6</v>
      </c>
      <c r="DO27" s="228">
        <v>-2.2000000000000002</v>
      </c>
      <c r="DP27" s="228">
        <v>-2.2000000000000002</v>
      </c>
      <c r="DQ27" s="228">
        <v>0.93</v>
      </c>
      <c r="DR27" s="228">
        <v>0.98</v>
      </c>
      <c r="DS27" s="228">
        <v>-0.05</v>
      </c>
      <c r="DT27" s="229">
        <v>-5.0999999999999997E-2</v>
      </c>
      <c r="DU27" s="228">
        <v>250</v>
      </c>
      <c r="DV27" s="228">
        <v>240</v>
      </c>
      <c r="DW27" s="228">
        <v>0.61</v>
      </c>
      <c r="DX27" s="228">
        <v>0.55000000000000004</v>
      </c>
      <c r="DY27" s="228">
        <v>0.06</v>
      </c>
      <c r="DZ27" s="229">
        <v>0.1091</v>
      </c>
      <c r="EA27" s="229">
        <v>0.14169999999999999</v>
      </c>
      <c r="EB27" s="230">
        <v>6171750</v>
      </c>
      <c r="EC27" s="229">
        <v>5.7000000000000002E-3</v>
      </c>
      <c r="ED27" s="229">
        <v>0.14169999999999999</v>
      </c>
      <c r="EE27" s="228">
        <v>1.43</v>
      </c>
      <c r="EF27" s="229">
        <v>5.7999999999999996E-3</v>
      </c>
      <c r="EG27" s="230">
        <v>5010085</v>
      </c>
      <c r="EH27" s="230">
        <v>2943017</v>
      </c>
      <c r="EI27" s="229">
        <v>0.70240000000000002</v>
      </c>
      <c r="EJ27" s="229">
        <v>0.59740000000000004</v>
      </c>
      <c r="EK27" s="231">
        <v>1210.6099999999999</v>
      </c>
      <c r="EL27" s="228">
        <v>721.77</v>
      </c>
      <c r="EM27" s="228">
        <v>828.07</v>
      </c>
      <c r="EN27" s="228">
        <v>0</v>
      </c>
      <c r="EO27" s="231">
        <v>2760.45</v>
      </c>
      <c r="EP27" s="231">
        <v>2510.42</v>
      </c>
      <c r="EQ27" s="228">
        <v>250.03</v>
      </c>
      <c r="ER27" s="229">
        <v>9.9599999999999994E-2</v>
      </c>
      <c r="ES27" s="231">
        <v>1030.7</v>
      </c>
      <c r="ET27" s="228">
        <v>911.17</v>
      </c>
      <c r="EU27" s="231">
        <v>2674.51</v>
      </c>
      <c r="EV27" s="231">
        <v>372635498</v>
      </c>
      <c r="EW27" s="231">
        <v>4616.38</v>
      </c>
      <c r="EX27" s="231">
        <v>4423.95</v>
      </c>
      <c r="EY27" s="228">
        <v>192.43</v>
      </c>
      <c r="EZ27" s="229">
        <v>4.3499999999999997E-2</v>
      </c>
      <c r="FA27" s="229">
        <v>0.50549999999999995</v>
      </c>
      <c r="FB27" s="227" t="s">
        <v>567</v>
      </c>
      <c r="FC27">
        <f t="shared" si="0"/>
        <v>378</v>
      </c>
    </row>
    <row r="28" spans="1:159" ht="17.25" thickBot="1" x14ac:dyDescent="0.3">
      <c r="A28" s="226">
        <v>45889</v>
      </c>
      <c r="B28" s="227" t="s">
        <v>172</v>
      </c>
      <c r="C28" s="227" t="s">
        <v>603</v>
      </c>
      <c r="D28" s="228">
        <v>5200</v>
      </c>
      <c r="E28" s="228">
        <v>8</v>
      </c>
      <c r="F28" s="228">
        <v>116.53</v>
      </c>
      <c r="G28" s="228">
        <v>116.89</v>
      </c>
      <c r="H28" s="228">
        <v>-0.36</v>
      </c>
      <c r="I28" s="229">
        <v>-3.0999999999999999E-3</v>
      </c>
      <c r="J28" s="228">
        <v>116.33</v>
      </c>
      <c r="K28" s="228">
        <v>116.49</v>
      </c>
      <c r="L28" s="228">
        <v>-0.16</v>
      </c>
      <c r="M28" s="229">
        <v>-1.4E-3</v>
      </c>
      <c r="N28" s="228">
        <v>116.53</v>
      </c>
      <c r="O28" s="228">
        <v>116.89</v>
      </c>
      <c r="P28" s="228">
        <v>-0.36</v>
      </c>
      <c r="Q28" s="229">
        <v>-3.0999999999999999E-3</v>
      </c>
      <c r="R28" s="228">
        <v>117.14</v>
      </c>
      <c r="S28" s="228">
        <v>117.51</v>
      </c>
      <c r="T28" s="228">
        <v>-0.37</v>
      </c>
      <c r="U28" s="229">
        <v>-3.0999999999999999E-3</v>
      </c>
      <c r="V28" s="228">
        <v>117.76</v>
      </c>
      <c r="W28" s="228">
        <v>118.06</v>
      </c>
      <c r="X28" s="228">
        <v>-0.3</v>
      </c>
      <c r="Y28" s="229">
        <v>-2.5000000000000001E-3</v>
      </c>
      <c r="Z28" s="228">
        <v>0.2</v>
      </c>
      <c r="AA28" s="228">
        <v>0.4</v>
      </c>
      <c r="AB28" s="228">
        <v>-0.2</v>
      </c>
      <c r="AC28" s="229">
        <v>1.6999999999999999E-3</v>
      </c>
      <c r="AD28" s="228">
        <v>0.2</v>
      </c>
      <c r="AE28" s="228">
        <v>0.4</v>
      </c>
      <c r="AF28" s="228">
        <v>-0.2</v>
      </c>
      <c r="AG28" s="229">
        <v>1.6999999999999999E-3</v>
      </c>
      <c r="AH28" s="228">
        <v>0.81</v>
      </c>
      <c r="AI28" s="228">
        <v>1.02</v>
      </c>
      <c r="AJ28" s="228">
        <v>-0.21</v>
      </c>
      <c r="AK28" s="229">
        <v>7.0000000000000001E-3</v>
      </c>
      <c r="AL28" s="228">
        <v>1.43</v>
      </c>
      <c r="AM28" s="228">
        <v>1.57</v>
      </c>
      <c r="AN28" s="228">
        <v>-0.14000000000000001</v>
      </c>
      <c r="AO28" s="229">
        <v>1.23E-2</v>
      </c>
      <c r="AP28" s="228">
        <v>116.87</v>
      </c>
      <c r="AQ28" s="228">
        <v>117.51</v>
      </c>
      <c r="AR28" s="228">
        <v>0</v>
      </c>
      <c r="AS28" s="228">
        <v>85</v>
      </c>
      <c r="AT28" s="228">
        <v>127</v>
      </c>
      <c r="AU28" s="228">
        <v>-42</v>
      </c>
      <c r="AV28" s="229">
        <v>-0.32979999999999998</v>
      </c>
      <c r="AW28" s="228">
        <v>56</v>
      </c>
      <c r="AX28" s="228">
        <v>100</v>
      </c>
      <c r="AY28" s="228">
        <v>-44</v>
      </c>
      <c r="AZ28" s="229">
        <v>-0.4365</v>
      </c>
      <c r="BA28" s="228">
        <v>28</v>
      </c>
      <c r="BB28" s="228">
        <v>26</v>
      </c>
      <c r="BC28" s="228">
        <v>2</v>
      </c>
      <c r="BD28" s="229">
        <v>7.0599999999999996E-2</v>
      </c>
      <c r="BE28" s="228">
        <v>1</v>
      </c>
      <c r="BF28" s="228">
        <v>1</v>
      </c>
      <c r="BG28" s="228">
        <v>0</v>
      </c>
      <c r="BH28" s="229">
        <v>0</v>
      </c>
      <c r="BI28" s="228">
        <v>68</v>
      </c>
      <c r="BJ28" s="228">
        <v>195</v>
      </c>
      <c r="BK28" s="228">
        <v>-126</v>
      </c>
      <c r="BL28" s="229">
        <v>-0.64849999999999997</v>
      </c>
      <c r="BM28" s="228">
        <v>73</v>
      </c>
      <c r="BN28" s="228">
        <v>109</v>
      </c>
      <c r="BO28" s="228">
        <v>-36</v>
      </c>
      <c r="BP28" s="229">
        <v>-0.32869999999999999</v>
      </c>
      <c r="BQ28" s="228">
        <v>227</v>
      </c>
      <c r="BR28" s="228">
        <v>431</v>
      </c>
      <c r="BS28" s="228">
        <v>-204</v>
      </c>
      <c r="BT28" s="229">
        <v>-0.47360000000000002</v>
      </c>
      <c r="BU28" s="230">
        <v>2713071</v>
      </c>
      <c r="BV28" s="230">
        <v>6134220</v>
      </c>
      <c r="BW28" s="230">
        <v>-3421149</v>
      </c>
      <c r="BX28" s="229">
        <v>-0.55769999999999997</v>
      </c>
      <c r="BY28" s="228">
        <v>743</v>
      </c>
      <c r="BZ28" s="228">
        <v>733</v>
      </c>
      <c r="CA28" s="228">
        <v>10</v>
      </c>
      <c r="CB28" s="229">
        <v>1.41E-2</v>
      </c>
      <c r="CC28" s="228">
        <v>673</v>
      </c>
      <c r="CD28" s="228">
        <v>678</v>
      </c>
      <c r="CE28" s="228">
        <v>-5</v>
      </c>
      <c r="CF28" s="229">
        <v>-8.0000000000000002E-3</v>
      </c>
      <c r="CG28" s="228">
        <v>62</v>
      </c>
      <c r="CH28" s="228">
        <v>46</v>
      </c>
      <c r="CI28" s="228">
        <v>15</v>
      </c>
      <c r="CJ28" s="229">
        <v>0.33250000000000002</v>
      </c>
      <c r="CK28" s="228">
        <v>9</v>
      </c>
      <c r="CL28" s="228">
        <v>9</v>
      </c>
      <c r="CM28" s="228">
        <v>0</v>
      </c>
      <c r="CN28" s="229">
        <v>4.2599999999999999E-2</v>
      </c>
      <c r="CO28" s="228">
        <v>192</v>
      </c>
      <c r="CP28" s="228">
        <v>197</v>
      </c>
      <c r="CQ28" s="228">
        <v>-5</v>
      </c>
      <c r="CR28" s="229">
        <v>-2.6100000000000002E-2</v>
      </c>
      <c r="CS28" s="228">
        <v>178</v>
      </c>
      <c r="CT28" s="228">
        <v>169</v>
      </c>
      <c r="CU28" s="228">
        <v>9</v>
      </c>
      <c r="CV28" s="229">
        <v>5.1299999999999998E-2</v>
      </c>
      <c r="CW28" s="230">
        <v>1113</v>
      </c>
      <c r="CX28" s="230">
        <v>1099</v>
      </c>
      <c r="CY28" s="228">
        <v>14</v>
      </c>
      <c r="CZ28" s="229">
        <v>1.26E-2</v>
      </c>
      <c r="DA28" s="228">
        <v>26.49</v>
      </c>
      <c r="DB28" s="228">
        <v>27.88</v>
      </c>
      <c r="DC28" s="228">
        <v>-1.39</v>
      </c>
      <c r="DD28" s="228">
        <v>-1.39</v>
      </c>
      <c r="DE28" s="228">
        <v>41.37</v>
      </c>
      <c r="DF28" s="228">
        <v>41.47</v>
      </c>
      <c r="DG28" s="228">
        <v>-14.88</v>
      </c>
      <c r="DH28" s="228">
        <v>-0.1</v>
      </c>
      <c r="DI28" s="228">
        <v>24.95</v>
      </c>
      <c r="DJ28" s="228">
        <v>25.72</v>
      </c>
      <c r="DK28" s="228">
        <v>-0.77</v>
      </c>
      <c r="DL28" s="228">
        <v>-0.77</v>
      </c>
      <c r="DM28" s="228">
        <v>27.92</v>
      </c>
      <c r="DN28" s="228">
        <v>31.75</v>
      </c>
      <c r="DO28" s="228">
        <v>-3.83</v>
      </c>
      <c r="DP28" s="228">
        <v>-3.83</v>
      </c>
      <c r="DQ28" s="228">
        <v>0.92</v>
      </c>
      <c r="DR28" s="228">
        <v>0.86</v>
      </c>
      <c r="DS28" s="228">
        <v>0.06</v>
      </c>
      <c r="DT28" s="229">
        <v>6.9800000000000001E-2</v>
      </c>
      <c r="DU28" s="228">
        <v>120</v>
      </c>
      <c r="DV28" s="228">
        <v>110</v>
      </c>
      <c r="DW28" s="228">
        <v>1.07</v>
      </c>
      <c r="DX28" s="228">
        <v>0.56000000000000005</v>
      </c>
      <c r="DY28" s="228">
        <v>0.51</v>
      </c>
      <c r="DZ28" s="229">
        <v>0.91069999999999995</v>
      </c>
      <c r="EA28" s="229">
        <v>9.5000000000000001E-2</v>
      </c>
      <c r="EB28" s="230">
        <v>4706000</v>
      </c>
      <c r="EC28" s="229">
        <v>5.1999999999999998E-3</v>
      </c>
      <c r="ED28" s="229">
        <v>9.5000000000000001E-2</v>
      </c>
      <c r="EE28" s="228">
        <v>0.64</v>
      </c>
      <c r="EF28" s="229">
        <v>5.4999999999999997E-3</v>
      </c>
      <c r="EG28" s="230">
        <v>1228249</v>
      </c>
      <c r="EH28" s="230">
        <v>3367618</v>
      </c>
      <c r="EI28" s="229">
        <v>-0.63529999999999998</v>
      </c>
      <c r="EJ28" s="229">
        <v>0.45269999999999999</v>
      </c>
      <c r="EK28" s="228">
        <v>70.66</v>
      </c>
      <c r="EL28" s="228">
        <v>71.39</v>
      </c>
      <c r="EM28" s="228">
        <v>85.61</v>
      </c>
      <c r="EN28" s="228">
        <v>0</v>
      </c>
      <c r="EO28" s="228">
        <v>227.66</v>
      </c>
      <c r="EP28" s="228">
        <v>432.02</v>
      </c>
      <c r="EQ28" s="228">
        <v>-204.36</v>
      </c>
      <c r="ER28" s="229">
        <v>-0.47299999999999998</v>
      </c>
      <c r="ES28" s="228">
        <v>195.45</v>
      </c>
      <c r="ET28" s="228">
        <v>167.54</v>
      </c>
      <c r="EU28" s="228">
        <v>743.62</v>
      </c>
      <c r="EV28" s="231">
        <v>242361229</v>
      </c>
      <c r="EW28" s="231">
        <v>1106.6099999999999</v>
      </c>
      <c r="EX28" s="231">
        <v>1094.48</v>
      </c>
      <c r="EY28" s="228">
        <v>12.13</v>
      </c>
      <c r="EZ28" s="229">
        <v>1.11E-2</v>
      </c>
      <c r="FA28" s="229">
        <v>0.39419999999999999</v>
      </c>
      <c r="FB28" s="227" t="s">
        <v>567</v>
      </c>
      <c r="FC28">
        <f t="shared" si="0"/>
        <v>70</v>
      </c>
    </row>
    <row r="29" spans="1:159" s="195" customFormat="1" ht="17.25" thickBot="1" x14ac:dyDescent="0.3">
      <c r="A29" s="226">
        <v>45889</v>
      </c>
      <c r="B29" s="227" t="s">
        <v>181</v>
      </c>
      <c r="C29" s="227" t="s">
        <v>182</v>
      </c>
      <c r="D29" s="228">
        <v>35</v>
      </c>
      <c r="E29" s="228">
        <v>8</v>
      </c>
      <c r="F29" s="231">
        <v>55815.6</v>
      </c>
      <c r="G29" s="231">
        <v>55965.8</v>
      </c>
      <c r="H29" s="228">
        <v>-150.19999999999999</v>
      </c>
      <c r="I29" s="229">
        <v>-2.7000000000000001E-3</v>
      </c>
      <c r="J29" s="231">
        <v>55698.5</v>
      </c>
      <c r="K29" s="231">
        <v>55865.15</v>
      </c>
      <c r="L29" s="228">
        <v>-166.65</v>
      </c>
      <c r="M29" s="229">
        <v>-3.0000000000000001E-3</v>
      </c>
      <c r="N29" s="231">
        <v>55815.6</v>
      </c>
      <c r="O29" s="231">
        <v>55965.8</v>
      </c>
      <c r="P29" s="228">
        <v>-150.19999999999999</v>
      </c>
      <c r="Q29" s="229">
        <v>-2.7000000000000001E-3</v>
      </c>
      <c r="R29" s="231">
        <v>56121.599999999999</v>
      </c>
      <c r="S29" s="231">
        <v>56260.6</v>
      </c>
      <c r="T29" s="228">
        <v>-139</v>
      </c>
      <c r="U29" s="229">
        <v>-2.5000000000000001E-3</v>
      </c>
      <c r="V29" s="231">
        <v>56369</v>
      </c>
      <c r="W29" s="231">
        <v>56485.4</v>
      </c>
      <c r="X29" s="228">
        <v>-116.4</v>
      </c>
      <c r="Y29" s="229">
        <v>-2.0999999999999999E-3</v>
      </c>
      <c r="Z29" s="228">
        <v>117.1</v>
      </c>
      <c r="AA29" s="228">
        <v>100.65</v>
      </c>
      <c r="AB29" s="228">
        <v>16.45</v>
      </c>
      <c r="AC29" s="229">
        <v>2.0999999999999999E-3</v>
      </c>
      <c r="AD29" s="228">
        <v>117.1</v>
      </c>
      <c r="AE29" s="228">
        <v>100.65</v>
      </c>
      <c r="AF29" s="228">
        <v>16.45</v>
      </c>
      <c r="AG29" s="229">
        <v>2.0999999999999999E-3</v>
      </c>
      <c r="AH29" s="228">
        <v>423.1</v>
      </c>
      <c r="AI29" s="228">
        <v>395.45</v>
      </c>
      <c r="AJ29" s="228">
        <v>27.65</v>
      </c>
      <c r="AK29" s="229">
        <v>7.6E-3</v>
      </c>
      <c r="AL29" s="228">
        <v>670.5</v>
      </c>
      <c r="AM29" s="228">
        <v>620.25</v>
      </c>
      <c r="AN29" s="228">
        <v>50.25</v>
      </c>
      <c r="AO29" s="229">
        <v>1.2E-2</v>
      </c>
      <c r="AP29" s="231">
        <v>55807.19</v>
      </c>
      <c r="AQ29" s="231">
        <v>56108.98</v>
      </c>
      <c r="AR29" s="228">
        <v>0</v>
      </c>
      <c r="AS29" s="230">
        <v>3747</v>
      </c>
      <c r="AT29" s="230">
        <v>4128</v>
      </c>
      <c r="AU29" s="228">
        <v>-382</v>
      </c>
      <c r="AV29" s="229">
        <v>-9.2399999999999996E-2</v>
      </c>
      <c r="AW29" s="230">
        <v>3058</v>
      </c>
      <c r="AX29" s="230">
        <v>3596</v>
      </c>
      <c r="AY29" s="228">
        <v>-538</v>
      </c>
      <c r="AZ29" s="229">
        <v>-0.14960000000000001</v>
      </c>
      <c r="BA29" s="228">
        <v>590</v>
      </c>
      <c r="BB29" s="228">
        <v>456</v>
      </c>
      <c r="BC29" s="228">
        <v>134</v>
      </c>
      <c r="BD29" s="229">
        <v>0.29349999999999998</v>
      </c>
      <c r="BE29" s="228">
        <v>99</v>
      </c>
      <c r="BF29" s="228">
        <v>76</v>
      </c>
      <c r="BG29" s="228">
        <v>23</v>
      </c>
      <c r="BH29" s="229">
        <v>0.29670000000000002</v>
      </c>
      <c r="BI29" s="230">
        <v>358061</v>
      </c>
      <c r="BJ29" s="230">
        <v>357895</v>
      </c>
      <c r="BK29" s="228">
        <v>165</v>
      </c>
      <c r="BL29" s="229">
        <v>5.0000000000000001E-4</v>
      </c>
      <c r="BM29" s="230">
        <v>323173</v>
      </c>
      <c r="BN29" s="230">
        <v>291804</v>
      </c>
      <c r="BO29" s="230">
        <v>31368</v>
      </c>
      <c r="BP29" s="229">
        <v>0.1075</v>
      </c>
      <c r="BQ29" s="230">
        <v>684980</v>
      </c>
      <c r="BR29" s="230">
        <v>653828</v>
      </c>
      <c r="BS29" s="230">
        <v>31152</v>
      </c>
      <c r="BT29" s="229">
        <v>4.7600000000000003E-2</v>
      </c>
      <c r="BU29" s="228">
        <v>0</v>
      </c>
      <c r="BV29" s="228">
        <v>0</v>
      </c>
      <c r="BW29" s="228">
        <v>0</v>
      </c>
      <c r="BX29" s="229">
        <v>0</v>
      </c>
      <c r="BY29" s="230">
        <v>16494</v>
      </c>
      <c r="BZ29" s="230">
        <v>16082</v>
      </c>
      <c r="CA29" s="228">
        <v>412</v>
      </c>
      <c r="CB29" s="229">
        <v>2.5600000000000001E-2</v>
      </c>
      <c r="CC29" s="230">
        <v>14557</v>
      </c>
      <c r="CD29" s="230">
        <v>14321</v>
      </c>
      <c r="CE29" s="228">
        <v>235</v>
      </c>
      <c r="CF29" s="229">
        <v>1.6400000000000001E-2</v>
      </c>
      <c r="CG29" s="230">
        <v>1590</v>
      </c>
      <c r="CH29" s="230">
        <v>1446</v>
      </c>
      <c r="CI29" s="228">
        <v>144</v>
      </c>
      <c r="CJ29" s="229">
        <v>9.9400000000000002E-2</v>
      </c>
      <c r="CK29" s="228">
        <v>347</v>
      </c>
      <c r="CL29" s="228">
        <v>314</v>
      </c>
      <c r="CM29" s="228">
        <v>32</v>
      </c>
      <c r="CN29" s="229">
        <v>0.1032</v>
      </c>
      <c r="CO29" s="230">
        <v>128913</v>
      </c>
      <c r="CP29" s="230">
        <v>119939</v>
      </c>
      <c r="CQ29" s="230">
        <v>8974</v>
      </c>
      <c r="CR29" s="229">
        <v>7.4800000000000005E-2</v>
      </c>
      <c r="CS29" s="230">
        <v>98163</v>
      </c>
      <c r="CT29" s="230">
        <v>98630</v>
      </c>
      <c r="CU29" s="228">
        <v>-467</v>
      </c>
      <c r="CV29" s="229">
        <v>-4.7000000000000002E-3</v>
      </c>
      <c r="CW29" s="230">
        <v>243570</v>
      </c>
      <c r="CX29" s="230">
        <v>234651</v>
      </c>
      <c r="CY29" s="230">
        <v>8919</v>
      </c>
      <c r="CZ29" s="229">
        <v>3.7999999999999999E-2</v>
      </c>
      <c r="DA29" s="228">
        <v>11.8</v>
      </c>
      <c r="DB29" s="228">
        <v>12.01</v>
      </c>
      <c r="DC29" s="228">
        <v>-0.21</v>
      </c>
      <c r="DD29" s="228">
        <v>-0.21</v>
      </c>
      <c r="DE29" s="228">
        <v>18.22</v>
      </c>
      <c r="DF29" s="228">
        <v>18.260000000000002</v>
      </c>
      <c r="DG29" s="228">
        <v>-6.42</v>
      </c>
      <c r="DH29" s="228">
        <v>-0.04</v>
      </c>
      <c r="DI29" s="228">
        <v>11.62</v>
      </c>
      <c r="DJ29" s="228">
        <v>11.57</v>
      </c>
      <c r="DK29" s="228">
        <v>0.05</v>
      </c>
      <c r="DL29" s="228">
        <v>0.05</v>
      </c>
      <c r="DM29" s="228">
        <v>12</v>
      </c>
      <c r="DN29" s="228">
        <v>12.55</v>
      </c>
      <c r="DO29" s="228">
        <v>-0.55000000000000004</v>
      </c>
      <c r="DP29" s="228">
        <v>-0.55000000000000004</v>
      </c>
      <c r="DQ29" s="228">
        <v>0.76</v>
      </c>
      <c r="DR29" s="228">
        <v>0.82</v>
      </c>
      <c r="DS29" s="228">
        <v>-0.06</v>
      </c>
      <c r="DT29" s="229">
        <v>-7.3200000000000001E-2</v>
      </c>
      <c r="DU29" s="231">
        <v>57000</v>
      </c>
      <c r="DV29" s="231">
        <v>57000</v>
      </c>
      <c r="DW29" s="228">
        <v>0.9</v>
      </c>
      <c r="DX29" s="228">
        <v>0.82</v>
      </c>
      <c r="DY29" s="228">
        <v>0.08</v>
      </c>
      <c r="DZ29" s="229">
        <v>9.7600000000000006E-2</v>
      </c>
      <c r="EA29" s="229">
        <v>0.1174</v>
      </c>
      <c r="EB29" s="230">
        <v>315455</v>
      </c>
      <c r="EC29" s="229">
        <v>5.4999999999999997E-3</v>
      </c>
      <c r="ED29" s="229">
        <v>0.1174</v>
      </c>
      <c r="EE29" s="228">
        <v>301.79000000000002</v>
      </c>
      <c r="EF29" s="229">
        <v>5.4000000000000003E-3</v>
      </c>
      <c r="EG29" s="228">
        <v>0</v>
      </c>
      <c r="EH29" s="228">
        <v>0</v>
      </c>
      <c r="EI29" s="229">
        <v>0</v>
      </c>
      <c r="EJ29" s="229">
        <v>0</v>
      </c>
      <c r="EK29" s="231">
        <v>365109.56</v>
      </c>
      <c r="EL29" s="231">
        <v>319603.59999999998</v>
      </c>
      <c r="EM29" s="231">
        <v>3750.49</v>
      </c>
      <c r="EN29" s="228">
        <v>0</v>
      </c>
      <c r="EO29" s="231">
        <v>688463.65</v>
      </c>
      <c r="EP29" s="231">
        <v>658316.35</v>
      </c>
      <c r="EQ29" s="231">
        <v>30147.3</v>
      </c>
      <c r="ER29" s="229">
        <v>4.58E-2</v>
      </c>
      <c r="ES29" s="231">
        <v>133076.85</v>
      </c>
      <c r="ET29" s="231">
        <v>95863.1</v>
      </c>
      <c r="EU29" s="231">
        <v>16505.939999999999</v>
      </c>
      <c r="EV29" s="228">
        <v>0</v>
      </c>
      <c r="EW29" s="231">
        <v>245445.89</v>
      </c>
      <c r="EX29" s="231">
        <v>236394.83</v>
      </c>
      <c r="EY29" s="231">
        <v>9051.06</v>
      </c>
      <c r="EZ29" s="229">
        <v>3.8300000000000001E-2</v>
      </c>
      <c r="FA29" s="229">
        <v>0</v>
      </c>
      <c r="FB29" s="227" t="s">
        <v>567</v>
      </c>
      <c r="FC29" s="195">
        <f t="shared" si="0"/>
        <v>1937</v>
      </c>
    </row>
    <row r="30" spans="1:159" ht="17.25" thickBot="1" x14ac:dyDescent="0.3">
      <c r="A30" s="226">
        <v>45889</v>
      </c>
      <c r="B30" s="227" t="s">
        <v>184</v>
      </c>
      <c r="C30" s="227" t="s">
        <v>673</v>
      </c>
      <c r="D30" s="228">
        <v>325</v>
      </c>
      <c r="E30" s="228">
        <v>8</v>
      </c>
      <c r="F30" s="231">
        <v>1532.9</v>
      </c>
      <c r="G30" s="231">
        <v>1555</v>
      </c>
      <c r="H30" s="228">
        <v>-22.1</v>
      </c>
      <c r="I30" s="229">
        <v>-1.4200000000000001E-2</v>
      </c>
      <c r="J30" s="231">
        <v>1529.5</v>
      </c>
      <c r="K30" s="231">
        <v>1549.1</v>
      </c>
      <c r="L30" s="228">
        <v>-19.600000000000001</v>
      </c>
      <c r="M30" s="229">
        <v>-1.2699999999999999E-2</v>
      </c>
      <c r="N30" s="231">
        <v>1532.9</v>
      </c>
      <c r="O30" s="231">
        <v>1555</v>
      </c>
      <c r="P30" s="228">
        <v>-22.1</v>
      </c>
      <c r="Q30" s="229">
        <v>-1.4200000000000001E-2</v>
      </c>
      <c r="R30" s="231">
        <v>1541</v>
      </c>
      <c r="S30" s="231">
        <v>1563.1</v>
      </c>
      <c r="T30" s="228">
        <v>-22.1</v>
      </c>
      <c r="U30" s="229">
        <v>-1.41E-2</v>
      </c>
      <c r="V30" s="231">
        <v>1549.8</v>
      </c>
      <c r="W30" s="231">
        <v>1569.8</v>
      </c>
      <c r="X30" s="228">
        <v>-20</v>
      </c>
      <c r="Y30" s="229">
        <v>-1.2699999999999999E-2</v>
      </c>
      <c r="Z30" s="228">
        <v>3.4</v>
      </c>
      <c r="AA30" s="228">
        <v>5.9</v>
      </c>
      <c r="AB30" s="228">
        <v>-2.5</v>
      </c>
      <c r="AC30" s="229">
        <v>2.2000000000000001E-3</v>
      </c>
      <c r="AD30" s="228">
        <v>3.4</v>
      </c>
      <c r="AE30" s="228">
        <v>5.9</v>
      </c>
      <c r="AF30" s="228">
        <v>-2.5</v>
      </c>
      <c r="AG30" s="229">
        <v>2.2000000000000001E-3</v>
      </c>
      <c r="AH30" s="228">
        <v>11.5</v>
      </c>
      <c r="AI30" s="228">
        <v>14</v>
      </c>
      <c r="AJ30" s="228">
        <v>-2.5</v>
      </c>
      <c r="AK30" s="229">
        <v>7.4999999999999997E-3</v>
      </c>
      <c r="AL30" s="228">
        <v>20.3</v>
      </c>
      <c r="AM30" s="228">
        <v>20.7</v>
      </c>
      <c r="AN30" s="228">
        <v>-0.4</v>
      </c>
      <c r="AO30" s="229">
        <v>1.3299999999999999E-2</v>
      </c>
      <c r="AP30" s="231">
        <v>1543.04</v>
      </c>
      <c r="AQ30" s="231">
        <v>1552.04</v>
      </c>
      <c r="AR30" s="228">
        <v>0</v>
      </c>
      <c r="AS30" s="228">
        <v>201</v>
      </c>
      <c r="AT30" s="228">
        <v>269</v>
      </c>
      <c r="AU30" s="228">
        <v>-68</v>
      </c>
      <c r="AV30" s="229">
        <v>-0.2515</v>
      </c>
      <c r="AW30" s="228">
        <v>162</v>
      </c>
      <c r="AX30" s="228">
        <v>218</v>
      </c>
      <c r="AY30" s="228">
        <v>-56</v>
      </c>
      <c r="AZ30" s="229">
        <v>-0.25800000000000001</v>
      </c>
      <c r="BA30" s="228">
        <v>37</v>
      </c>
      <c r="BB30" s="228">
        <v>46</v>
      </c>
      <c r="BC30" s="228">
        <v>-10</v>
      </c>
      <c r="BD30" s="229">
        <v>-0.20860000000000001</v>
      </c>
      <c r="BE30" s="228">
        <v>3</v>
      </c>
      <c r="BF30" s="228">
        <v>5</v>
      </c>
      <c r="BG30" s="228">
        <v>-2</v>
      </c>
      <c r="BH30" s="229">
        <v>-0.37630000000000002</v>
      </c>
      <c r="BI30" s="228">
        <v>632</v>
      </c>
      <c r="BJ30" s="228">
        <v>623</v>
      </c>
      <c r="BK30" s="228">
        <v>9</v>
      </c>
      <c r="BL30" s="229">
        <v>1.41E-2</v>
      </c>
      <c r="BM30" s="228">
        <v>344</v>
      </c>
      <c r="BN30" s="228">
        <v>697</v>
      </c>
      <c r="BO30" s="228">
        <v>-353</v>
      </c>
      <c r="BP30" s="229">
        <v>-0.50639999999999996</v>
      </c>
      <c r="BQ30" s="230">
        <v>1177</v>
      </c>
      <c r="BR30" s="230">
        <v>1589</v>
      </c>
      <c r="BS30" s="228">
        <v>-412</v>
      </c>
      <c r="BT30" s="229">
        <v>-0.25919999999999999</v>
      </c>
      <c r="BU30" s="230">
        <v>1579807</v>
      </c>
      <c r="BV30" s="230">
        <v>2681192</v>
      </c>
      <c r="BW30" s="230">
        <v>-1101385</v>
      </c>
      <c r="BX30" s="229">
        <v>-0.4108</v>
      </c>
      <c r="BY30" s="228">
        <v>766</v>
      </c>
      <c r="BZ30" s="228">
        <v>742</v>
      </c>
      <c r="CA30" s="228">
        <v>24</v>
      </c>
      <c r="CB30" s="229">
        <v>3.2800000000000003E-2</v>
      </c>
      <c r="CC30" s="228">
        <v>670</v>
      </c>
      <c r="CD30" s="228">
        <v>660</v>
      </c>
      <c r="CE30" s="228">
        <v>9</v>
      </c>
      <c r="CF30" s="229">
        <v>1.43E-2</v>
      </c>
      <c r="CG30" s="228">
        <v>87</v>
      </c>
      <c r="CH30" s="228">
        <v>74</v>
      </c>
      <c r="CI30" s="228">
        <v>13</v>
      </c>
      <c r="CJ30" s="229">
        <v>0.1736</v>
      </c>
      <c r="CK30" s="228">
        <v>10</v>
      </c>
      <c r="CL30" s="228">
        <v>7</v>
      </c>
      <c r="CM30" s="228">
        <v>2</v>
      </c>
      <c r="CN30" s="229">
        <v>0.27329999999999999</v>
      </c>
      <c r="CO30" s="228">
        <v>515</v>
      </c>
      <c r="CP30" s="228">
        <v>459</v>
      </c>
      <c r="CQ30" s="228">
        <v>56</v>
      </c>
      <c r="CR30" s="229">
        <v>0.1217</v>
      </c>
      <c r="CS30" s="228">
        <v>320</v>
      </c>
      <c r="CT30" s="228">
        <v>319</v>
      </c>
      <c r="CU30" s="228">
        <v>1</v>
      </c>
      <c r="CV30" s="229">
        <v>3.7000000000000002E-3</v>
      </c>
      <c r="CW30" s="230">
        <v>1601</v>
      </c>
      <c r="CX30" s="230">
        <v>1520</v>
      </c>
      <c r="CY30" s="228">
        <v>81</v>
      </c>
      <c r="CZ30" s="229">
        <v>5.3600000000000002E-2</v>
      </c>
      <c r="DA30" s="228">
        <v>41.42</v>
      </c>
      <c r="DB30" s="228">
        <v>37.57</v>
      </c>
      <c r="DC30" s="228">
        <v>3.85</v>
      </c>
      <c r="DD30" s="228">
        <v>3.85</v>
      </c>
      <c r="DE30" s="228">
        <v>55.75</v>
      </c>
      <c r="DF30" s="228">
        <v>55.86</v>
      </c>
      <c r="DG30" s="228">
        <v>-14.33</v>
      </c>
      <c r="DH30" s="228">
        <v>-0.11</v>
      </c>
      <c r="DI30" s="228">
        <v>42.51</v>
      </c>
      <c r="DJ30" s="228">
        <v>38.4</v>
      </c>
      <c r="DK30" s="228">
        <v>4.1100000000000003</v>
      </c>
      <c r="DL30" s="228">
        <v>4.1100000000000003</v>
      </c>
      <c r="DM30" s="228">
        <v>39.42</v>
      </c>
      <c r="DN30" s="228">
        <v>36.83</v>
      </c>
      <c r="DO30" s="228">
        <v>2.59</v>
      </c>
      <c r="DP30" s="228">
        <v>2.59</v>
      </c>
      <c r="DQ30" s="228">
        <v>0.62</v>
      </c>
      <c r="DR30" s="228">
        <v>0.69</v>
      </c>
      <c r="DS30" s="228">
        <v>-7.0000000000000007E-2</v>
      </c>
      <c r="DT30" s="229">
        <v>-0.1014</v>
      </c>
      <c r="DU30" s="231">
        <v>1600</v>
      </c>
      <c r="DV30" s="231">
        <v>1500</v>
      </c>
      <c r="DW30" s="228">
        <v>0.54</v>
      </c>
      <c r="DX30" s="228">
        <v>1.1200000000000001</v>
      </c>
      <c r="DY30" s="228">
        <v>-0.57999999999999996</v>
      </c>
      <c r="DZ30" s="229">
        <v>-0.51790000000000003</v>
      </c>
      <c r="EA30" s="229">
        <v>0.12540000000000001</v>
      </c>
      <c r="EB30" s="230">
        <v>529750</v>
      </c>
      <c r="EC30" s="229">
        <v>5.3E-3</v>
      </c>
      <c r="ED30" s="229">
        <v>0.12540000000000001</v>
      </c>
      <c r="EE30" s="228">
        <v>9</v>
      </c>
      <c r="EF30" s="229">
        <v>5.7999999999999996E-3</v>
      </c>
      <c r="EG30" s="230">
        <v>489231</v>
      </c>
      <c r="EH30" s="230">
        <v>1135654</v>
      </c>
      <c r="EI30" s="229">
        <v>-0.56920000000000004</v>
      </c>
      <c r="EJ30" s="229">
        <v>0.30969999999999998</v>
      </c>
      <c r="EK30" s="228">
        <v>679.87</v>
      </c>
      <c r="EL30" s="228">
        <v>343.81</v>
      </c>
      <c r="EM30" s="228">
        <v>202.64</v>
      </c>
      <c r="EN30" s="228">
        <v>0</v>
      </c>
      <c r="EO30" s="231">
        <v>1226.32</v>
      </c>
      <c r="EP30" s="231">
        <v>1648.45</v>
      </c>
      <c r="EQ30" s="228">
        <v>-422.13</v>
      </c>
      <c r="ER30" s="229">
        <v>-0.25609999999999999</v>
      </c>
      <c r="ES30" s="228">
        <v>565.16</v>
      </c>
      <c r="ET30" s="228">
        <v>323.64</v>
      </c>
      <c r="EU30" s="228">
        <v>766.43</v>
      </c>
      <c r="EV30" s="231">
        <v>18382289</v>
      </c>
      <c r="EW30" s="231">
        <v>1655.23</v>
      </c>
      <c r="EX30" s="231">
        <v>1583.05</v>
      </c>
      <c r="EY30" s="228">
        <v>72.180000000000007</v>
      </c>
      <c r="EZ30" s="229">
        <v>4.5600000000000002E-2</v>
      </c>
      <c r="FA30" s="229">
        <v>0.56830000000000003</v>
      </c>
      <c r="FB30" s="227" t="s">
        <v>567</v>
      </c>
      <c r="FC30">
        <f t="shared" si="0"/>
        <v>96</v>
      </c>
    </row>
    <row r="31" spans="1:159" ht="17.25" thickBot="1" x14ac:dyDescent="0.3">
      <c r="A31" s="226">
        <v>45889</v>
      </c>
      <c r="B31" s="227" t="s">
        <v>184</v>
      </c>
      <c r="C31" s="227" t="s">
        <v>185</v>
      </c>
      <c r="D31" s="228">
        <v>2850</v>
      </c>
      <c r="E31" s="228">
        <v>8</v>
      </c>
      <c r="F31" s="228">
        <v>372.15</v>
      </c>
      <c r="G31" s="228">
        <v>380.4</v>
      </c>
      <c r="H31" s="228">
        <v>-8.25</v>
      </c>
      <c r="I31" s="229">
        <v>-2.1700000000000001E-2</v>
      </c>
      <c r="J31" s="228">
        <v>371.85</v>
      </c>
      <c r="K31" s="228">
        <v>380.05</v>
      </c>
      <c r="L31" s="228">
        <v>-8.1999999999999993</v>
      </c>
      <c r="M31" s="229">
        <v>-2.1600000000000001E-2</v>
      </c>
      <c r="N31" s="228">
        <v>372.15</v>
      </c>
      <c r="O31" s="228">
        <v>380.4</v>
      </c>
      <c r="P31" s="228">
        <v>-8.25</v>
      </c>
      <c r="Q31" s="229">
        <v>-2.1700000000000001E-2</v>
      </c>
      <c r="R31" s="228">
        <v>374.4</v>
      </c>
      <c r="S31" s="228">
        <v>382.6</v>
      </c>
      <c r="T31" s="228">
        <v>-8.1999999999999993</v>
      </c>
      <c r="U31" s="229">
        <v>-2.1399999999999999E-2</v>
      </c>
      <c r="V31" s="228">
        <v>376.25</v>
      </c>
      <c r="W31" s="228">
        <v>384.4</v>
      </c>
      <c r="X31" s="228">
        <v>-8.15</v>
      </c>
      <c r="Y31" s="229">
        <v>-2.12E-2</v>
      </c>
      <c r="Z31" s="228">
        <v>0.3</v>
      </c>
      <c r="AA31" s="228">
        <v>0.35</v>
      </c>
      <c r="AB31" s="228">
        <v>-0.05</v>
      </c>
      <c r="AC31" s="229">
        <v>8.0000000000000004E-4</v>
      </c>
      <c r="AD31" s="228">
        <v>0.3</v>
      </c>
      <c r="AE31" s="228">
        <v>0.35</v>
      </c>
      <c r="AF31" s="228">
        <v>-0.05</v>
      </c>
      <c r="AG31" s="229">
        <v>8.0000000000000004E-4</v>
      </c>
      <c r="AH31" s="228">
        <v>2.5499999999999998</v>
      </c>
      <c r="AI31" s="228">
        <v>2.5499999999999998</v>
      </c>
      <c r="AJ31" s="228">
        <v>0</v>
      </c>
      <c r="AK31" s="229">
        <v>6.8999999999999999E-3</v>
      </c>
      <c r="AL31" s="228">
        <v>4.4000000000000004</v>
      </c>
      <c r="AM31" s="228">
        <v>4.3499999999999996</v>
      </c>
      <c r="AN31" s="228">
        <v>0.05</v>
      </c>
      <c r="AO31" s="229">
        <v>1.18E-2</v>
      </c>
      <c r="AP31" s="228">
        <v>375.52</v>
      </c>
      <c r="AQ31" s="228">
        <v>377.09</v>
      </c>
      <c r="AR31" s="228">
        <v>0</v>
      </c>
      <c r="AS31" s="230">
        <v>1497</v>
      </c>
      <c r="AT31" s="228">
        <v>897</v>
      </c>
      <c r="AU31" s="228">
        <v>599</v>
      </c>
      <c r="AV31" s="229">
        <v>0.66800000000000004</v>
      </c>
      <c r="AW31" s="230">
        <v>1097</v>
      </c>
      <c r="AX31" s="228">
        <v>696</v>
      </c>
      <c r="AY31" s="228">
        <v>401</v>
      </c>
      <c r="AZ31" s="229">
        <v>0.57540000000000002</v>
      </c>
      <c r="BA31" s="228">
        <v>358</v>
      </c>
      <c r="BB31" s="228">
        <v>173</v>
      </c>
      <c r="BC31" s="228">
        <v>186</v>
      </c>
      <c r="BD31" s="229">
        <v>1.0768</v>
      </c>
      <c r="BE31" s="228">
        <v>41</v>
      </c>
      <c r="BF31" s="228">
        <v>28</v>
      </c>
      <c r="BG31" s="228">
        <v>13</v>
      </c>
      <c r="BH31" s="229">
        <v>0.45490000000000003</v>
      </c>
      <c r="BI31" s="230">
        <v>5830</v>
      </c>
      <c r="BJ31" s="230">
        <v>3266</v>
      </c>
      <c r="BK31" s="230">
        <v>2564</v>
      </c>
      <c r="BL31" s="229">
        <v>0.78490000000000004</v>
      </c>
      <c r="BM31" s="230">
        <v>3043</v>
      </c>
      <c r="BN31" s="230">
        <v>1744</v>
      </c>
      <c r="BO31" s="230">
        <v>1299</v>
      </c>
      <c r="BP31" s="229">
        <v>0.74450000000000005</v>
      </c>
      <c r="BQ31" s="230">
        <v>10370</v>
      </c>
      <c r="BR31" s="230">
        <v>5908</v>
      </c>
      <c r="BS31" s="230">
        <v>4462</v>
      </c>
      <c r="BT31" s="229">
        <v>0.75519999999999998</v>
      </c>
      <c r="BU31" s="230">
        <v>21174135</v>
      </c>
      <c r="BV31" s="230">
        <v>11755370</v>
      </c>
      <c r="BW31" s="230">
        <v>9418765</v>
      </c>
      <c r="BX31" s="229">
        <v>0.80120000000000002</v>
      </c>
      <c r="BY31" s="230">
        <v>4880</v>
      </c>
      <c r="BZ31" s="230">
        <v>4652</v>
      </c>
      <c r="CA31" s="228">
        <v>228</v>
      </c>
      <c r="CB31" s="229">
        <v>4.9000000000000002E-2</v>
      </c>
      <c r="CC31" s="230">
        <v>4158</v>
      </c>
      <c r="CD31" s="230">
        <v>4193</v>
      </c>
      <c r="CE31" s="228">
        <v>-35</v>
      </c>
      <c r="CF31" s="229">
        <v>-8.3999999999999995E-3</v>
      </c>
      <c r="CG31" s="228">
        <v>670</v>
      </c>
      <c r="CH31" s="228">
        <v>422</v>
      </c>
      <c r="CI31" s="228">
        <v>247</v>
      </c>
      <c r="CJ31" s="229">
        <v>0.5857</v>
      </c>
      <c r="CK31" s="228">
        <v>52</v>
      </c>
      <c r="CL31" s="228">
        <v>37</v>
      </c>
      <c r="CM31" s="228">
        <v>16</v>
      </c>
      <c r="CN31" s="229">
        <v>0.43190000000000001</v>
      </c>
      <c r="CO31" s="230">
        <v>3419</v>
      </c>
      <c r="CP31" s="230">
        <v>2765</v>
      </c>
      <c r="CQ31" s="228">
        <v>654</v>
      </c>
      <c r="CR31" s="229">
        <v>0.23630000000000001</v>
      </c>
      <c r="CS31" s="230">
        <v>1704</v>
      </c>
      <c r="CT31" s="230">
        <v>1487</v>
      </c>
      <c r="CU31" s="228">
        <v>217</v>
      </c>
      <c r="CV31" s="229">
        <v>0.1462</v>
      </c>
      <c r="CW31" s="230">
        <v>10004</v>
      </c>
      <c r="CX31" s="230">
        <v>8905</v>
      </c>
      <c r="CY31" s="230">
        <v>1099</v>
      </c>
      <c r="CZ31" s="229">
        <v>0.1234</v>
      </c>
      <c r="DA31" s="228">
        <v>30.62</v>
      </c>
      <c r="DB31" s="228">
        <v>27.02</v>
      </c>
      <c r="DC31" s="228">
        <v>3.6</v>
      </c>
      <c r="DD31" s="228">
        <v>3.6</v>
      </c>
      <c r="DE31" s="228">
        <v>39.520000000000003</v>
      </c>
      <c r="DF31" s="228">
        <v>39.51</v>
      </c>
      <c r="DG31" s="228">
        <v>-8.9</v>
      </c>
      <c r="DH31" s="228">
        <v>0.01</v>
      </c>
      <c r="DI31" s="228">
        <v>31.64</v>
      </c>
      <c r="DJ31" s="228">
        <v>27.44</v>
      </c>
      <c r="DK31" s="228">
        <v>4.2</v>
      </c>
      <c r="DL31" s="228">
        <v>4.2</v>
      </c>
      <c r="DM31" s="228">
        <v>28.68</v>
      </c>
      <c r="DN31" s="228">
        <v>26.23</v>
      </c>
      <c r="DO31" s="228">
        <v>2.4500000000000002</v>
      </c>
      <c r="DP31" s="228">
        <v>2.4500000000000002</v>
      </c>
      <c r="DQ31" s="228">
        <v>0.5</v>
      </c>
      <c r="DR31" s="228">
        <v>0.54</v>
      </c>
      <c r="DS31" s="228">
        <v>-0.04</v>
      </c>
      <c r="DT31" s="229">
        <v>-7.4099999999999999E-2</v>
      </c>
      <c r="DU31" s="228">
        <v>390</v>
      </c>
      <c r="DV31" s="228">
        <v>380</v>
      </c>
      <c r="DW31" s="228">
        <v>0.52</v>
      </c>
      <c r="DX31" s="228">
        <v>0.53</v>
      </c>
      <c r="DY31" s="228">
        <v>-0.01</v>
      </c>
      <c r="DZ31" s="229">
        <v>-1.89E-2</v>
      </c>
      <c r="EA31" s="229">
        <v>0.14799999999999999</v>
      </c>
      <c r="EB31" s="230">
        <v>12334800</v>
      </c>
      <c r="EC31" s="229">
        <v>6.0000000000000001E-3</v>
      </c>
      <c r="ED31" s="229">
        <v>0.14799999999999999</v>
      </c>
      <c r="EE31" s="228">
        <v>1.57</v>
      </c>
      <c r="EF31" s="229">
        <v>4.1999999999999997E-3</v>
      </c>
      <c r="EG31" s="230">
        <v>10565886</v>
      </c>
      <c r="EH31" s="230">
        <v>5218549</v>
      </c>
      <c r="EI31" s="229">
        <v>1.0246999999999999</v>
      </c>
      <c r="EJ31" s="229">
        <v>0.499</v>
      </c>
      <c r="EK31" s="231">
        <v>6169.66</v>
      </c>
      <c r="EL31" s="231">
        <v>3094.42</v>
      </c>
      <c r="EM31" s="231">
        <v>1511.99</v>
      </c>
      <c r="EN31" s="228">
        <v>0</v>
      </c>
      <c r="EO31" s="231">
        <v>10776.08</v>
      </c>
      <c r="EP31" s="231">
        <v>6175.67</v>
      </c>
      <c r="EQ31" s="231">
        <v>4600.41</v>
      </c>
      <c r="ER31" s="229">
        <v>0.74490000000000001</v>
      </c>
      <c r="ES31" s="231">
        <v>3674.25</v>
      </c>
      <c r="ET31" s="231">
        <v>1741.44</v>
      </c>
      <c r="EU31" s="231">
        <v>4884.8900000000003</v>
      </c>
      <c r="EV31" s="231">
        <v>714371379</v>
      </c>
      <c r="EW31" s="231">
        <v>10300.58</v>
      </c>
      <c r="EX31" s="231">
        <v>9292.7800000000007</v>
      </c>
      <c r="EY31" s="231">
        <v>1007.8</v>
      </c>
      <c r="EZ31" s="229">
        <v>0.1084</v>
      </c>
      <c r="FA31" s="229">
        <v>0.37630000000000002</v>
      </c>
      <c r="FB31" s="227" t="s">
        <v>567</v>
      </c>
      <c r="FC31">
        <f t="shared" si="0"/>
        <v>722</v>
      </c>
    </row>
    <row r="32" spans="1:159" ht="17.25" thickBot="1" x14ac:dyDescent="0.3">
      <c r="A32" s="226">
        <v>45889</v>
      </c>
      <c r="B32" s="227" t="s">
        <v>162</v>
      </c>
      <c r="C32" s="227" t="s">
        <v>187</v>
      </c>
      <c r="D32" s="228">
        <v>500</v>
      </c>
      <c r="E32" s="228">
        <v>8</v>
      </c>
      <c r="F32" s="231">
        <v>1160.2</v>
      </c>
      <c r="G32" s="231">
        <v>1193.0999999999999</v>
      </c>
      <c r="H32" s="228">
        <v>-32.9</v>
      </c>
      <c r="I32" s="229">
        <v>-2.76E-2</v>
      </c>
      <c r="J32" s="231">
        <v>1158.9000000000001</v>
      </c>
      <c r="K32" s="231">
        <v>1188.5</v>
      </c>
      <c r="L32" s="228">
        <v>-29.6</v>
      </c>
      <c r="M32" s="229">
        <v>-2.4899999999999999E-2</v>
      </c>
      <c r="N32" s="231">
        <v>1160.2</v>
      </c>
      <c r="O32" s="231">
        <v>1193.0999999999999</v>
      </c>
      <c r="P32" s="228">
        <v>-32.9</v>
      </c>
      <c r="Q32" s="229">
        <v>-2.76E-2</v>
      </c>
      <c r="R32" s="231">
        <v>1166.4000000000001</v>
      </c>
      <c r="S32" s="231">
        <v>1198.9000000000001</v>
      </c>
      <c r="T32" s="228">
        <v>-32.5</v>
      </c>
      <c r="U32" s="229">
        <v>-2.7099999999999999E-2</v>
      </c>
      <c r="V32" s="231">
        <v>1171.5999999999999</v>
      </c>
      <c r="W32" s="231">
        <v>1202.9000000000001</v>
      </c>
      <c r="X32" s="228">
        <v>-31.3</v>
      </c>
      <c r="Y32" s="229">
        <v>-2.5999999999999999E-2</v>
      </c>
      <c r="Z32" s="228">
        <v>1.3</v>
      </c>
      <c r="AA32" s="228">
        <v>4.5999999999999996</v>
      </c>
      <c r="AB32" s="228">
        <v>-3.3</v>
      </c>
      <c r="AC32" s="229">
        <v>1.1000000000000001E-3</v>
      </c>
      <c r="AD32" s="228">
        <v>1.3</v>
      </c>
      <c r="AE32" s="228">
        <v>4.5999999999999996</v>
      </c>
      <c r="AF32" s="228">
        <v>-3.3</v>
      </c>
      <c r="AG32" s="229">
        <v>1.1000000000000001E-3</v>
      </c>
      <c r="AH32" s="228">
        <v>7.5</v>
      </c>
      <c r="AI32" s="228">
        <v>10.4</v>
      </c>
      <c r="AJ32" s="228">
        <v>-2.9</v>
      </c>
      <c r="AK32" s="229">
        <v>6.4999999999999997E-3</v>
      </c>
      <c r="AL32" s="228">
        <v>12.7</v>
      </c>
      <c r="AM32" s="228">
        <v>14.4</v>
      </c>
      <c r="AN32" s="228">
        <v>-1.7</v>
      </c>
      <c r="AO32" s="229">
        <v>1.0999999999999999E-2</v>
      </c>
      <c r="AP32" s="231">
        <v>1169.3399999999999</v>
      </c>
      <c r="AQ32" s="231">
        <v>1176.31</v>
      </c>
      <c r="AR32" s="228">
        <v>0</v>
      </c>
      <c r="AS32" s="228">
        <v>333</v>
      </c>
      <c r="AT32" s="228">
        <v>171</v>
      </c>
      <c r="AU32" s="228">
        <v>162</v>
      </c>
      <c r="AV32" s="229">
        <v>0.95069999999999999</v>
      </c>
      <c r="AW32" s="228">
        <v>266</v>
      </c>
      <c r="AX32" s="228">
        <v>147</v>
      </c>
      <c r="AY32" s="228">
        <v>119</v>
      </c>
      <c r="AZ32" s="229">
        <v>0.8095</v>
      </c>
      <c r="BA32" s="228">
        <v>63</v>
      </c>
      <c r="BB32" s="228">
        <v>22</v>
      </c>
      <c r="BC32" s="228">
        <v>41</v>
      </c>
      <c r="BD32" s="229">
        <v>1.8571</v>
      </c>
      <c r="BE32" s="228">
        <v>4</v>
      </c>
      <c r="BF32" s="228">
        <v>2</v>
      </c>
      <c r="BG32" s="228">
        <v>3</v>
      </c>
      <c r="BH32" s="229">
        <v>1.4666999999999999</v>
      </c>
      <c r="BI32" s="228">
        <v>477</v>
      </c>
      <c r="BJ32" s="228">
        <v>337</v>
      </c>
      <c r="BK32" s="228">
        <v>139</v>
      </c>
      <c r="BL32" s="229">
        <v>0.41270000000000001</v>
      </c>
      <c r="BM32" s="228">
        <v>299</v>
      </c>
      <c r="BN32" s="228">
        <v>162</v>
      </c>
      <c r="BO32" s="228">
        <v>136</v>
      </c>
      <c r="BP32" s="229">
        <v>0.83919999999999995</v>
      </c>
      <c r="BQ32" s="230">
        <v>1108</v>
      </c>
      <c r="BR32" s="228">
        <v>670</v>
      </c>
      <c r="BS32" s="228">
        <v>438</v>
      </c>
      <c r="BT32" s="229">
        <v>0.65300000000000002</v>
      </c>
      <c r="BU32" s="230">
        <v>612719</v>
      </c>
      <c r="BV32" s="230">
        <v>229302</v>
      </c>
      <c r="BW32" s="230">
        <v>383417</v>
      </c>
      <c r="BX32" s="229">
        <v>1.6720999999999999</v>
      </c>
      <c r="BY32" s="230">
        <v>1434</v>
      </c>
      <c r="BZ32" s="230">
        <v>1355</v>
      </c>
      <c r="CA32" s="228">
        <v>79</v>
      </c>
      <c r="CB32" s="229">
        <v>5.8099999999999999E-2</v>
      </c>
      <c r="CC32" s="230">
        <v>1321</v>
      </c>
      <c r="CD32" s="230">
        <v>1283</v>
      </c>
      <c r="CE32" s="228">
        <v>38</v>
      </c>
      <c r="CF32" s="229">
        <v>2.9600000000000001E-2</v>
      </c>
      <c r="CG32" s="228">
        <v>107</v>
      </c>
      <c r="CH32" s="228">
        <v>69</v>
      </c>
      <c r="CI32" s="228">
        <v>39</v>
      </c>
      <c r="CJ32" s="229">
        <v>0.55989999999999995</v>
      </c>
      <c r="CK32" s="228">
        <v>5</v>
      </c>
      <c r="CL32" s="228">
        <v>3</v>
      </c>
      <c r="CM32" s="228">
        <v>2</v>
      </c>
      <c r="CN32" s="229">
        <v>0.70369999999999999</v>
      </c>
      <c r="CO32" s="228">
        <v>435</v>
      </c>
      <c r="CP32" s="228">
        <v>395</v>
      </c>
      <c r="CQ32" s="228">
        <v>40</v>
      </c>
      <c r="CR32" s="229">
        <v>0.1003</v>
      </c>
      <c r="CS32" s="228">
        <v>294</v>
      </c>
      <c r="CT32" s="228">
        <v>285</v>
      </c>
      <c r="CU32" s="228">
        <v>9</v>
      </c>
      <c r="CV32" s="229">
        <v>3.0499999999999999E-2</v>
      </c>
      <c r="CW32" s="230">
        <v>2162</v>
      </c>
      <c r="CX32" s="230">
        <v>2035</v>
      </c>
      <c r="CY32" s="228">
        <v>127</v>
      </c>
      <c r="CZ32" s="229">
        <v>6.2399999999999997E-2</v>
      </c>
      <c r="DA32" s="228">
        <v>29.12</v>
      </c>
      <c r="DB32" s="228">
        <v>26.39</v>
      </c>
      <c r="DC32" s="228">
        <v>2.73</v>
      </c>
      <c r="DD32" s="228">
        <v>2.73</v>
      </c>
      <c r="DE32" s="228">
        <v>39.51</v>
      </c>
      <c r="DF32" s="228">
        <v>39.43</v>
      </c>
      <c r="DG32" s="228">
        <v>-10.39</v>
      </c>
      <c r="DH32" s="228">
        <v>0.08</v>
      </c>
      <c r="DI32" s="228">
        <v>29.33</v>
      </c>
      <c r="DJ32" s="228">
        <v>25.82</v>
      </c>
      <c r="DK32" s="228">
        <v>3.51</v>
      </c>
      <c r="DL32" s="228">
        <v>3.51</v>
      </c>
      <c r="DM32" s="228">
        <v>28.78</v>
      </c>
      <c r="DN32" s="228">
        <v>27.56</v>
      </c>
      <c r="DO32" s="228">
        <v>1.22</v>
      </c>
      <c r="DP32" s="228">
        <v>1.22</v>
      </c>
      <c r="DQ32" s="228">
        <v>0.68</v>
      </c>
      <c r="DR32" s="228">
        <v>0.72</v>
      </c>
      <c r="DS32" s="228">
        <v>-0.04</v>
      </c>
      <c r="DT32" s="229">
        <v>-5.5599999999999997E-2</v>
      </c>
      <c r="DU32" s="231">
        <v>1200</v>
      </c>
      <c r="DV32" s="231">
        <v>1160</v>
      </c>
      <c r="DW32" s="228">
        <v>0.63</v>
      </c>
      <c r="DX32" s="228">
        <v>0.48</v>
      </c>
      <c r="DY32" s="228">
        <v>0.15</v>
      </c>
      <c r="DZ32" s="229">
        <v>0.3125</v>
      </c>
      <c r="EA32" s="229">
        <v>7.8600000000000003E-2</v>
      </c>
      <c r="EB32" s="230">
        <v>620000</v>
      </c>
      <c r="EC32" s="229">
        <v>5.3E-3</v>
      </c>
      <c r="ED32" s="229">
        <v>7.8600000000000003E-2</v>
      </c>
      <c r="EE32" s="228">
        <v>6.97</v>
      </c>
      <c r="EF32" s="229">
        <v>6.0000000000000001E-3</v>
      </c>
      <c r="EG32" s="230">
        <v>319078</v>
      </c>
      <c r="EH32" s="230">
        <v>95389</v>
      </c>
      <c r="EI32" s="229">
        <v>2.3450000000000002</v>
      </c>
      <c r="EJ32" s="229">
        <v>0.52080000000000004</v>
      </c>
      <c r="EK32" s="228">
        <v>498.9</v>
      </c>
      <c r="EL32" s="228">
        <v>301.95999999999998</v>
      </c>
      <c r="EM32" s="228">
        <v>336.08</v>
      </c>
      <c r="EN32" s="228">
        <v>0</v>
      </c>
      <c r="EO32" s="231">
        <v>1136.95</v>
      </c>
      <c r="EP32" s="228">
        <v>698.23</v>
      </c>
      <c r="EQ32" s="228">
        <v>438.72</v>
      </c>
      <c r="ER32" s="229">
        <v>0.62829999999999997</v>
      </c>
      <c r="ES32" s="228">
        <v>459.41</v>
      </c>
      <c r="ET32" s="228">
        <v>294.25</v>
      </c>
      <c r="EU32" s="231">
        <v>1434.34</v>
      </c>
      <c r="EV32" s="231">
        <v>53477001</v>
      </c>
      <c r="EW32" s="231">
        <v>2188.0100000000002</v>
      </c>
      <c r="EX32" s="231">
        <v>2098.61</v>
      </c>
      <c r="EY32" s="228">
        <v>89.4</v>
      </c>
      <c r="EZ32" s="229">
        <v>4.2599999999999999E-2</v>
      </c>
      <c r="FA32" s="229">
        <v>0.34849999999999998</v>
      </c>
      <c r="FB32" s="227" t="s">
        <v>567</v>
      </c>
      <c r="FC32">
        <f t="shared" si="0"/>
        <v>113</v>
      </c>
    </row>
    <row r="33" spans="1:159" ht="17.25" thickBot="1" x14ac:dyDescent="0.3">
      <c r="A33" s="226">
        <v>45889</v>
      </c>
      <c r="B33" s="227" t="s">
        <v>188</v>
      </c>
      <c r="C33" s="227" t="s">
        <v>189</v>
      </c>
      <c r="D33" s="228">
        <v>475</v>
      </c>
      <c r="E33" s="228">
        <v>8</v>
      </c>
      <c r="F33" s="231">
        <v>1929.2</v>
      </c>
      <c r="G33" s="231">
        <v>1915</v>
      </c>
      <c r="H33" s="228">
        <v>14.2</v>
      </c>
      <c r="I33" s="229">
        <v>7.4000000000000003E-3</v>
      </c>
      <c r="J33" s="231">
        <v>1928.4</v>
      </c>
      <c r="K33" s="231">
        <v>1909.7</v>
      </c>
      <c r="L33" s="228">
        <v>18.7</v>
      </c>
      <c r="M33" s="229">
        <v>9.7999999999999997E-3</v>
      </c>
      <c r="N33" s="231">
        <v>1929.2</v>
      </c>
      <c r="O33" s="231">
        <v>1915</v>
      </c>
      <c r="P33" s="228">
        <v>14.2</v>
      </c>
      <c r="Q33" s="229">
        <v>7.4000000000000003E-3</v>
      </c>
      <c r="R33" s="231">
        <v>1940.8</v>
      </c>
      <c r="S33" s="231">
        <v>1926.3</v>
      </c>
      <c r="T33" s="228">
        <v>14.5</v>
      </c>
      <c r="U33" s="229">
        <v>7.4999999999999997E-3</v>
      </c>
      <c r="V33" s="231">
        <v>1950.7</v>
      </c>
      <c r="W33" s="231">
        <v>1935.7</v>
      </c>
      <c r="X33" s="228">
        <v>15</v>
      </c>
      <c r="Y33" s="229">
        <v>7.7000000000000002E-3</v>
      </c>
      <c r="Z33" s="228">
        <v>0.8</v>
      </c>
      <c r="AA33" s="228">
        <v>5.3</v>
      </c>
      <c r="AB33" s="228">
        <v>-4.5</v>
      </c>
      <c r="AC33" s="229">
        <v>4.0000000000000002E-4</v>
      </c>
      <c r="AD33" s="228">
        <v>0.8</v>
      </c>
      <c r="AE33" s="228">
        <v>5.3</v>
      </c>
      <c r="AF33" s="228">
        <v>-4.5</v>
      </c>
      <c r="AG33" s="229">
        <v>4.0000000000000002E-4</v>
      </c>
      <c r="AH33" s="228">
        <v>12.4</v>
      </c>
      <c r="AI33" s="228">
        <v>16.600000000000001</v>
      </c>
      <c r="AJ33" s="228">
        <v>-4.2</v>
      </c>
      <c r="AK33" s="229">
        <v>6.4000000000000003E-3</v>
      </c>
      <c r="AL33" s="228">
        <v>22.3</v>
      </c>
      <c r="AM33" s="228">
        <v>26</v>
      </c>
      <c r="AN33" s="228">
        <v>-3.7</v>
      </c>
      <c r="AO33" s="229">
        <v>1.1599999999999999E-2</v>
      </c>
      <c r="AP33" s="231">
        <v>1936.81</v>
      </c>
      <c r="AQ33" s="231">
        <v>1946.3</v>
      </c>
      <c r="AR33" s="228">
        <v>0</v>
      </c>
      <c r="AS33" s="230">
        <v>1360</v>
      </c>
      <c r="AT33" s="230">
        <v>1120</v>
      </c>
      <c r="AU33" s="228">
        <v>240</v>
      </c>
      <c r="AV33" s="229">
        <v>0.21429999999999999</v>
      </c>
      <c r="AW33" s="230">
        <v>1180</v>
      </c>
      <c r="AX33" s="230">
        <v>1010</v>
      </c>
      <c r="AY33" s="228">
        <v>170</v>
      </c>
      <c r="AZ33" s="229">
        <v>0.1681</v>
      </c>
      <c r="BA33" s="228">
        <v>173</v>
      </c>
      <c r="BB33" s="228">
        <v>94</v>
      </c>
      <c r="BC33" s="228">
        <v>79</v>
      </c>
      <c r="BD33" s="229">
        <v>0.83630000000000004</v>
      </c>
      <c r="BE33" s="228">
        <v>8</v>
      </c>
      <c r="BF33" s="228">
        <v>16</v>
      </c>
      <c r="BG33" s="228">
        <v>-8</v>
      </c>
      <c r="BH33" s="229">
        <v>-0.52270000000000005</v>
      </c>
      <c r="BI33" s="230">
        <v>9863</v>
      </c>
      <c r="BJ33" s="230">
        <v>10476</v>
      </c>
      <c r="BK33" s="228">
        <v>-614</v>
      </c>
      <c r="BL33" s="229">
        <v>-5.8599999999999999E-2</v>
      </c>
      <c r="BM33" s="230">
        <v>3699</v>
      </c>
      <c r="BN33" s="230">
        <v>4114</v>
      </c>
      <c r="BO33" s="228">
        <v>-415</v>
      </c>
      <c r="BP33" s="229">
        <v>-0.1009</v>
      </c>
      <c r="BQ33" s="230">
        <v>14922</v>
      </c>
      <c r="BR33" s="230">
        <v>15711</v>
      </c>
      <c r="BS33" s="228">
        <v>-789</v>
      </c>
      <c r="BT33" s="229">
        <v>-5.0200000000000002E-2</v>
      </c>
      <c r="BU33" s="230">
        <v>7080041</v>
      </c>
      <c r="BV33" s="230">
        <v>6008086</v>
      </c>
      <c r="BW33" s="230">
        <v>1071955</v>
      </c>
      <c r="BX33" s="229">
        <v>0.1784</v>
      </c>
      <c r="BY33" s="230">
        <v>9011</v>
      </c>
      <c r="BZ33" s="230">
        <v>9211</v>
      </c>
      <c r="CA33" s="228">
        <v>-200</v>
      </c>
      <c r="CB33" s="229">
        <v>-2.1700000000000001E-2</v>
      </c>
      <c r="CC33" s="230">
        <v>7556</v>
      </c>
      <c r="CD33" s="230">
        <v>7845</v>
      </c>
      <c r="CE33" s="228">
        <v>-289</v>
      </c>
      <c r="CF33" s="229">
        <v>-3.6799999999999999E-2</v>
      </c>
      <c r="CG33" s="228">
        <v>963</v>
      </c>
      <c r="CH33" s="228">
        <v>875</v>
      </c>
      <c r="CI33" s="228">
        <v>88</v>
      </c>
      <c r="CJ33" s="229">
        <v>0.10059999999999999</v>
      </c>
      <c r="CK33" s="228">
        <v>492</v>
      </c>
      <c r="CL33" s="228">
        <v>491</v>
      </c>
      <c r="CM33" s="228">
        <v>1</v>
      </c>
      <c r="CN33" s="229">
        <v>1.5E-3</v>
      </c>
      <c r="CO33" s="230">
        <v>3569</v>
      </c>
      <c r="CP33" s="230">
        <v>3606</v>
      </c>
      <c r="CQ33" s="228">
        <v>-37</v>
      </c>
      <c r="CR33" s="229">
        <v>-1.03E-2</v>
      </c>
      <c r="CS33" s="230">
        <v>1599</v>
      </c>
      <c r="CT33" s="230">
        <v>1545</v>
      </c>
      <c r="CU33" s="228">
        <v>54</v>
      </c>
      <c r="CV33" s="229">
        <v>3.5200000000000002E-2</v>
      </c>
      <c r="CW33" s="230">
        <v>14179</v>
      </c>
      <c r="CX33" s="230">
        <v>14362</v>
      </c>
      <c r="CY33" s="228">
        <v>-183</v>
      </c>
      <c r="CZ33" s="229">
        <v>-1.2699999999999999E-2</v>
      </c>
      <c r="DA33" s="228">
        <v>17.23</v>
      </c>
      <c r="DB33" s="228">
        <v>17.47</v>
      </c>
      <c r="DC33" s="228">
        <v>-0.24</v>
      </c>
      <c r="DD33" s="228">
        <v>-0.24</v>
      </c>
      <c r="DE33" s="228">
        <v>26.23</v>
      </c>
      <c r="DF33" s="228">
        <v>26.27</v>
      </c>
      <c r="DG33" s="228">
        <v>-9</v>
      </c>
      <c r="DH33" s="228">
        <v>-0.04</v>
      </c>
      <c r="DI33" s="228">
        <v>17.27</v>
      </c>
      <c r="DJ33" s="228">
        <v>17.52</v>
      </c>
      <c r="DK33" s="228">
        <v>-0.25</v>
      </c>
      <c r="DL33" s="228">
        <v>-0.25</v>
      </c>
      <c r="DM33" s="228">
        <v>17.13</v>
      </c>
      <c r="DN33" s="228">
        <v>17.36</v>
      </c>
      <c r="DO33" s="228">
        <v>-0.23</v>
      </c>
      <c r="DP33" s="228">
        <v>-0.23</v>
      </c>
      <c r="DQ33" s="228">
        <v>0.45</v>
      </c>
      <c r="DR33" s="228">
        <v>0.43</v>
      </c>
      <c r="DS33" s="228">
        <v>0.02</v>
      </c>
      <c r="DT33" s="229">
        <v>4.65E-2</v>
      </c>
      <c r="DU33" s="231">
        <v>2000</v>
      </c>
      <c r="DV33" s="231">
        <v>1860</v>
      </c>
      <c r="DW33" s="228">
        <v>0.38</v>
      </c>
      <c r="DX33" s="228">
        <v>0.39</v>
      </c>
      <c r="DY33" s="228">
        <v>-0.01</v>
      </c>
      <c r="DZ33" s="229">
        <v>-2.5600000000000001E-2</v>
      </c>
      <c r="EA33" s="229">
        <v>0.16139999999999999</v>
      </c>
      <c r="EB33" s="230">
        <v>7079400</v>
      </c>
      <c r="EC33" s="229">
        <v>6.0000000000000001E-3</v>
      </c>
      <c r="ED33" s="229">
        <v>0.16139999999999999</v>
      </c>
      <c r="EE33" s="228">
        <v>9.49</v>
      </c>
      <c r="EF33" s="229">
        <v>4.8999999999999998E-3</v>
      </c>
      <c r="EG33" s="230">
        <v>4680676</v>
      </c>
      <c r="EH33" s="230">
        <v>3545771</v>
      </c>
      <c r="EI33" s="229">
        <v>0.3201</v>
      </c>
      <c r="EJ33" s="229">
        <v>0.66110000000000002</v>
      </c>
      <c r="EK33" s="231">
        <v>10095.11</v>
      </c>
      <c r="EL33" s="231">
        <v>3681.39</v>
      </c>
      <c r="EM33" s="231">
        <v>1366.47</v>
      </c>
      <c r="EN33" s="228">
        <v>0</v>
      </c>
      <c r="EO33" s="231">
        <v>15142.96</v>
      </c>
      <c r="EP33" s="231">
        <v>15841.33</v>
      </c>
      <c r="EQ33" s="228">
        <v>-698.38</v>
      </c>
      <c r="ER33" s="229">
        <v>-4.41E-2</v>
      </c>
      <c r="ES33" s="231">
        <v>3657.19</v>
      </c>
      <c r="ET33" s="231">
        <v>1533.42</v>
      </c>
      <c r="EU33" s="231">
        <v>9022.0300000000007</v>
      </c>
      <c r="EV33" s="231">
        <v>593304654</v>
      </c>
      <c r="EW33" s="231">
        <v>14212.64</v>
      </c>
      <c r="EX33" s="231">
        <v>14319.29</v>
      </c>
      <c r="EY33" s="228">
        <v>-106.65</v>
      </c>
      <c r="EZ33" s="229">
        <v>-7.4000000000000003E-3</v>
      </c>
      <c r="FA33" s="229">
        <v>0.1239</v>
      </c>
      <c r="FB33" s="227" t="s">
        <v>556</v>
      </c>
      <c r="FC33">
        <f t="shared" si="0"/>
        <v>1455</v>
      </c>
    </row>
    <row r="34" spans="1:159" ht="17.25" thickBot="1" x14ac:dyDescent="0.3">
      <c r="A34" s="226">
        <v>45889</v>
      </c>
      <c r="B34" s="227" t="s">
        <v>184</v>
      </c>
      <c r="C34" s="227" t="s">
        <v>190</v>
      </c>
      <c r="D34" s="228">
        <v>2625</v>
      </c>
      <c r="E34" s="228">
        <v>8</v>
      </c>
      <c r="F34" s="228">
        <v>220.96</v>
      </c>
      <c r="G34" s="228">
        <v>220</v>
      </c>
      <c r="H34" s="228">
        <v>0.96</v>
      </c>
      <c r="I34" s="229">
        <v>4.4000000000000003E-3</v>
      </c>
      <c r="J34" s="228">
        <v>220.67</v>
      </c>
      <c r="K34" s="228">
        <v>219.7</v>
      </c>
      <c r="L34" s="228">
        <v>0.97</v>
      </c>
      <c r="M34" s="229">
        <v>4.4000000000000003E-3</v>
      </c>
      <c r="N34" s="228">
        <v>220.96</v>
      </c>
      <c r="O34" s="228">
        <v>220</v>
      </c>
      <c r="P34" s="228">
        <v>0.96</v>
      </c>
      <c r="Q34" s="229">
        <v>4.4000000000000003E-3</v>
      </c>
      <c r="R34" s="228">
        <v>222.27</v>
      </c>
      <c r="S34" s="228">
        <v>221.29</v>
      </c>
      <c r="T34" s="228">
        <v>0.98</v>
      </c>
      <c r="U34" s="229">
        <v>4.4000000000000003E-3</v>
      </c>
      <c r="V34" s="228">
        <v>223.45</v>
      </c>
      <c r="W34" s="228">
        <v>222.38</v>
      </c>
      <c r="X34" s="228">
        <v>1.07</v>
      </c>
      <c r="Y34" s="229">
        <v>4.7999999999999996E-3</v>
      </c>
      <c r="Z34" s="228">
        <v>0.28999999999999998</v>
      </c>
      <c r="AA34" s="228">
        <v>0.3</v>
      </c>
      <c r="AB34" s="228">
        <v>-0.01</v>
      </c>
      <c r="AC34" s="229">
        <v>1.2999999999999999E-3</v>
      </c>
      <c r="AD34" s="228">
        <v>0.28999999999999998</v>
      </c>
      <c r="AE34" s="228">
        <v>0.3</v>
      </c>
      <c r="AF34" s="228">
        <v>-0.01</v>
      </c>
      <c r="AG34" s="229">
        <v>1.2999999999999999E-3</v>
      </c>
      <c r="AH34" s="228">
        <v>1.6</v>
      </c>
      <c r="AI34" s="228">
        <v>1.59</v>
      </c>
      <c r="AJ34" s="228">
        <v>0.01</v>
      </c>
      <c r="AK34" s="229">
        <v>7.3000000000000001E-3</v>
      </c>
      <c r="AL34" s="228">
        <v>2.78</v>
      </c>
      <c r="AM34" s="228">
        <v>2.68</v>
      </c>
      <c r="AN34" s="228">
        <v>0.1</v>
      </c>
      <c r="AO34" s="229">
        <v>1.26E-2</v>
      </c>
      <c r="AP34" s="228">
        <v>220.75</v>
      </c>
      <c r="AQ34" s="228">
        <v>222.08</v>
      </c>
      <c r="AR34" s="228">
        <v>0</v>
      </c>
      <c r="AS34" s="228">
        <v>189</v>
      </c>
      <c r="AT34" s="228">
        <v>285</v>
      </c>
      <c r="AU34" s="228">
        <v>-96</v>
      </c>
      <c r="AV34" s="229">
        <v>-0.33729999999999999</v>
      </c>
      <c r="AW34" s="228">
        <v>146</v>
      </c>
      <c r="AX34" s="228">
        <v>224</v>
      </c>
      <c r="AY34" s="228">
        <v>-78</v>
      </c>
      <c r="AZ34" s="229">
        <v>-0.34699999999999998</v>
      </c>
      <c r="BA34" s="228">
        <v>39</v>
      </c>
      <c r="BB34" s="228">
        <v>44</v>
      </c>
      <c r="BC34" s="228">
        <v>-5</v>
      </c>
      <c r="BD34" s="229">
        <v>-0.1166</v>
      </c>
      <c r="BE34" s="228">
        <v>3</v>
      </c>
      <c r="BF34" s="228">
        <v>17</v>
      </c>
      <c r="BG34" s="228">
        <v>-13</v>
      </c>
      <c r="BH34" s="229">
        <v>-0.79649999999999999</v>
      </c>
      <c r="BI34" s="228">
        <v>527</v>
      </c>
      <c r="BJ34" s="228">
        <v>806</v>
      </c>
      <c r="BK34" s="228">
        <v>-279</v>
      </c>
      <c r="BL34" s="229">
        <v>-0.34639999999999999</v>
      </c>
      <c r="BM34" s="228">
        <v>270</v>
      </c>
      <c r="BN34" s="228">
        <v>333</v>
      </c>
      <c r="BO34" s="228">
        <v>-64</v>
      </c>
      <c r="BP34" s="229">
        <v>-0.1905</v>
      </c>
      <c r="BQ34" s="228">
        <v>985</v>
      </c>
      <c r="BR34" s="230">
        <v>1424</v>
      </c>
      <c r="BS34" s="228">
        <v>-439</v>
      </c>
      <c r="BT34" s="229">
        <v>-0.30809999999999998</v>
      </c>
      <c r="BU34" s="230">
        <v>3407554</v>
      </c>
      <c r="BV34" s="230">
        <v>5736101</v>
      </c>
      <c r="BW34" s="230">
        <v>-2328547</v>
      </c>
      <c r="BX34" s="229">
        <v>-0.40589999999999998</v>
      </c>
      <c r="BY34" s="230">
        <v>1443</v>
      </c>
      <c r="BZ34" s="230">
        <v>1423</v>
      </c>
      <c r="CA34" s="228">
        <v>20</v>
      </c>
      <c r="CB34" s="229">
        <v>1.44E-2</v>
      </c>
      <c r="CC34" s="230">
        <v>1294</v>
      </c>
      <c r="CD34" s="230">
        <v>1292</v>
      </c>
      <c r="CE34" s="228">
        <v>2</v>
      </c>
      <c r="CF34" s="229">
        <v>1.4E-3</v>
      </c>
      <c r="CG34" s="228">
        <v>125</v>
      </c>
      <c r="CH34" s="228">
        <v>107</v>
      </c>
      <c r="CI34" s="228">
        <v>18</v>
      </c>
      <c r="CJ34" s="229">
        <v>0.16650000000000001</v>
      </c>
      <c r="CK34" s="228">
        <v>24</v>
      </c>
      <c r="CL34" s="228">
        <v>24</v>
      </c>
      <c r="CM34" s="228">
        <v>1</v>
      </c>
      <c r="CN34" s="229">
        <v>3.44E-2</v>
      </c>
      <c r="CO34" s="228">
        <v>917</v>
      </c>
      <c r="CP34" s="228">
        <v>932</v>
      </c>
      <c r="CQ34" s="228">
        <v>-15</v>
      </c>
      <c r="CR34" s="229">
        <v>-1.5599999999999999E-2</v>
      </c>
      <c r="CS34" s="228">
        <v>498</v>
      </c>
      <c r="CT34" s="228">
        <v>506</v>
      </c>
      <c r="CU34" s="228">
        <v>-8</v>
      </c>
      <c r="CV34" s="229">
        <v>-1.5800000000000002E-2</v>
      </c>
      <c r="CW34" s="230">
        <v>2858</v>
      </c>
      <c r="CX34" s="230">
        <v>2860</v>
      </c>
      <c r="CY34" s="228">
        <v>-2</v>
      </c>
      <c r="CZ34" s="229">
        <v>-6.9999999999999999E-4</v>
      </c>
      <c r="DA34" s="228">
        <v>31.47</v>
      </c>
      <c r="DB34" s="228">
        <v>32.69</v>
      </c>
      <c r="DC34" s="228">
        <v>-1.22</v>
      </c>
      <c r="DD34" s="228">
        <v>-1.22</v>
      </c>
      <c r="DE34" s="228">
        <v>48.85</v>
      </c>
      <c r="DF34" s="228">
        <v>48.96</v>
      </c>
      <c r="DG34" s="228">
        <v>-17.38</v>
      </c>
      <c r="DH34" s="228">
        <v>-0.11</v>
      </c>
      <c r="DI34" s="228">
        <v>31.86</v>
      </c>
      <c r="DJ34" s="228">
        <v>33.130000000000003</v>
      </c>
      <c r="DK34" s="228">
        <v>-1.27</v>
      </c>
      <c r="DL34" s="228">
        <v>-1.27</v>
      </c>
      <c r="DM34" s="228">
        <v>30.69</v>
      </c>
      <c r="DN34" s="228">
        <v>31.63</v>
      </c>
      <c r="DO34" s="228">
        <v>-0.94</v>
      </c>
      <c r="DP34" s="228">
        <v>-0.94</v>
      </c>
      <c r="DQ34" s="228">
        <v>0.54</v>
      </c>
      <c r="DR34" s="228">
        <v>0.54</v>
      </c>
      <c r="DS34" s="228">
        <v>0</v>
      </c>
      <c r="DT34" s="229">
        <v>0</v>
      </c>
      <c r="DU34" s="228">
        <v>230</v>
      </c>
      <c r="DV34" s="228">
        <v>220</v>
      </c>
      <c r="DW34" s="228">
        <v>0.51</v>
      </c>
      <c r="DX34" s="228">
        <v>0.41</v>
      </c>
      <c r="DY34" s="228">
        <v>0.1</v>
      </c>
      <c r="DZ34" s="229">
        <v>0.24390000000000001</v>
      </c>
      <c r="EA34" s="229">
        <v>0.1037</v>
      </c>
      <c r="EB34" s="230">
        <v>5924625</v>
      </c>
      <c r="EC34" s="229">
        <v>5.8999999999999999E-3</v>
      </c>
      <c r="ED34" s="229">
        <v>0.1037</v>
      </c>
      <c r="EE34" s="228">
        <v>1.33</v>
      </c>
      <c r="EF34" s="229">
        <v>6.0000000000000001E-3</v>
      </c>
      <c r="EG34" s="230">
        <v>971161</v>
      </c>
      <c r="EH34" s="230">
        <v>1995548</v>
      </c>
      <c r="EI34" s="229">
        <v>-0.51329999999999998</v>
      </c>
      <c r="EJ34" s="229">
        <v>0.28499999999999998</v>
      </c>
      <c r="EK34" s="228">
        <v>550.91</v>
      </c>
      <c r="EL34" s="228">
        <v>271.32</v>
      </c>
      <c r="EM34" s="228">
        <v>188.83</v>
      </c>
      <c r="EN34" s="228">
        <v>0</v>
      </c>
      <c r="EO34" s="231">
        <v>1011.06</v>
      </c>
      <c r="EP34" s="231">
        <v>1457.18</v>
      </c>
      <c r="EQ34" s="228">
        <v>-446.11</v>
      </c>
      <c r="ER34" s="229">
        <v>-0.30609999999999998</v>
      </c>
      <c r="ES34" s="231">
        <v>1007.56</v>
      </c>
      <c r="ET34" s="228">
        <v>514.34</v>
      </c>
      <c r="EU34" s="231">
        <v>1444.17</v>
      </c>
      <c r="EV34" s="231">
        <v>256482590</v>
      </c>
      <c r="EW34" s="231">
        <v>2966.06</v>
      </c>
      <c r="EX34" s="231">
        <v>2964.05</v>
      </c>
      <c r="EY34" s="228">
        <v>2.0099999999999998</v>
      </c>
      <c r="EZ34" s="229">
        <v>6.9999999999999999E-4</v>
      </c>
      <c r="FA34" s="229">
        <v>0.50429999999999997</v>
      </c>
      <c r="FB34" s="227" t="s">
        <v>555</v>
      </c>
      <c r="FC34">
        <f t="shared" si="0"/>
        <v>149</v>
      </c>
    </row>
    <row r="35" spans="1:159" ht="17.25" thickBot="1" x14ac:dyDescent="0.3">
      <c r="A35" s="226">
        <v>45889</v>
      </c>
      <c r="B35" s="227" t="s">
        <v>170</v>
      </c>
      <c r="C35" s="227" t="s">
        <v>191</v>
      </c>
      <c r="D35" s="228">
        <v>2500</v>
      </c>
      <c r="E35" s="228">
        <v>8</v>
      </c>
      <c r="F35" s="228">
        <v>360.05</v>
      </c>
      <c r="G35" s="228">
        <v>364.8</v>
      </c>
      <c r="H35" s="228">
        <v>-4.75</v>
      </c>
      <c r="I35" s="229">
        <v>-1.2999999999999999E-2</v>
      </c>
      <c r="J35" s="228">
        <v>359.45</v>
      </c>
      <c r="K35" s="228">
        <v>363.85</v>
      </c>
      <c r="L35" s="228">
        <v>-4.4000000000000004</v>
      </c>
      <c r="M35" s="229">
        <v>-1.21E-2</v>
      </c>
      <c r="N35" s="228">
        <v>360.05</v>
      </c>
      <c r="O35" s="228">
        <v>364.8</v>
      </c>
      <c r="P35" s="228">
        <v>-4.75</v>
      </c>
      <c r="Q35" s="229">
        <v>-1.2999999999999999E-2</v>
      </c>
      <c r="R35" s="228">
        <v>362.45</v>
      </c>
      <c r="S35" s="228">
        <v>366.95</v>
      </c>
      <c r="T35" s="228">
        <v>-4.5</v>
      </c>
      <c r="U35" s="229">
        <v>-1.23E-2</v>
      </c>
      <c r="V35" s="228">
        <v>364.05</v>
      </c>
      <c r="W35" s="228">
        <v>368.55</v>
      </c>
      <c r="X35" s="228">
        <v>-4.5</v>
      </c>
      <c r="Y35" s="229">
        <v>-1.2200000000000001E-2</v>
      </c>
      <c r="Z35" s="228">
        <v>0.6</v>
      </c>
      <c r="AA35" s="228">
        <v>0.95</v>
      </c>
      <c r="AB35" s="228">
        <v>-0.35</v>
      </c>
      <c r="AC35" s="229">
        <v>1.6999999999999999E-3</v>
      </c>
      <c r="AD35" s="228">
        <v>0.6</v>
      </c>
      <c r="AE35" s="228">
        <v>0.95</v>
      </c>
      <c r="AF35" s="228">
        <v>-0.35</v>
      </c>
      <c r="AG35" s="229">
        <v>1.6999999999999999E-3</v>
      </c>
      <c r="AH35" s="228">
        <v>3</v>
      </c>
      <c r="AI35" s="228">
        <v>3.1</v>
      </c>
      <c r="AJ35" s="228">
        <v>-0.1</v>
      </c>
      <c r="AK35" s="229">
        <v>8.3000000000000001E-3</v>
      </c>
      <c r="AL35" s="228">
        <v>4.5999999999999996</v>
      </c>
      <c r="AM35" s="228">
        <v>4.7</v>
      </c>
      <c r="AN35" s="228">
        <v>-0.1</v>
      </c>
      <c r="AO35" s="229">
        <v>1.2800000000000001E-2</v>
      </c>
      <c r="AP35" s="228">
        <v>360.88</v>
      </c>
      <c r="AQ35" s="228">
        <v>362.83</v>
      </c>
      <c r="AR35" s="228">
        <v>0</v>
      </c>
      <c r="AS35" s="228">
        <v>168</v>
      </c>
      <c r="AT35" s="228">
        <v>147</v>
      </c>
      <c r="AU35" s="228">
        <v>21</v>
      </c>
      <c r="AV35" s="229">
        <v>0.1429</v>
      </c>
      <c r="AW35" s="228">
        <v>133</v>
      </c>
      <c r="AX35" s="228">
        <v>122</v>
      </c>
      <c r="AY35" s="228">
        <v>11</v>
      </c>
      <c r="AZ35" s="229">
        <v>9.1899999999999996E-2</v>
      </c>
      <c r="BA35" s="228">
        <v>32</v>
      </c>
      <c r="BB35" s="228">
        <v>24</v>
      </c>
      <c r="BC35" s="228">
        <v>9</v>
      </c>
      <c r="BD35" s="229">
        <v>0.36499999999999999</v>
      </c>
      <c r="BE35" s="228">
        <v>3</v>
      </c>
      <c r="BF35" s="228">
        <v>2</v>
      </c>
      <c r="BG35" s="228">
        <v>1</v>
      </c>
      <c r="BH35" s="229">
        <v>0.76470000000000005</v>
      </c>
      <c r="BI35" s="228">
        <v>395</v>
      </c>
      <c r="BJ35" s="228">
        <v>341</v>
      </c>
      <c r="BK35" s="228">
        <v>54</v>
      </c>
      <c r="BL35" s="229">
        <v>0.15920000000000001</v>
      </c>
      <c r="BM35" s="228">
        <v>262</v>
      </c>
      <c r="BN35" s="228">
        <v>226</v>
      </c>
      <c r="BO35" s="228">
        <v>36</v>
      </c>
      <c r="BP35" s="229">
        <v>0.1608</v>
      </c>
      <c r="BQ35" s="228">
        <v>825</v>
      </c>
      <c r="BR35" s="228">
        <v>713</v>
      </c>
      <c r="BS35" s="228">
        <v>112</v>
      </c>
      <c r="BT35" s="229">
        <v>0.15640000000000001</v>
      </c>
      <c r="BU35" s="230">
        <v>1053760</v>
      </c>
      <c r="BV35" s="230">
        <v>1059068</v>
      </c>
      <c r="BW35" s="230">
        <v>-5308</v>
      </c>
      <c r="BX35" s="229">
        <v>-5.0000000000000001E-3</v>
      </c>
      <c r="BY35" s="230">
        <v>1570</v>
      </c>
      <c r="BZ35" s="230">
        <v>1570</v>
      </c>
      <c r="CA35" s="228">
        <v>1</v>
      </c>
      <c r="CB35" s="229">
        <v>5.0000000000000001E-4</v>
      </c>
      <c r="CC35" s="230">
        <v>1437</v>
      </c>
      <c r="CD35" s="230">
        <v>1448</v>
      </c>
      <c r="CE35" s="228">
        <v>-11</v>
      </c>
      <c r="CF35" s="229">
        <v>-7.6E-3</v>
      </c>
      <c r="CG35" s="228">
        <v>124</v>
      </c>
      <c r="CH35" s="228">
        <v>112</v>
      </c>
      <c r="CI35" s="228">
        <v>12</v>
      </c>
      <c r="CJ35" s="229">
        <v>0.1043</v>
      </c>
      <c r="CK35" s="228">
        <v>10</v>
      </c>
      <c r="CL35" s="228">
        <v>10</v>
      </c>
      <c r="CM35" s="228">
        <v>0</v>
      </c>
      <c r="CN35" s="229">
        <v>9.4000000000000004E-3</v>
      </c>
      <c r="CO35" s="228">
        <v>813</v>
      </c>
      <c r="CP35" s="228">
        <v>801</v>
      </c>
      <c r="CQ35" s="228">
        <v>12</v>
      </c>
      <c r="CR35" s="229">
        <v>1.5299999999999999E-2</v>
      </c>
      <c r="CS35" s="228">
        <v>498</v>
      </c>
      <c r="CT35" s="228">
        <v>508</v>
      </c>
      <c r="CU35" s="228">
        <v>-10</v>
      </c>
      <c r="CV35" s="229">
        <v>-2.0400000000000001E-2</v>
      </c>
      <c r="CW35" s="230">
        <v>2882</v>
      </c>
      <c r="CX35" s="230">
        <v>2879</v>
      </c>
      <c r="CY35" s="228">
        <v>3</v>
      </c>
      <c r="CZ35" s="229">
        <v>8.9999999999999998E-4</v>
      </c>
      <c r="DA35" s="228">
        <v>32.43</v>
      </c>
      <c r="DB35" s="228">
        <v>32.6</v>
      </c>
      <c r="DC35" s="228">
        <v>-0.17</v>
      </c>
      <c r="DD35" s="228">
        <v>-0.17</v>
      </c>
      <c r="DE35" s="228">
        <v>41.39</v>
      </c>
      <c r="DF35" s="228">
        <v>41.46</v>
      </c>
      <c r="DG35" s="228">
        <v>-8.9600000000000009</v>
      </c>
      <c r="DH35" s="228">
        <v>-7.0000000000000007E-2</v>
      </c>
      <c r="DI35" s="228">
        <v>33.75</v>
      </c>
      <c r="DJ35" s="228">
        <v>32.799999999999997</v>
      </c>
      <c r="DK35" s="228">
        <v>0.95</v>
      </c>
      <c r="DL35" s="228">
        <v>0.95</v>
      </c>
      <c r="DM35" s="228">
        <v>30.43</v>
      </c>
      <c r="DN35" s="228">
        <v>32.31</v>
      </c>
      <c r="DO35" s="228">
        <v>-1.88</v>
      </c>
      <c r="DP35" s="228">
        <v>-1.88</v>
      </c>
      <c r="DQ35" s="228">
        <v>0.61</v>
      </c>
      <c r="DR35" s="228">
        <v>0.63</v>
      </c>
      <c r="DS35" s="228">
        <v>-0.02</v>
      </c>
      <c r="DT35" s="229">
        <v>-3.1699999999999999E-2</v>
      </c>
      <c r="DU35" s="228">
        <v>400</v>
      </c>
      <c r="DV35" s="228">
        <v>340</v>
      </c>
      <c r="DW35" s="228">
        <v>0.66</v>
      </c>
      <c r="DX35" s="228">
        <v>0.66</v>
      </c>
      <c r="DY35" s="228">
        <v>0</v>
      </c>
      <c r="DZ35" s="229">
        <v>0</v>
      </c>
      <c r="EA35" s="229">
        <v>8.5099999999999995E-2</v>
      </c>
      <c r="EB35" s="230">
        <v>3382500</v>
      </c>
      <c r="EC35" s="229">
        <v>6.7000000000000002E-3</v>
      </c>
      <c r="ED35" s="229">
        <v>8.5099999999999995E-2</v>
      </c>
      <c r="EE35" s="228">
        <v>1.95</v>
      </c>
      <c r="EF35" s="229">
        <v>5.4000000000000003E-3</v>
      </c>
      <c r="EG35" s="230">
        <v>330028</v>
      </c>
      <c r="EH35" s="230">
        <v>363552</v>
      </c>
      <c r="EI35" s="229">
        <v>-9.2200000000000004E-2</v>
      </c>
      <c r="EJ35" s="229">
        <v>0.31319999999999998</v>
      </c>
      <c r="EK35" s="228">
        <v>419.45</v>
      </c>
      <c r="EL35" s="228">
        <v>260.95999999999998</v>
      </c>
      <c r="EM35" s="228">
        <v>168.28</v>
      </c>
      <c r="EN35" s="228">
        <v>0</v>
      </c>
      <c r="EO35" s="228">
        <v>848.69</v>
      </c>
      <c r="EP35" s="228">
        <v>738.05</v>
      </c>
      <c r="EQ35" s="228">
        <v>110.64</v>
      </c>
      <c r="ER35" s="229">
        <v>0.14990000000000001</v>
      </c>
      <c r="ES35" s="228">
        <v>884.44</v>
      </c>
      <c r="ET35" s="228">
        <v>485.22</v>
      </c>
      <c r="EU35" s="231">
        <v>1571.2</v>
      </c>
      <c r="EV35" s="231">
        <v>121308233</v>
      </c>
      <c r="EW35" s="231">
        <v>2940.86</v>
      </c>
      <c r="EX35" s="231">
        <v>2957.2</v>
      </c>
      <c r="EY35" s="228">
        <v>-16.34</v>
      </c>
      <c r="EZ35" s="229">
        <v>-5.4999999999999997E-3</v>
      </c>
      <c r="FA35" s="229">
        <v>0.65980000000000005</v>
      </c>
      <c r="FB35" s="227" t="s">
        <v>567</v>
      </c>
      <c r="FC35">
        <f t="shared" si="0"/>
        <v>133</v>
      </c>
    </row>
    <row r="36" spans="1:159" ht="17.25" thickBot="1" x14ac:dyDescent="0.3">
      <c r="A36" s="226">
        <v>45889</v>
      </c>
      <c r="B36" s="227" t="s">
        <v>184</v>
      </c>
      <c r="C36" s="227" t="s">
        <v>681</v>
      </c>
      <c r="D36" s="228">
        <v>325</v>
      </c>
      <c r="E36" s="228">
        <v>8</v>
      </c>
      <c r="F36" s="231">
        <v>1927.6</v>
      </c>
      <c r="G36" s="231">
        <v>1931.7</v>
      </c>
      <c r="H36" s="228">
        <v>-4.0999999999999996</v>
      </c>
      <c r="I36" s="229">
        <v>-2.0999999999999999E-3</v>
      </c>
      <c r="J36" s="231">
        <v>1927.4</v>
      </c>
      <c r="K36" s="231">
        <v>1928.8</v>
      </c>
      <c r="L36" s="228">
        <v>-1.4</v>
      </c>
      <c r="M36" s="229">
        <v>-6.9999999999999999E-4</v>
      </c>
      <c r="N36" s="231">
        <v>1927.6</v>
      </c>
      <c r="O36" s="231">
        <v>1931.7</v>
      </c>
      <c r="P36" s="228">
        <v>-4.0999999999999996</v>
      </c>
      <c r="Q36" s="229">
        <v>-2.0999999999999999E-3</v>
      </c>
      <c r="R36" s="231">
        <v>1923.8</v>
      </c>
      <c r="S36" s="231">
        <v>1927.2</v>
      </c>
      <c r="T36" s="228">
        <v>-3.4</v>
      </c>
      <c r="U36" s="229">
        <v>-1.8E-3</v>
      </c>
      <c r="V36" s="231">
        <v>1922.8</v>
      </c>
      <c r="W36" s="231">
        <v>1929</v>
      </c>
      <c r="X36" s="228">
        <v>-6.2</v>
      </c>
      <c r="Y36" s="229">
        <v>-3.2000000000000002E-3</v>
      </c>
      <c r="Z36" s="228">
        <v>0.2</v>
      </c>
      <c r="AA36" s="228">
        <v>2.9</v>
      </c>
      <c r="AB36" s="228">
        <v>-2.7</v>
      </c>
      <c r="AC36" s="229">
        <v>1E-4</v>
      </c>
      <c r="AD36" s="228">
        <v>0.2</v>
      </c>
      <c r="AE36" s="228">
        <v>2.9</v>
      </c>
      <c r="AF36" s="228">
        <v>-2.7</v>
      </c>
      <c r="AG36" s="229">
        <v>1E-4</v>
      </c>
      <c r="AH36" s="228">
        <v>-3.6</v>
      </c>
      <c r="AI36" s="228">
        <v>-1.6</v>
      </c>
      <c r="AJ36" s="228">
        <v>-2</v>
      </c>
      <c r="AK36" s="229">
        <v>-1.9E-3</v>
      </c>
      <c r="AL36" s="228">
        <v>-4.5999999999999996</v>
      </c>
      <c r="AM36" s="228">
        <v>0.2</v>
      </c>
      <c r="AN36" s="228">
        <v>-4.8</v>
      </c>
      <c r="AO36" s="229">
        <v>-2.3999999999999998E-3</v>
      </c>
      <c r="AP36" s="231">
        <v>1949.77</v>
      </c>
      <c r="AQ36" s="231">
        <v>1947.42</v>
      </c>
      <c r="AR36" s="228">
        <v>0</v>
      </c>
      <c r="AS36" s="228">
        <v>142</v>
      </c>
      <c r="AT36" s="228">
        <v>102</v>
      </c>
      <c r="AU36" s="228">
        <v>40</v>
      </c>
      <c r="AV36" s="229">
        <v>0.3931</v>
      </c>
      <c r="AW36" s="228">
        <v>115</v>
      </c>
      <c r="AX36" s="228">
        <v>83</v>
      </c>
      <c r="AY36" s="228">
        <v>32</v>
      </c>
      <c r="AZ36" s="229">
        <v>0.38640000000000002</v>
      </c>
      <c r="BA36" s="228">
        <v>25</v>
      </c>
      <c r="BB36" s="228">
        <v>18</v>
      </c>
      <c r="BC36" s="228">
        <v>7</v>
      </c>
      <c r="BD36" s="229">
        <v>0.3836</v>
      </c>
      <c r="BE36" s="228">
        <v>2</v>
      </c>
      <c r="BF36" s="228">
        <v>1</v>
      </c>
      <c r="BG36" s="228">
        <v>1</v>
      </c>
      <c r="BH36" s="229">
        <v>1.4544999999999999</v>
      </c>
      <c r="BI36" s="228">
        <v>752</v>
      </c>
      <c r="BJ36" s="228">
        <v>187</v>
      </c>
      <c r="BK36" s="228">
        <v>565</v>
      </c>
      <c r="BL36" s="229">
        <v>3.0251999999999999</v>
      </c>
      <c r="BM36" s="228">
        <v>174</v>
      </c>
      <c r="BN36" s="228">
        <v>124</v>
      </c>
      <c r="BO36" s="228">
        <v>50</v>
      </c>
      <c r="BP36" s="229">
        <v>0.40139999999999998</v>
      </c>
      <c r="BQ36" s="230">
        <v>1067</v>
      </c>
      <c r="BR36" s="228">
        <v>413</v>
      </c>
      <c r="BS36" s="228">
        <v>655</v>
      </c>
      <c r="BT36" s="229">
        <v>1.5868</v>
      </c>
      <c r="BU36" s="230">
        <v>767849</v>
      </c>
      <c r="BV36" s="230">
        <v>451530</v>
      </c>
      <c r="BW36" s="230">
        <v>316319</v>
      </c>
      <c r="BX36" s="229">
        <v>0.70050000000000001</v>
      </c>
      <c r="BY36" s="228">
        <v>390</v>
      </c>
      <c r="BZ36" s="228">
        <v>366</v>
      </c>
      <c r="CA36" s="228">
        <v>24</v>
      </c>
      <c r="CB36" s="229">
        <v>6.5000000000000002E-2</v>
      </c>
      <c r="CC36" s="228">
        <v>261</v>
      </c>
      <c r="CD36" s="228">
        <v>249</v>
      </c>
      <c r="CE36" s="228">
        <v>12</v>
      </c>
      <c r="CF36" s="229">
        <v>4.8300000000000003E-2</v>
      </c>
      <c r="CG36" s="228">
        <v>127</v>
      </c>
      <c r="CH36" s="228">
        <v>116</v>
      </c>
      <c r="CI36" s="228">
        <v>12</v>
      </c>
      <c r="CJ36" s="229">
        <v>9.98E-2</v>
      </c>
      <c r="CK36" s="228">
        <v>2</v>
      </c>
      <c r="CL36" s="228">
        <v>1</v>
      </c>
      <c r="CM36" s="228">
        <v>0</v>
      </c>
      <c r="CN36" s="229">
        <v>0.18179999999999999</v>
      </c>
      <c r="CO36" s="228">
        <v>200</v>
      </c>
      <c r="CP36" s="228">
        <v>139</v>
      </c>
      <c r="CQ36" s="228">
        <v>61</v>
      </c>
      <c r="CR36" s="229">
        <v>0.4365</v>
      </c>
      <c r="CS36" s="228">
        <v>131</v>
      </c>
      <c r="CT36" s="228">
        <v>124</v>
      </c>
      <c r="CU36" s="228">
        <v>7</v>
      </c>
      <c r="CV36" s="229">
        <v>5.6399999999999999E-2</v>
      </c>
      <c r="CW36" s="228">
        <v>721</v>
      </c>
      <c r="CX36" s="228">
        <v>630</v>
      </c>
      <c r="CY36" s="228">
        <v>92</v>
      </c>
      <c r="CZ36" s="229">
        <v>0.14549999999999999</v>
      </c>
      <c r="DA36" s="228">
        <v>34</v>
      </c>
      <c r="DB36" s="228">
        <v>29.91</v>
      </c>
      <c r="DC36" s="228">
        <v>4.09</v>
      </c>
      <c r="DD36" s="228">
        <v>4.09</v>
      </c>
      <c r="DE36" s="228">
        <v>44.69</v>
      </c>
      <c r="DF36" s="228">
        <v>44.8</v>
      </c>
      <c r="DG36" s="228">
        <v>-10.69</v>
      </c>
      <c r="DH36" s="228">
        <v>-0.11</v>
      </c>
      <c r="DI36" s="228">
        <v>34.25</v>
      </c>
      <c r="DJ36" s="228">
        <v>30.16</v>
      </c>
      <c r="DK36" s="228">
        <v>4.09</v>
      </c>
      <c r="DL36" s="228">
        <v>4.09</v>
      </c>
      <c r="DM36" s="228">
        <v>32.909999999999997</v>
      </c>
      <c r="DN36" s="228">
        <v>29.53</v>
      </c>
      <c r="DO36" s="228">
        <v>3.38</v>
      </c>
      <c r="DP36" s="228">
        <v>3.38</v>
      </c>
      <c r="DQ36" s="228">
        <v>0.66</v>
      </c>
      <c r="DR36" s="228">
        <v>0.89</v>
      </c>
      <c r="DS36" s="228">
        <v>-0.23</v>
      </c>
      <c r="DT36" s="229">
        <v>-0.25840000000000002</v>
      </c>
      <c r="DU36" s="231">
        <v>2000</v>
      </c>
      <c r="DV36" s="231">
        <v>1860</v>
      </c>
      <c r="DW36" s="228">
        <v>0.23</v>
      </c>
      <c r="DX36" s="228">
        <v>0.66</v>
      </c>
      <c r="DY36" s="228">
        <v>-0.43</v>
      </c>
      <c r="DZ36" s="229">
        <v>-0.65149999999999997</v>
      </c>
      <c r="EA36" s="229">
        <v>0.3301</v>
      </c>
      <c r="EB36" s="230">
        <v>606450</v>
      </c>
      <c r="EC36" s="229">
        <v>-2E-3</v>
      </c>
      <c r="ED36" s="229">
        <v>0.3301</v>
      </c>
      <c r="EE36" s="228">
        <v>-2.35</v>
      </c>
      <c r="EF36" s="229">
        <v>-1.1999999999999999E-3</v>
      </c>
      <c r="EG36" s="230">
        <v>255755</v>
      </c>
      <c r="EH36" s="230">
        <v>228101</v>
      </c>
      <c r="EI36" s="229">
        <v>0.1212</v>
      </c>
      <c r="EJ36" s="229">
        <v>0.33310000000000001</v>
      </c>
      <c r="EK36" s="228">
        <v>784.48</v>
      </c>
      <c r="EL36" s="228">
        <v>173.77</v>
      </c>
      <c r="EM36" s="228">
        <v>143.68</v>
      </c>
      <c r="EN36" s="228">
        <v>0</v>
      </c>
      <c r="EO36" s="231">
        <v>1101.93</v>
      </c>
      <c r="EP36" s="228">
        <v>413.75</v>
      </c>
      <c r="EQ36" s="228">
        <v>688.18</v>
      </c>
      <c r="ER36" s="229">
        <v>1.6633</v>
      </c>
      <c r="ES36" s="228">
        <v>200.16</v>
      </c>
      <c r="ET36" s="228">
        <v>122.61</v>
      </c>
      <c r="EU36" s="228">
        <v>389.54</v>
      </c>
      <c r="EV36" s="231">
        <v>26112989</v>
      </c>
      <c r="EW36" s="228">
        <v>712.31</v>
      </c>
      <c r="EX36" s="228">
        <v>618.86</v>
      </c>
      <c r="EY36" s="228">
        <v>93.45</v>
      </c>
      <c r="EZ36" s="229">
        <v>0.151</v>
      </c>
      <c r="FA36" s="229">
        <v>0.14330000000000001</v>
      </c>
      <c r="FB36" s="227" t="s">
        <v>567</v>
      </c>
      <c r="FC36">
        <f t="shared" si="0"/>
        <v>129</v>
      </c>
    </row>
    <row r="37" spans="1:159" ht="17.25" thickBot="1" x14ac:dyDescent="0.3">
      <c r="A37" s="226">
        <v>45889</v>
      </c>
      <c r="B37" s="227" t="s">
        <v>162</v>
      </c>
      <c r="C37" s="227" t="s">
        <v>192</v>
      </c>
      <c r="D37" s="228">
        <v>25</v>
      </c>
      <c r="E37" s="228">
        <v>8</v>
      </c>
      <c r="F37" s="231">
        <v>40035</v>
      </c>
      <c r="G37" s="231">
        <v>39980</v>
      </c>
      <c r="H37" s="228">
        <v>55</v>
      </c>
      <c r="I37" s="229">
        <v>1.4E-3</v>
      </c>
      <c r="J37" s="231">
        <v>39935</v>
      </c>
      <c r="K37" s="231">
        <v>39860</v>
      </c>
      <c r="L37" s="228">
        <v>75</v>
      </c>
      <c r="M37" s="229">
        <v>1.9E-3</v>
      </c>
      <c r="N37" s="231">
        <v>40035</v>
      </c>
      <c r="O37" s="231">
        <v>39980</v>
      </c>
      <c r="P37" s="228">
        <v>55</v>
      </c>
      <c r="Q37" s="229">
        <v>1.4E-3</v>
      </c>
      <c r="R37" s="231">
        <v>40245</v>
      </c>
      <c r="S37" s="231">
        <v>40210</v>
      </c>
      <c r="T37" s="228">
        <v>35</v>
      </c>
      <c r="U37" s="229">
        <v>8.9999999999999998E-4</v>
      </c>
      <c r="V37" s="231">
        <v>40400</v>
      </c>
      <c r="W37" s="231">
        <v>40330</v>
      </c>
      <c r="X37" s="228">
        <v>70</v>
      </c>
      <c r="Y37" s="229">
        <v>1.6999999999999999E-3</v>
      </c>
      <c r="Z37" s="228">
        <v>100</v>
      </c>
      <c r="AA37" s="228">
        <v>120</v>
      </c>
      <c r="AB37" s="228">
        <v>-20</v>
      </c>
      <c r="AC37" s="229">
        <v>2.5000000000000001E-3</v>
      </c>
      <c r="AD37" s="228">
        <v>100</v>
      </c>
      <c r="AE37" s="228">
        <v>120</v>
      </c>
      <c r="AF37" s="228">
        <v>-20</v>
      </c>
      <c r="AG37" s="229">
        <v>2.5000000000000001E-3</v>
      </c>
      <c r="AH37" s="228">
        <v>310</v>
      </c>
      <c r="AI37" s="228">
        <v>350</v>
      </c>
      <c r="AJ37" s="228">
        <v>-40</v>
      </c>
      <c r="AK37" s="229">
        <v>7.7999999999999996E-3</v>
      </c>
      <c r="AL37" s="228">
        <v>465</v>
      </c>
      <c r="AM37" s="228">
        <v>470</v>
      </c>
      <c r="AN37" s="228">
        <v>-5</v>
      </c>
      <c r="AO37" s="229">
        <v>1.1599999999999999E-2</v>
      </c>
      <c r="AP37" s="231">
        <v>40075.07</v>
      </c>
      <c r="AQ37" s="231">
        <v>40303.019999999997</v>
      </c>
      <c r="AR37" s="228">
        <v>0</v>
      </c>
      <c r="AS37" s="228">
        <v>185</v>
      </c>
      <c r="AT37" s="228">
        <v>237</v>
      </c>
      <c r="AU37" s="228">
        <v>-51</v>
      </c>
      <c r="AV37" s="229">
        <v>-0.2162</v>
      </c>
      <c r="AW37" s="228">
        <v>151</v>
      </c>
      <c r="AX37" s="228">
        <v>215</v>
      </c>
      <c r="AY37" s="228">
        <v>-64</v>
      </c>
      <c r="AZ37" s="229">
        <v>-0.29880000000000001</v>
      </c>
      <c r="BA37" s="228">
        <v>32</v>
      </c>
      <c r="BB37" s="228">
        <v>20</v>
      </c>
      <c r="BC37" s="228">
        <v>12</v>
      </c>
      <c r="BD37" s="229">
        <v>0.58209999999999995</v>
      </c>
      <c r="BE37" s="228">
        <v>3</v>
      </c>
      <c r="BF37" s="228">
        <v>1</v>
      </c>
      <c r="BG37" s="228">
        <v>2</v>
      </c>
      <c r="BH37" s="229">
        <v>1.3635999999999999</v>
      </c>
      <c r="BI37" s="230">
        <v>1310</v>
      </c>
      <c r="BJ37" s="230">
        <v>2431</v>
      </c>
      <c r="BK37" s="230">
        <v>-1121</v>
      </c>
      <c r="BL37" s="229">
        <v>-0.4612</v>
      </c>
      <c r="BM37" s="228">
        <v>544</v>
      </c>
      <c r="BN37" s="228">
        <v>740</v>
      </c>
      <c r="BO37" s="228">
        <v>-196</v>
      </c>
      <c r="BP37" s="229">
        <v>-0.26490000000000002</v>
      </c>
      <c r="BQ37" s="230">
        <v>2039</v>
      </c>
      <c r="BR37" s="230">
        <v>3407</v>
      </c>
      <c r="BS37" s="230">
        <v>-1368</v>
      </c>
      <c r="BT37" s="229">
        <v>-0.40160000000000001</v>
      </c>
      <c r="BU37" s="230">
        <v>19034</v>
      </c>
      <c r="BV37" s="230">
        <v>26247</v>
      </c>
      <c r="BW37" s="230">
        <v>-7213</v>
      </c>
      <c r="BX37" s="229">
        <v>-0.27479999999999999</v>
      </c>
      <c r="BY37" s="230">
        <v>1202</v>
      </c>
      <c r="BZ37" s="230">
        <v>1205</v>
      </c>
      <c r="CA37" s="228">
        <v>-3</v>
      </c>
      <c r="CB37" s="229">
        <v>-2.2000000000000001E-3</v>
      </c>
      <c r="CC37" s="230">
        <v>1131</v>
      </c>
      <c r="CD37" s="230">
        <v>1145</v>
      </c>
      <c r="CE37" s="228">
        <v>-14</v>
      </c>
      <c r="CF37" s="229">
        <v>-1.2500000000000001E-2</v>
      </c>
      <c r="CG37" s="228">
        <v>62</v>
      </c>
      <c r="CH37" s="228">
        <v>50</v>
      </c>
      <c r="CI37" s="228">
        <v>13</v>
      </c>
      <c r="CJ37" s="229">
        <v>0.2515</v>
      </c>
      <c r="CK37" s="228">
        <v>9</v>
      </c>
      <c r="CL37" s="228">
        <v>10</v>
      </c>
      <c r="CM37" s="228">
        <v>-1</v>
      </c>
      <c r="CN37" s="229">
        <v>-9.2799999999999994E-2</v>
      </c>
      <c r="CO37" s="230">
        <v>1471</v>
      </c>
      <c r="CP37" s="230">
        <v>1440</v>
      </c>
      <c r="CQ37" s="228">
        <v>31</v>
      </c>
      <c r="CR37" s="229">
        <v>2.18E-2</v>
      </c>
      <c r="CS37" s="228">
        <v>512</v>
      </c>
      <c r="CT37" s="228">
        <v>501</v>
      </c>
      <c r="CU37" s="228">
        <v>11</v>
      </c>
      <c r="CV37" s="229">
        <v>2.1000000000000001E-2</v>
      </c>
      <c r="CW37" s="230">
        <v>3185</v>
      </c>
      <c r="CX37" s="230">
        <v>3146</v>
      </c>
      <c r="CY37" s="228">
        <v>39</v>
      </c>
      <c r="CZ37" s="229">
        <v>1.24E-2</v>
      </c>
      <c r="DA37" s="228">
        <v>31.14</v>
      </c>
      <c r="DB37" s="228">
        <v>30.31</v>
      </c>
      <c r="DC37" s="228">
        <v>0.83</v>
      </c>
      <c r="DD37" s="228">
        <v>0.83</v>
      </c>
      <c r="DE37" s="228">
        <v>30.68</v>
      </c>
      <c r="DF37" s="228">
        <v>30.76</v>
      </c>
      <c r="DG37" s="228">
        <v>0.46</v>
      </c>
      <c r="DH37" s="228">
        <v>-0.08</v>
      </c>
      <c r="DI37" s="228">
        <v>31.48</v>
      </c>
      <c r="DJ37" s="228">
        <v>30.29</v>
      </c>
      <c r="DK37" s="228">
        <v>1.19</v>
      </c>
      <c r="DL37" s="228">
        <v>1.19</v>
      </c>
      <c r="DM37" s="228">
        <v>30.31</v>
      </c>
      <c r="DN37" s="228">
        <v>30.39</v>
      </c>
      <c r="DO37" s="228">
        <v>-0.08</v>
      </c>
      <c r="DP37" s="228">
        <v>-0.08</v>
      </c>
      <c r="DQ37" s="228">
        <v>0.35</v>
      </c>
      <c r="DR37" s="228">
        <v>0.35</v>
      </c>
      <c r="DS37" s="228">
        <v>0</v>
      </c>
      <c r="DT37" s="229">
        <v>0</v>
      </c>
      <c r="DU37" s="231">
        <v>45000</v>
      </c>
      <c r="DV37" s="231">
        <v>40000</v>
      </c>
      <c r="DW37" s="228">
        <v>0.42</v>
      </c>
      <c r="DX37" s="228">
        <v>0.3</v>
      </c>
      <c r="DY37" s="228">
        <v>0.12</v>
      </c>
      <c r="DZ37" s="229">
        <v>0.4</v>
      </c>
      <c r="EA37" s="229">
        <v>5.91E-2</v>
      </c>
      <c r="EB37" s="230">
        <v>14850</v>
      </c>
      <c r="EC37" s="229">
        <v>5.1999999999999998E-3</v>
      </c>
      <c r="ED37" s="229">
        <v>5.91E-2</v>
      </c>
      <c r="EE37" s="228">
        <v>227.95</v>
      </c>
      <c r="EF37" s="229">
        <v>5.7000000000000002E-3</v>
      </c>
      <c r="EG37" s="230">
        <v>7178</v>
      </c>
      <c r="EH37" s="230">
        <v>7831</v>
      </c>
      <c r="EI37" s="229">
        <v>-8.3400000000000002E-2</v>
      </c>
      <c r="EJ37" s="229">
        <v>0.37709999999999999</v>
      </c>
      <c r="EK37" s="231">
        <v>1383.04</v>
      </c>
      <c r="EL37" s="228">
        <v>521.11</v>
      </c>
      <c r="EM37" s="228">
        <v>185.85</v>
      </c>
      <c r="EN37" s="228">
        <v>0</v>
      </c>
      <c r="EO37" s="231">
        <v>2090.0100000000002</v>
      </c>
      <c r="EP37" s="231">
        <v>3503.3</v>
      </c>
      <c r="EQ37" s="231">
        <v>-1413.29</v>
      </c>
      <c r="ER37" s="229">
        <v>-0.40339999999999998</v>
      </c>
      <c r="ES37" s="231">
        <v>1565.55</v>
      </c>
      <c r="ET37" s="228">
        <v>482.25</v>
      </c>
      <c r="EU37" s="231">
        <v>1202.46</v>
      </c>
      <c r="EV37" s="231">
        <v>1737683</v>
      </c>
      <c r="EW37" s="231">
        <v>3250.26</v>
      </c>
      <c r="EX37" s="231">
        <v>3206.8</v>
      </c>
      <c r="EY37" s="228">
        <v>43.46</v>
      </c>
      <c r="EZ37" s="229">
        <v>1.3599999999999999E-2</v>
      </c>
      <c r="FA37" s="229">
        <v>0.45789999999999997</v>
      </c>
      <c r="FB37" s="227" t="s">
        <v>556</v>
      </c>
      <c r="FC37">
        <f t="shared" si="0"/>
        <v>71</v>
      </c>
    </row>
    <row r="38" spans="1:159" ht="17.25" thickBot="1" x14ac:dyDescent="0.3">
      <c r="A38" s="226">
        <v>45889</v>
      </c>
      <c r="B38" s="227" t="s">
        <v>193</v>
      </c>
      <c r="C38" s="227" t="s">
        <v>194</v>
      </c>
      <c r="D38" s="228">
        <v>1975</v>
      </c>
      <c r="E38" s="228">
        <v>8</v>
      </c>
      <c r="F38" s="228">
        <v>320.8</v>
      </c>
      <c r="G38" s="228">
        <v>322.10000000000002</v>
      </c>
      <c r="H38" s="228">
        <v>-1.3</v>
      </c>
      <c r="I38" s="229">
        <v>-4.0000000000000001E-3</v>
      </c>
      <c r="J38" s="228">
        <v>319.95</v>
      </c>
      <c r="K38" s="228">
        <v>321.45</v>
      </c>
      <c r="L38" s="228">
        <v>-1.5</v>
      </c>
      <c r="M38" s="229">
        <v>-4.7000000000000002E-3</v>
      </c>
      <c r="N38" s="228">
        <v>320.8</v>
      </c>
      <c r="O38" s="228">
        <v>322.10000000000002</v>
      </c>
      <c r="P38" s="228">
        <v>-1.3</v>
      </c>
      <c r="Q38" s="229">
        <v>-4.0000000000000001E-3</v>
      </c>
      <c r="R38" s="228">
        <v>322.3</v>
      </c>
      <c r="S38" s="228">
        <v>323.45</v>
      </c>
      <c r="T38" s="228">
        <v>-1.1499999999999999</v>
      </c>
      <c r="U38" s="229">
        <v>-3.5999999999999999E-3</v>
      </c>
      <c r="V38" s="228">
        <v>323.25</v>
      </c>
      <c r="W38" s="228">
        <v>324.39999999999998</v>
      </c>
      <c r="X38" s="228">
        <v>-1.1499999999999999</v>
      </c>
      <c r="Y38" s="229">
        <v>-3.5000000000000001E-3</v>
      </c>
      <c r="Z38" s="228">
        <v>0.85</v>
      </c>
      <c r="AA38" s="228">
        <v>0.65</v>
      </c>
      <c r="AB38" s="228">
        <v>0.2</v>
      </c>
      <c r="AC38" s="229">
        <v>2.7000000000000001E-3</v>
      </c>
      <c r="AD38" s="228">
        <v>0.85</v>
      </c>
      <c r="AE38" s="228">
        <v>0.65</v>
      </c>
      <c r="AF38" s="228">
        <v>0.2</v>
      </c>
      <c r="AG38" s="229">
        <v>2.7000000000000001E-3</v>
      </c>
      <c r="AH38" s="228">
        <v>2.35</v>
      </c>
      <c r="AI38" s="228">
        <v>2</v>
      </c>
      <c r="AJ38" s="228">
        <v>0.35</v>
      </c>
      <c r="AK38" s="229">
        <v>7.3000000000000001E-3</v>
      </c>
      <c r="AL38" s="228">
        <v>3.3</v>
      </c>
      <c r="AM38" s="228">
        <v>2.95</v>
      </c>
      <c r="AN38" s="228">
        <v>0.35</v>
      </c>
      <c r="AO38" s="229">
        <v>1.03E-2</v>
      </c>
      <c r="AP38" s="228">
        <v>321.39999999999998</v>
      </c>
      <c r="AQ38" s="228">
        <v>323.23</v>
      </c>
      <c r="AR38" s="228">
        <v>0</v>
      </c>
      <c r="AS38" s="228">
        <v>138</v>
      </c>
      <c r="AT38" s="228">
        <v>276</v>
      </c>
      <c r="AU38" s="228">
        <v>-139</v>
      </c>
      <c r="AV38" s="229">
        <v>-0.50229999999999997</v>
      </c>
      <c r="AW38" s="228">
        <v>116</v>
      </c>
      <c r="AX38" s="228">
        <v>240</v>
      </c>
      <c r="AY38" s="228">
        <v>-124</v>
      </c>
      <c r="AZ38" s="229">
        <v>-0.51839999999999997</v>
      </c>
      <c r="BA38" s="228">
        <v>21</v>
      </c>
      <c r="BB38" s="228">
        <v>31</v>
      </c>
      <c r="BC38" s="228">
        <v>-11</v>
      </c>
      <c r="BD38" s="229">
        <v>-0.33739999999999998</v>
      </c>
      <c r="BE38" s="228">
        <v>1</v>
      </c>
      <c r="BF38" s="228">
        <v>5</v>
      </c>
      <c r="BG38" s="228">
        <v>-4</v>
      </c>
      <c r="BH38" s="229">
        <v>-0.75609999999999999</v>
      </c>
      <c r="BI38" s="228">
        <v>435</v>
      </c>
      <c r="BJ38" s="230">
        <v>1033</v>
      </c>
      <c r="BK38" s="228">
        <v>-598</v>
      </c>
      <c r="BL38" s="229">
        <v>-0.5786</v>
      </c>
      <c r="BM38" s="228">
        <v>251</v>
      </c>
      <c r="BN38" s="228">
        <v>510</v>
      </c>
      <c r="BO38" s="228">
        <v>-259</v>
      </c>
      <c r="BP38" s="229">
        <v>-0.50700000000000001</v>
      </c>
      <c r="BQ38" s="228">
        <v>824</v>
      </c>
      <c r="BR38" s="230">
        <v>1819</v>
      </c>
      <c r="BS38" s="228">
        <v>-995</v>
      </c>
      <c r="BT38" s="229">
        <v>-0.54690000000000005</v>
      </c>
      <c r="BU38" s="230">
        <v>3765824</v>
      </c>
      <c r="BV38" s="230">
        <v>4549083</v>
      </c>
      <c r="BW38" s="230">
        <v>-783259</v>
      </c>
      <c r="BX38" s="229">
        <v>-0.17219999999999999</v>
      </c>
      <c r="BY38" s="230">
        <v>1146</v>
      </c>
      <c r="BZ38" s="230">
        <v>1158</v>
      </c>
      <c r="CA38" s="228">
        <v>-12</v>
      </c>
      <c r="CB38" s="229">
        <v>-0.01</v>
      </c>
      <c r="CC38" s="230">
        <v>1088</v>
      </c>
      <c r="CD38" s="230">
        <v>1102</v>
      </c>
      <c r="CE38" s="228">
        <v>-14</v>
      </c>
      <c r="CF38" s="229">
        <v>-1.29E-2</v>
      </c>
      <c r="CG38" s="228">
        <v>53</v>
      </c>
      <c r="CH38" s="228">
        <v>50</v>
      </c>
      <c r="CI38" s="228">
        <v>2</v>
      </c>
      <c r="CJ38" s="229">
        <v>4.9200000000000001E-2</v>
      </c>
      <c r="CK38" s="228">
        <v>5</v>
      </c>
      <c r="CL38" s="228">
        <v>5</v>
      </c>
      <c r="CM38" s="228">
        <v>0</v>
      </c>
      <c r="CN38" s="229">
        <v>2.41E-2</v>
      </c>
      <c r="CO38" s="228">
        <v>724</v>
      </c>
      <c r="CP38" s="228">
        <v>754</v>
      </c>
      <c r="CQ38" s="228">
        <v>-30</v>
      </c>
      <c r="CR38" s="229">
        <v>-4.02E-2</v>
      </c>
      <c r="CS38" s="228">
        <v>409</v>
      </c>
      <c r="CT38" s="228">
        <v>420</v>
      </c>
      <c r="CU38" s="228">
        <v>-11</v>
      </c>
      <c r="CV38" s="229">
        <v>-2.6499999999999999E-2</v>
      </c>
      <c r="CW38" s="230">
        <v>2280</v>
      </c>
      <c r="CX38" s="230">
        <v>2333</v>
      </c>
      <c r="CY38" s="228">
        <v>-53</v>
      </c>
      <c r="CZ38" s="229">
        <v>-2.2800000000000001E-2</v>
      </c>
      <c r="DA38" s="228">
        <v>25.69</v>
      </c>
      <c r="DB38" s="228">
        <v>25.71</v>
      </c>
      <c r="DC38" s="228">
        <v>-0.02</v>
      </c>
      <c r="DD38" s="228">
        <v>-0.02</v>
      </c>
      <c r="DE38" s="228">
        <v>35.32</v>
      </c>
      <c r="DF38" s="228">
        <v>35.4</v>
      </c>
      <c r="DG38" s="228">
        <v>-9.6300000000000008</v>
      </c>
      <c r="DH38" s="228">
        <v>-0.08</v>
      </c>
      <c r="DI38" s="228">
        <v>26.06</v>
      </c>
      <c r="DJ38" s="228">
        <v>25.57</v>
      </c>
      <c r="DK38" s="228">
        <v>0.49</v>
      </c>
      <c r="DL38" s="228">
        <v>0.49</v>
      </c>
      <c r="DM38" s="228">
        <v>25.05</v>
      </c>
      <c r="DN38" s="228">
        <v>26</v>
      </c>
      <c r="DO38" s="228">
        <v>-0.95</v>
      </c>
      <c r="DP38" s="228">
        <v>-0.95</v>
      </c>
      <c r="DQ38" s="228">
        <v>0.56999999999999995</v>
      </c>
      <c r="DR38" s="228">
        <v>0.56000000000000005</v>
      </c>
      <c r="DS38" s="228">
        <v>0.01</v>
      </c>
      <c r="DT38" s="229">
        <v>1.7899999999999999E-2</v>
      </c>
      <c r="DU38" s="228">
        <v>320</v>
      </c>
      <c r="DV38" s="228">
        <v>320</v>
      </c>
      <c r="DW38" s="228">
        <v>0.57999999999999996</v>
      </c>
      <c r="DX38" s="228">
        <v>0.49</v>
      </c>
      <c r="DY38" s="228">
        <v>0.09</v>
      </c>
      <c r="DZ38" s="229">
        <v>0.1837</v>
      </c>
      <c r="EA38" s="229">
        <v>5.0599999999999999E-2</v>
      </c>
      <c r="EB38" s="230">
        <v>1728125</v>
      </c>
      <c r="EC38" s="229">
        <v>4.7000000000000002E-3</v>
      </c>
      <c r="ED38" s="229">
        <v>5.0599999999999999E-2</v>
      </c>
      <c r="EE38" s="228">
        <v>1.83</v>
      </c>
      <c r="EF38" s="229">
        <v>5.7000000000000002E-3</v>
      </c>
      <c r="EG38" s="230">
        <v>2146651</v>
      </c>
      <c r="EH38" s="230">
        <v>1722251</v>
      </c>
      <c r="EI38" s="229">
        <v>0.24640000000000001</v>
      </c>
      <c r="EJ38" s="229">
        <v>0.56999999999999995</v>
      </c>
      <c r="EK38" s="228">
        <v>451.11</v>
      </c>
      <c r="EL38" s="228">
        <v>248.9</v>
      </c>
      <c r="EM38" s="228">
        <v>138</v>
      </c>
      <c r="EN38" s="228">
        <v>0</v>
      </c>
      <c r="EO38" s="228">
        <v>838</v>
      </c>
      <c r="EP38" s="231">
        <v>1837.99</v>
      </c>
      <c r="EQ38" s="228">
        <v>-999.98</v>
      </c>
      <c r="ER38" s="229">
        <v>-0.54410000000000003</v>
      </c>
      <c r="ES38" s="228">
        <v>760.75</v>
      </c>
      <c r="ET38" s="228">
        <v>398.13</v>
      </c>
      <c r="EU38" s="231">
        <v>1146.5</v>
      </c>
      <c r="EV38" s="231">
        <v>408027660</v>
      </c>
      <c r="EW38" s="231">
        <v>2305.38</v>
      </c>
      <c r="EX38" s="231">
        <v>2363.7600000000002</v>
      </c>
      <c r="EY38" s="228">
        <v>-58.38</v>
      </c>
      <c r="EZ38" s="229">
        <v>-2.47E-2</v>
      </c>
      <c r="FA38" s="229">
        <v>0.17419999999999999</v>
      </c>
      <c r="FB38" s="227" t="s">
        <v>568</v>
      </c>
      <c r="FC38">
        <f t="shared" si="0"/>
        <v>58</v>
      </c>
    </row>
    <row r="39" spans="1:159" ht="17.25" thickBot="1" x14ac:dyDescent="0.3">
      <c r="A39" s="226">
        <v>45889</v>
      </c>
      <c r="B39" s="227" t="s">
        <v>168</v>
      </c>
      <c r="C39" s="227" t="s">
        <v>195</v>
      </c>
      <c r="D39" s="228">
        <v>125</v>
      </c>
      <c r="E39" s="228">
        <v>8</v>
      </c>
      <c r="F39" s="231">
        <v>5705</v>
      </c>
      <c r="G39" s="231">
        <v>5511.5</v>
      </c>
      <c r="H39" s="228">
        <v>193.5</v>
      </c>
      <c r="I39" s="229">
        <v>3.5099999999999999E-2</v>
      </c>
      <c r="J39" s="231">
        <v>5701</v>
      </c>
      <c r="K39" s="231">
        <v>5499</v>
      </c>
      <c r="L39" s="228">
        <v>202</v>
      </c>
      <c r="M39" s="229">
        <v>3.6700000000000003E-2</v>
      </c>
      <c r="N39" s="231">
        <v>5705</v>
      </c>
      <c r="O39" s="231">
        <v>5511.5</v>
      </c>
      <c r="P39" s="228">
        <v>193.5</v>
      </c>
      <c r="Q39" s="229">
        <v>3.5099999999999999E-2</v>
      </c>
      <c r="R39" s="231">
        <v>5733.5</v>
      </c>
      <c r="S39" s="231">
        <v>5544</v>
      </c>
      <c r="T39" s="228">
        <v>189.5</v>
      </c>
      <c r="U39" s="229">
        <v>3.4200000000000001E-2</v>
      </c>
      <c r="V39" s="231">
        <v>5766</v>
      </c>
      <c r="W39" s="231">
        <v>5569</v>
      </c>
      <c r="X39" s="228">
        <v>197</v>
      </c>
      <c r="Y39" s="229">
        <v>3.5400000000000001E-2</v>
      </c>
      <c r="Z39" s="228">
        <v>4</v>
      </c>
      <c r="AA39" s="228">
        <v>12.5</v>
      </c>
      <c r="AB39" s="228">
        <v>-8.5</v>
      </c>
      <c r="AC39" s="229">
        <v>6.9999999999999999E-4</v>
      </c>
      <c r="AD39" s="228">
        <v>4</v>
      </c>
      <c r="AE39" s="228">
        <v>12.5</v>
      </c>
      <c r="AF39" s="228">
        <v>-8.5</v>
      </c>
      <c r="AG39" s="229">
        <v>6.9999999999999999E-4</v>
      </c>
      <c r="AH39" s="228">
        <v>32.5</v>
      </c>
      <c r="AI39" s="228">
        <v>45</v>
      </c>
      <c r="AJ39" s="228">
        <v>-12.5</v>
      </c>
      <c r="AK39" s="229">
        <v>5.7000000000000002E-3</v>
      </c>
      <c r="AL39" s="228">
        <v>65</v>
      </c>
      <c r="AM39" s="228">
        <v>70</v>
      </c>
      <c r="AN39" s="228">
        <v>-5</v>
      </c>
      <c r="AO39" s="229">
        <v>1.14E-2</v>
      </c>
      <c r="AP39" s="231">
        <v>5648.56</v>
      </c>
      <c r="AQ39" s="231">
        <v>5667.83</v>
      </c>
      <c r="AR39" s="228">
        <v>0</v>
      </c>
      <c r="AS39" s="228">
        <v>421</v>
      </c>
      <c r="AT39" s="228">
        <v>167</v>
      </c>
      <c r="AU39" s="228">
        <v>254</v>
      </c>
      <c r="AV39" s="229">
        <v>1.5203</v>
      </c>
      <c r="AW39" s="228">
        <v>362</v>
      </c>
      <c r="AX39" s="228">
        <v>157</v>
      </c>
      <c r="AY39" s="228">
        <v>205</v>
      </c>
      <c r="AZ39" s="229">
        <v>1.3025</v>
      </c>
      <c r="BA39" s="228">
        <v>57</v>
      </c>
      <c r="BB39" s="228">
        <v>9</v>
      </c>
      <c r="BC39" s="228">
        <v>48</v>
      </c>
      <c r="BD39" s="229">
        <v>5.1923000000000004</v>
      </c>
      <c r="BE39" s="228">
        <v>2</v>
      </c>
      <c r="BF39" s="228">
        <v>1</v>
      </c>
      <c r="BG39" s="228">
        <v>1</v>
      </c>
      <c r="BH39" s="229">
        <v>1.7778</v>
      </c>
      <c r="BI39" s="230">
        <v>5005</v>
      </c>
      <c r="BJ39" s="228">
        <v>886</v>
      </c>
      <c r="BK39" s="230">
        <v>4120</v>
      </c>
      <c r="BL39" s="229">
        <v>4.6508000000000003</v>
      </c>
      <c r="BM39" s="230">
        <v>1588</v>
      </c>
      <c r="BN39" s="228">
        <v>383</v>
      </c>
      <c r="BO39" s="230">
        <v>1205</v>
      </c>
      <c r="BP39" s="229">
        <v>3.1438000000000001</v>
      </c>
      <c r="BQ39" s="230">
        <v>7014</v>
      </c>
      <c r="BR39" s="230">
        <v>1436</v>
      </c>
      <c r="BS39" s="230">
        <v>5578</v>
      </c>
      <c r="BT39" s="229">
        <v>3.8845999999999998</v>
      </c>
      <c r="BU39" s="230">
        <v>464840</v>
      </c>
      <c r="BV39" s="230">
        <v>157215</v>
      </c>
      <c r="BW39" s="230">
        <v>307625</v>
      </c>
      <c r="BX39" s="229">
        <v>1.9567000000000001</v>
      </c>
      <c r="BY39" s="230">
        <v>1985</v>
      </c>
      <c r="BZ39" s="230">
        <v>1980</v>
      </c>
      <c r="CA39" s="228">
        <v>5</v>
      </c>
      <c r="CB39" s="229">
        <v>2.7000000000000001E-3</v>
      </c>
      <c r="CC39" s="230">
        <v>1908</v>
      </c>
      <c r="CD39" s="230">
        <v>1922</v>
      </c>
      <c r="CE39" s="228">
        <v>-15</v>
      </c>
      <c r="CF39" s="229">
        <v>-7.6E-3</v>
      </c>
      <c r="CG39" s="228">
        <v>73</v>
      </c>
      <c r="CH39" s="228">
        <v>53</v>
      </c>
      <c r="CI39" s="228">
        <v>20</v>
      </c>
      <c r="CJ39" s="229">
        <v>0.3836</v>
      </c>
      <c r="CK39" s="228">
        <v>4</v>
      </c>
      <c r="CL39" s="228">
        <v>4</v>
      </c>
      <c r="CM39" s="228">
        <v>0</v>
      </c>
      <c r="CN39" s="229">
        <v>-7.9399999999999998E-2</v>
      </c>
      <c r="CO39" s="228">
        <v>731</v>
      </c>
      <c r="CP39" s="228">
        <v>771</v>
      </c>
      <c r="CQ39" s="228">
        <v>-41</v>
      </c>
      <c r="CR39" s="229">
        <v>-5.2499999999999998E-2</v>
      </c>
      <c r="CS39" s="228">
        <v>534</v>
      </c>
      <c r="CT39" s="228">
        <v>450</v>
      </c>
      <c r="CU39" s="228">
        <v>84</v>
      </c>
      <c r="CV39" s="229">
        <v>0.18659999999999999</v>
      </c>
      <c r="CW39" s="230">
        <v>3250</v>
      </c>
      <c r="CX39" s="230">
        <v>3201</v>
      </c>
      <c r="CY39" s="228">
        <v>49</v>
      </c>
      <c r="CZ39" s="229">
        <v>1.5299999999999999E-2</v>
      </c>
      <c r="DA39" s="228">
        <v>23.64</v>
      </c>
      <c r="DB39" s="228">
        <v>20.88</v>
      </c>
      <c r="DC39" s="228">
        <v>2.76</v>
      </c>
      <c r="DD39" s="228">
        <v>2.76</v>
      </c>
      <c r="DE39" s="228">
        <v>25.08</v>
      </c>
      <c r="DF39" s="228">
        <v>24.66</v>
      </c>
      <c r="DG39" s="228">
        <v>-1.44</v>
      </c>
      <c r="DH39" s="228">
        <v>0.42</v>
      </c>
      <c r="DI39" s="228">
        <v>23.26</v>
      </c>
      <c r="DJ39" s="228">
        <v>21</v>
      </c>
      <c r="DK39" s="228">
        <v>2.2599999999999998</v>
      </c>
      <c r="DL39" s="228">
        <v>2.2599999999999998</v>
      </c>
      <c r="DM39" s="228">
        <v>24.85</v>
      </c>
      <c r="DN39" s="228">
        <v>20.59</v>
      </c>
      <c r="DO39" s="228">
        <v>4.26</v>
      </c>
      <c r="DP39" s="228">
        <v>4.26</v>
      </c>
      <c r="DQ39" s="228">
        <v>0.73</v>
      </c>
      <c r="DR39" s="228">
        <v>0.57999999999999996</v>
      </c>
      <c r="DS39" s="228">
        <v>0.15</v>
      </c>
      <c r="DT39" s="229">
        <v>0.2586</v>
      </c>
      <c r="DU39" s="231">
        <v>5800</v>
      </c>
      <c r="DV39" s="231">
        <v>4900</v>
      </c>
      <c r="DW39" s="228">
        <v>0.32</v>
      </c>
      <c r="DX39" s="228">
        <v>0.43</v>
      </c>
      <c r="DY39" s="228">
        <v>-0.11</v>
      </c>
      <c r="DZ39" s="229">
        <v>-0.25580000000000003</v>
      </c>
      <c r="EA39" s="229">
        <v>3.9E-2</v>
      </c>
      <c r="EB39" s="230">
        <v>100750</v>
      </c>
      <c r="EC39" s="229">
        <v>5.0000000000000001E-3</v>
      </c>
      <c r="ED39" s="229">
        <v>3.9E-2</v>
      </c>
      <c r="EE39" s="228">
        <v>19.27</v>
      </c>
      <c r="EF39" s="229">
        <v>3.3999999999999998E-3</v>
      </c>
      <c r="EG39" s="230">
        <v>206183</v>
      </c>
      <c r="EH39" s="230">
        <v>77527</v>
      </c>
      <c r="EI39" s="229">
        <v>1.6595</v>
      </c>
      <c r="EJ39" s="229">
        <v>0.44359999999999999</v>
      </c>
      <c r="EK39" s="231">
        <v>5100.1000000000004</v>
      </c>
      <c r="EL39" s="231">
        <v>1540.65</v>
      </c>
      <c r="EM39" s="228">
        <v>416.79</v>
      </c>
      <c r="EN39" s="228">
        <v>0</v>
      </c>
      <c r="EO39" s="231">
        <v>7057.54</v>
      </c>
      <c r="EP39" s="231">
        <v>1399.04</v>
      </c>
      <c r="EQ39" s="231">
        <v>5658.5</v>
      </c>
      <c r="ER39" s="229">
        <v>4.0445000000000002</v>
      </c>
      <c r="ES39" s="228">
        <v>750.49</v>
      </c>
      <c r="ET39" s="228">
        <v>501.02</v>
      </c>
      <c r="EU39" s="231">
        <v>1985.75</v>
      </c>
      <c r="EV39" s="231">
        <v>23823080</v>
      </c>
      <c r="EW39" s="231">
        <v>3237.26</v>
      </c>
      <c r="EX39" s="231">
        <v>3116.89</v>
      </c>
      <c r="EY39" s="228">
        <v>120.37</v>
      </c>
      <c r="EZ39" s="229">
        <v>3.8600000000000002E-2</v>
      </c>
      <c r="FA39" s="229">
        <v>0.23910000000000001</v>
      </c>
      <c r="FB39" s="227" t="s">
        <v>555</v>
      </c>
      <c r="FC39">
        <f t="shared" si="0"/>
        <v>77</v>
      </c>
    </row>
    <row r="40" spans="1:159" ht="17.25" thickBot="1" x14ac:dyDescent="0.3">
      <c r="A40" s="226">
        <v>45889</v>
      </c>
      <c r="B40" s="227" t="s">
        <v>175</v>
      </c>
      <c r="C40" s="227" t="s">
        <v>585</v>
      </c>
      <c r="D40" s="228">
        <v>375</v>
      </c>
      <c r="E40" s="228">
        <v>8</v>
      </c>
      <c r="F40" s="231">
        <v>2529.1</v>
      </c>
      <c r="G40" s="231">
        <v>2498.9</v>
      </c>
      <c r="H40" s="228">
        <v>30.2</v>
      </c>
      <c r="I40" s="229">
        <v>1.21E-2</v>
      </c>
      <c r="J40" s="231">
        <v>2523</v>
      </c>
      <c r="K40" s="231">
        <v>2491.5</v>
      </c>
      <c r="L40" s="228">
        <v>31.5</v>
      </c>
      <c r="M40" s="229">
        <v>1.26E-2</v>
      </c>
      <c r="N40" s="231">
        <v>2529.1</v>
      </c>
      <c r="O40" s="231">
        <v>2498.9</v>
      </c>
      <c r="P40" s="228">
        <v>30.2</v>
      </c>
      <c r="Q40" s="229">
        <v>1.21E-2</v>
      </c>
      <c r="R40" s="231">
        <v>2539.8000000000002</v>
      </c>
      <c r="S40" s="231">
        <v>2507.4</v>
      </c>
      <c r="T40" s="228">
        <v>32.4</v>
      </c>
      <c r="U40" s="229">
        <v>1.29E-2</v>
      </c>
      <c r="V40" s="231">
        <v>2547.1</v>
      </c>
      <c r="W40" s="231">
        <v>2518.6</v>
      </c>
      <c r="X40" s="228">
        <v>28.5</v>
      </c>
      <c r="Y40" s="229">
        <v>1.1299999999999999E-2</v>
      </c>
      <c r="Z40" s="228">
        <v>6.1</v>
      </c>
      <c r="AA40" s="228">
        <v>7.4</v>
      </c>
      <c r="AB40" s="228">
        <v>-1.3</v>
      </c>
      <c r="AC40" s="229">
        <v>2.3999999999999998E-3</v>
      </c>
      <c r="AD40" s="228">
        <v>6.1</v>
      </c>
      <c r="AE40" s="228">
        <v>7.4</v>
      </c>
      <c r="AF40" s="228">
        <v>-1.3</v>
      </c>
      <c r="AG40" s="229">
        <v>2.3999999999999998E-3</v>
      </c>
      <c r="AH40" s="228">
        <v>16.8</v>
      </c>
      <c r="AI40" s="228">
        <v>15.9</v>
      </c>
      <c r="AJ40" s="228">
        <v>0.9</v>
      </c>
      <c r="AK40" s="229">
        <v>6.7000000000000002E-3</v>
      </c>
      <c r="AL40" s="228">
        <v>24.1</v>
      </c>
      <c r="AM40" s="228">
        <v>27.1</v>
      </c>
      <c r="AN40" s="228">
        <v>-3</v>
      </c>
      <c r="AO40" s="229">
        <v>9.5999999999999992E-3</v>
      </c>
      <c r="AP40" s="231">
        <v>2522.54</v>
      </c>
      <c r="AQ40" s="231">
        <v>2533.63</v>
      </c>
      <c r="AR40" s="228">
        <v>0</v>
      </c>
      <c r="AS40" s="228">
        <v>787</v>
      </c>
      <c r="AT40" s="230">
        <v>1039</v>
      </c>
      <c r="AU40" s="228">
        <v>-252</v>
      </c>
      <c r="AV40" s="229">
        <v>-0.2427</v>
      </c>
      <c r="AW40" s="228">
        <v>672</v>
      </c>
      <c r="AX40" s="228">
        <v>884</v>
      </c>
      <c r="AY40" s="228">
        <v>-212</v>
      </c>
      <c r="AZ40" s="229">
        <v>-0.23960000000000001</v>
      </c>
      <c r="BA40" s="228">
        <v>108</v>
      </c>
      <c r="BB40" s="228">
        <v>142</v>
      </c>
      <c r="BC40" s="228">
        <v>-35</v>
      </c>
      <c r="BD40" s="229">
        <v>-0.24379999999999999</v>
      </c>
      <c r="BE40" s="228">
        <v>7</v>
      </c>
      <c r="BF40" s="228">
        <v>12</v>
      </c>
      <c r="BG40" s="228">
        <v>-6</v>
      </c>
      <c r="BH40" s="229">
        <v>-0.45669999999999999</v>
      </c>
      <c r="BI40" s="230">
        <v>4008</v>
      </c>
      <c r="BJ40" s="230">
        <v>4938</v>
      </c>
      <c r="BK40" s="228">
        <v>-929</v>
      </c>
      <c r="BL40" s="229">
        <v>-0.18820000000000001</v>
      </c>
      <c r="BM40" s="230">
        <v>2775</v>
      </c>
      <c r="BN40" s="230">
        <v>4186</v>
      </c>
      <c r="BO40" s="230">
        <v>-1411</v>
      </c>
      <c r="BP40" s="229">
        <v>-0.33710000000000001</v>
      </c>
      <c r="BQ40" s="230">
        <v>7570</v>
      </c>
      <c r="BR40" s="230">
        <v>10163</v>
      </c>
      <c r="BS40" s="230">
        <v>-2592</v>
      </c>
      <c r="BT40" s="229">
        <v>-0.25509999999999999</v>
      </c>
      <c r="BU40" s="230">
        <v>2674274</v>
      </c>
      <c r="BV40" s="230">
        <v>3159563</v>
      </c>
      <c r="BW40" s="230">
        <v>-485289</v>
      </c>
      <c r="BX40" s="229">
        <v>-0.15359999999999999</v>
      </c>
      <c r="BY40" s="230">
        <v>2691</v>
      </c>
      <c r="BZ40" s="230">
        <v>2765</v>
      </c>
      <c r="CA40" s="228">
        <v>-74</v>
      </c>
      <c r="CB40" s="229">
        <v>-2.6700000000000002E-2</v>
      </c>
      <c r="CC40" s="230">
        <v>2383</v>
      </c>
      <c r="CD40" s="230">
        <v>2475</v>
      </c>
      <c r="CE40" s="228">
        <v>-92</v>
      </c>
      <c r="CF40" s="229">
        <v>-3.7199999999999997E-2</v>
      </c>
      <c r="CG40" s="228">
        <v>286</v>
      </c>
      <c r="CH40" s="228">
        <v>267</v>
      </c>
      <c r="CI40" s="228">
        <v>19</v>
      </c>
      <c r="CJ40" s="229">
        <v>7.17E-2</v>
      </c>
      <c r="CK40" s="228">
        <v>22</v>
      </c>
      <c r="CL40" s="228">
        <v>23</v>
      </c>
      <c r="CM40" s="228">
        <v>-1</v>
      </c>
      <c r="CN40" s="229">
        <v>-3.7199999999999997E-2</v>
      </c>
      <c r="CO40" s="230">
        <v>2203</v>
      </c>
      <c r="CP40" s="230">
        <v>2308</v>
      </c>
      <c r="CQ40" s="228">
        <v>-105</v>
      </c>
      <c r="CR40" s="229">
        <v>-4.5499999999999999E-2</v>
      </c>
      <c r="CS40" s="230">
        <v>1664</v>
      </c>
      <c r="CT40" s="230">
        <v>1654</v>
      </c>
      <c r="CU40" s="228">
        <v>10</v>
      </c>
      <c r="CV40" s="229">
        <v>6.0000000000000001E-3</v>
      </c>
      <c r="CW40" s="230">
        <v>6558</v>
      </c>
      <c r="CX40" s="230">
        <v>6727</v>
      </c>
      <c r="CY40" s="228">
        <v>-169</v>
      </c>
      <c r="CZ40" s="229">
        <v>-2.5100000000000001E-2</v>
      </c>
      <c r="DA40" s="228">
        <v>42.52</v>
      </c>
      <c r="DB40" s="228">
        <v>44.14</v>
      </c>
      <c r="DC40" s="228">
        <v>-1.62</v>
      </c>
      <c r="DD40" s="228">
        <v>-1.62</v>
      </c>
      <c r="DE40" s="228">
        <v>65.88</v>
      </c>
      <c r="DF40" s="228">
        <v>66.02</v>
      </c>
      <c r="DG40" s="228">
        <v>-23.36</v>
      </c>
      <c r="DH40" s="228">
        <v>-0.14000000000000001</v>
      </c>
      <c r="DI40" s="228">
        <v>40.479999999999997</v>
      </c>
      <c r="DJ40" s="228">
        <v>42.14</v>
      </c>
      <c r="DK40" s="228">
        <v>-1.66</v>
      </c>
      <c r="DL40" s="228">
        <v>-1.66</v>
      </c>
      <c r="DM40" s="228">
        <v>45.47</v>
      </c>
      <c r="DN40" s="228">
        <v>46.49</v>
      </c>
      <c r="DO40" s="228">
        <v>-1.02</v>
      </c>
      <c r="DP40" s="228">
        <v>-1.02</v>
      </c>
      <c r="DQ40" s="228">
        <v>0.76</v>
      </c>
      <c r="DR40" s="228">
        <v>0.72</v>
      </c>
      <c r="DS40" s="228">
        <v>0.04</v>
      </c>
      <c r="DT40" s="229">
        <v>5.5599999999999997E-2</v>
      </c>
      <c r="DU40" s="231">
        <v>2600</v>
      </c>
      <c r="DV40" s="231">
        <v>2000</v>
      </c>
      <c r="DW40" s="228">
        <v>0.69</v>
      </c>
      <c r="DX40" s="228">
        <v>0.85</v>
      </c>
      <c r="DY40" s="228">
        <v>-0.16</v>
      </c>
      <c r="DZ40" s="229">
        <v>-0.18820000000000001</v>
      </c>
      <c r="EA40" s="229">
        <v>0.11459999999999999</v>
      </c>
      <c r="EB40" s="230">
        <v>1147500</v>
      </c>
      <c r="EC40" s="229">
        <v>4.1999999999999997E-3</v>
      </c>
      <c r="ED40" s="229">
        <v>0.11459999999999999</v>
      </c>
      <c r="EE40" s="228">
        <v>11.09</v>
      </c>
      <c r="EF40" s="229">
        <v>4.4000000000000003E-3</v>
      </c>
      <c r="EG40" s="230">
        <v>813034</v>
      </c>
      <c r="EH40" s="230">
        <v>488820</v>
      </c>
      <c r="EI40" s="229">
        <v>0.6633</v>
      </c>
      <c r="EJ40" s="229">
        <v>0.30399999999999999</v>
      </c>
      <c r="EK40" s="231">
        <v>4194.7700000000004</v>
      </c>
      <c r="EL40" s="231">
        <v>2661.89</v>
      </c>
      <c r="EM40" s="228">
        <v>785.1</v>
      </c>
      <c r="EN40" s="228">
        <v>0</v>
      </c>
      <c r="EO40" s="231">
        <v>7641.76</v>
      </c>
      <c r="EP40" s="231">
        <v>10169.69</v>
      </c>
      <c r="EQ40" s="231">
        <v>-2527.9299999999998</v>
      </c>
      <c r="ER40" s="229">
        <v>-0.24859999999999999</v>
      </c>
      <c r="ES40" s="231">
        <v>2309.58</v>
      </c>
      <c r="ET40" s="231">
        <v>1519.7</v>
      </c>
      <c r="EU40" s="231">
        <v>2692.49</v>
      </c>
      <c r="EV40" s="231">
        <v>64513850</v>
      </c>
      <c r="EW40" s="231">
        <v>6521.77</v>
      </c>
      <c r="EX40" s="231">
        <v>6658.6</v>
      </c>
      <c r="EY40" s="228">
        <v>-136.83000000000001</v>
      </c>
      <c r="EZ40" s="229">
        <v>-2.0500000000000001E-2</v>
      </c>
      <c r="FA40" s="229">
        <v>0.40189999999999998</v>
      </c>
      <c r="FB40" s="227" t="s">
        <v>556</v>
      </c>
      <c r="FC40">
        <f t="shared" si="0"/>
        <v>308</v>
      </c>
    </row>
    <row r="41" spans="1:159" ht="17.25" thickBot="1" x14ac:dyDescent="0.3">
      <c r="A41" s="226">
        <v>45889</v>
      </c>
      <c r="B41" s="227" t="s">
        <v>175</v>
      </c>
      <c r="C41" s="227" t="s">
        <v>612</v>
      </c>
      <c r="D41" s="228">
        <v>150</v>
      </c>
      <c r="E41" s="228">
        <v>8</v>
      </c>
      <c r="F41" s="231">
        <v>3843.4</v>
      </c>
      <c r="G41" s="231">
        <v>3839.1</v>
      </c>
      <c r="H41" s="228">
        <v>4.3</v>
      </c>
      <c r="I41" s="229">
        <v>1.1000000000000001E-3</v>
      </c>
      <c r="J41" s="231">
        <v>3841.8</v>
      </c>
      <c r="K41" s="231">
        <v>3835.8</v>
      </c>
      <c r="L41" s="228">
        <v>6</v>
      </c>
      <c r="M41" s="229">
        <v>1.6000000000000001E-3</v>
      </c>
      <c r="N41" s="231">
        <v>3843.4</v>
      </c>
      <c r="O41" s="231">
        <v>3839.1</v>
      </c>
      <c r="P41" s="228">
        <v>4.3</v>
      </c>
      <c r="Q41" s="229">
        <v>1.1000000000000001E-3</v>
      </c>
      <c r="R41" s="231">
        <v>3866.9</v>
      </c>
      <c r="S41" s="231">
        <v>3861.4</v>
      </c>
      <c r="T41" s="228">
        <v>5.5</v>
      </c>
      <c r="U41" s="229">
        <v>1.4E-3</v>
      </c>
      <c r="V41" s="231">
        <v>3885</v>
      </c>
      <c r="W41" s="231">
        <v>3875</v>
      </c>
      <c r="X41" s="228">
        <v>10</v>
      </c>
      <c r="Y41" s="229">
        <v>2.5999999999999999E-3</v>
      </c>
      <c r="Z41" s="228">
        <v>1.6</v>
      </c>
      <c r="AA41" s="228">
        <v>3.3</v>
      </c>
      <c r="AB41" s="228">
        <v>-1.7</v>
      </c>
      <c r="AC41" s="229">
        <v>4.0000000000000002E-4</v>
      </c>
      <c r="AD41" s="228">
        <v>1.6</v>
      </c>
      <c r="AE41" s="228">
        <v>3.3</v>
      </c>
      <c r="AF41" s="228">
        <v>-1.7</v>
      </c>
      <c r="AG41" s="229">
        <v>4.0000000000000002E-4</v>
      </c>
      <c r="AH41" s="228">
        <v>25.1</v>
      </c>
      <c r="AI41" s="228">
        <v>25.6</v>
      </c>
      <c r="AJ41" s="228">
        <v>-0.5</v>
      </c>
      <c r="AK41" s="229">
        <v>6.4999999999999997E-3</v>
      </c>
      <c r="AL41" s="228">
        <v>43.2</v>
      </c>
      <c r="AM41" s="228">
        <v>39.200000000000003</v>
      </c>
      <c r="AN41" s="228">
        <v>4</v>
      </c>
      <c r="AO41" s="229">
        <v>1.12E-2</v>
      </c>
      <c r="AP41" s="231">
        <v>3840.79</v>
      </c>
      <c r="AQ41" s="231">
        <v>3861.3</v>
      </c>
      <c r="AR41" s="228">
        <v>0</v>
      </c>
      <c r="AS41" s="228">
        <v>113</v>
      </c>
      <c r="AT41" s="228">
        <v>204</v>
      </c>
      <c r="AU41" s="228">
        <v>-91</v>
      </c>
      <c r="AV41" s="229">
        <v>-0.44450000000000001</v>
      </c>
      <c r="AW41" s="228">
        <v>90</v>
      </c>
      <c r="AX41" s="228">
        <v>166</v>
      </c>
      <c r="AY41" s="228">
        <v>-76</v>
      </c>
      <c r="AZ41" s="229">
        <v>-0.45660000000000001</v>
      </c>
      <c r="BA41" s="228">
        <v>22</v>
      </c>
      <c r="BB41" s="228">
        <v>34</v>
      </c>
      <c r="BC41" s="228">
        <v>-13</v>
      </c>
      <c r="BD41" s="229">
        <v>-0.37459999999999999</v>
      </c>
      <c r="BE41" s="228">
        <v>1</v>
      </c>
      <c r="BF41" s="228">
        <v>3</v>
      </c>
      <c r="BG41" s="228">
        <v>-2</v>
      </c>
      <c r="BH41" s="229">
        <v>-0.57140000000000002</v>
      </c>
      <c r="BI41" s="228">
        <v>514</v>
      </c>
      <c r="BJ41" s="228">
        <v>368</v>
      </c>
      <c r="BK41" s="228">
        <v>146</v>
      </c>
      <c r="BL41" s="229">
        <v>0.39529999999999998</v>
      </c>
      <c r="BM41" s="228">
        <v>199</v>
      </c>
      <c r="BN41" s="228">
        <v>230</v>
      </c>
      <c r="BO41" s="228">
        <v>-31</v>
      </c>
      <c r="BP41" s="229">
        <v>-0.13550000000000001</v>
      </c>
      <c r="BQ41" s="228">
        <v>826</v>
      </c>
      <c r="BR41" s="228">
        <v>802</v>
      </c>
      <c r="BS41" s="228">
        <v>24</v>
      </c>
      <c r="BT41" s="229">
        <v>2.98E-2</v>
      </c>
      <c r="BU41" s="230">
        <v>192425</v>
      </c>
      <c r="BV41" s="230">
        <v>246346</v>
      </c>
      <c r="BW41" s="230">
        <v>-53921</v>
      </c>
      <c r="BX41" s="229">
        <v>-0.21890000000000001</v>
      </c>
      <c r="BY41" s="228">
        <v>914</v>
      </c>
      <c r="BZ41" s="228">
        <v>927</v>
      </c>
      <c r="CA41" s="228">
        <v>-13</v>
      </c>
      <c r="CB41" s="229">
        <v>-1.3899999999999999E-2</v>
      </c>
      <c r="CC41" s="228">
        <v>826</v>
      </c>
      <c r="CD41" s="228">
        <v>848</v>
      </c>
      <c r="CE41" s="228">
        <v>-22</v>
      </c>
      <c r="CF41" s="229">
        <v>-2.5600000000000001E-2</v>
      </c>
      <c r="CG41" s="228">
        <v>83</v>
      </c>
      <c r="CH41" s="228">
        <v>75</v>
      </c>
      <c r="CI41" s="228">
        <v>8</v>
      </c>
      <c r="CJ41" s="229">
        <v>0.11269999999999999</v>
      </c>
      <c r="CK41" s="228">
        <v>5</v>
      </c>
      <c r="CL41" s="228">
        <v>4</v>
      </c>
      <c r="CM41" s="228">
        <v>0</v>
      </c>
      <c r="CN41" s="229">
        <v>8.2199999999999995E-2</v>
      </c>
      <c r="CO41" s="228">
        <v>362</v>
      </c>
      <c r="CP41" s="228">
        <v>411</v>
      </c>
      <c r="CQ41" s="228">
        <v>-49</v>
      </c>
      <c r="CR41" s="229">
        <v>-0.1192</v>
      </c>
      <c r="CS41" s="228">
        <v>240</v>
      </c>
      <c r="CT41" s="228">
        <v>237</v>
      </c>
      <c r="CU41" s="228">
        <v>3</v>
      </c>
      <c r="CV41" s="229">
        <v>1.44E-2</v>
      </c>
      <c r="CW41" s="230">
        <v>1516</v>
      </c>
      <c r="CX41" s="230">
        <v>1575</v>
      </c>
      <c r="CY41" s="228">
        <v>-59</v>
      </c>
      <c r="CZ41" s="229">
        <v>-3.7199999999999997E-2</v>
      </c>
      <c r="DA41" s="228">
        <v>31.42</v>
      </c>
      <c r="DB41" s="228">
        <v>31.26</v>
      </c>
      <c r="DC41" s="228">
        <v>0.16</v>
      </c>
      <c r="DD41" s="228">
        <v>0.16</v>
      </c>
      <c r="DE41" s="228">
        <v>45.11</v>
      </c>
      <c r="DF41" s="228">
        <v>45.22</v>
      </c>
      <c r="DG41" s="228">
        <v>-13.69</v>
      </c>
      <c r="DH41" s="228">
        <v>-0.11</v>
      </c>
      <c r="DI41" s="228">
        <v>32.159999999999997</v>
      </c>
      <c r="DJ41" s="228">
        <v>31.89</v>
      </c>
      <c r="DK41" s="228">
        <v>0.27</v>
      </c>
      <c r="DL41" s="228">
        <v>0.27</v>
      </c>
      <c r="DM41" s="228">
        <v>29.52</v>
      </c>
      <c r="DN41" s="228">
        <v>30.24</v>
      </c>
      <c r="DO41" s="228">
        <v>-0.72</v>
      </c>
      <c r="DP41" s="228">
        <v>-0.72</v>
      </c>
      <c r="DQ41" s="228">
        <v>0.66</v>
      </c>
      <c r="DR41" s="228">
        <v>0.57999999999999996</v>
      </c>
      <c r="DS41" s="228">
        <v>0.08</v>
      </c>
      <c r="DT41" s="229">
        <v>0.13789999999999999</v>
      </c>
      <c r="DU41" s="231">
        <v>4000</v>
      </c>
      <c r="DV41" s="231">
        <v>3800</v>
      </c>
      <c r="DW41" s="228">
        <v>0.39</v>
      </c>
      <c r="DX41" s="228">
        <v>0.62</v>
      </c>
      <c r="DY41" s="228">
        <v>-0.23</v>
      </c>
      <c r="DZ41" s="229">
        <v>-0.371</v>
      </c>
      <c r="EA41" s="229">
        <v>9.5899999999999999E-2</v>
      </c>
      <c r="EB41" s="230">
        <v>205200</v>
      </c>
      <c r="EC41" s="229">
        <v>6.1000000000000004E-3</v>
      </c>
      <c r="ED41" s="229">
        <v>9.5899999999999999E-2</v>
      </c>
      <c r="EE41" s="228">
        <v>20.51</v>
      </c>
      <c r="EF41" s="229">
        <v>5.3E-3</v>
      </c>
      <c r="EG41" s="230">
        <v>82596</v>
      </c>
      <c r="EH41" s="230">
        <v>114269</v>
      </c>
      <c r="EI41" s="229">
        <v>-0.2772</v>
      </c>
      <c r="EJ41" s="229">
        <v>0.42920000000000003</v>
      </c>
      <c r="EK41" s="228">
        <v>544.42999999999995</v>
      </c>
      <c r="EL41" s="228">
        <v>197.78</v>
      </c>
      <c r="EM41" s="228">
        <v>113.22</v>
      </c>
      <c r="EN41" s="228">
        <v>0</v>
      </c>
      <c r="EO41" s="228">
        <v>855.43</v>
      </c>
      <c r="EP41" s="228">
        <v>820.9</v>
      </c>
      <c r="EQ41" s="228">
        <v>34.53</v>
      </c>
      <c r="ER41" s="229">
        <v>4.2099999999999999E-2</v>
      </c>
      <c r="ES41" s="228">
        <v>383.28</v>
      </c>
      <c r="ET41" s="228">
        <v>236.61</v>
      </c>
      <c r="EU41" s="228">
        <v>914.56</v>
      </c>
      <c r="EV41" s="231">
        <v>9894953</v>
      </c>
      <c r="EW41" s="231">
        <v>1534.44</v>
      </c>
      <c r="EX41" s="231">
        <v>1593.79</v>
      </c>
      <c r="EY41" s="228">
        <v>-59.35</v>
      </c>
      <c r="EZ41" s="229">
        <v>-3.7199999999999997E-2</v>
      </c>
      <c r="FA41" s="229">
        <v>0.3987</v>
      </c>
      <c r="FB41" s="227" t="s">
        <v>556</v>
      </c>
      <c r="FC41">
        <f t="shared" si="0"/>
        <v>88</v>
      </c>
    </row>
    <row r="42" spans="1:159" ht="17.25" thickBot="1" x14ac:dyDescent="0.3">
      <c r="A42" s="226">
        <v>45889</v>
      </c>
      <c r="B42" s="227" t="s">
        <v>172</v>
      </c>
      <c r="C42" s="227" t="s">
        <v>196</v>
      </c>
      <c r="D42" s="228">
        <v>6750</v>
      </c>
      <c r="E42" s="228">
        <v>8</v>
      </c>
      <c r="F42" s="228">
        <v>112.41</v>
      </c>
      <c r="G42" s="228">
        <v>112.06</v>
      </c>
      <c r="H42" s="228">
        <v>0.35</v>
      </c>
      <c r="I42" s="229">
        <v>3.0999999999999999E-3</v>
      </c>
      <c r="J42" s="228">
        <v>112.28</v>
      </c>
      <c r="K42" s="228">
        <v>111.67</v>
      </c>
      <c r="L42" s="228">
        <v>0.61</v>
      </c>
      <c r="M42" s="229">
        <v>5.4999999999999997E-3</v>
      </c>
      <c r="N42" s="228">
        <v>112.41</v>
      </c>
      <c r="O42" s="228">
        <v>112.06</v>
      </c>
      <c r="P42" s="228">
        <v>0.35</v>
      </c>
      <c r="Q42" s="229">
        <v>3.0999999999999999E-3</v>
      </c>
      <c r="R42" s="228">
        <v>113.06</v>
      </c>
      <c r="S42" s="228">
        <v>112.68</v>
      </c>
      <c r="T42" s="228">
        <v>0.38</v>
      </c>
      <c r="U42" s="229">
        <v>3.3999999999999998E-3</v>
      </c>
      <c r="V42" s="228">
        <v>113.66</v>
      </c>
      <c r="W42" s="228">
        <v>113.24</v>
      </c>
      <c r="X42" s="228">
        <v>0.42</v>
      </c>
      <c r="Y42" s="229">
        <v>3.7000000000000002E-3</v>
      </c>
      <c r="Z42" s="228">
        <v>0.13</v>
      </c>
      <c r="AA42" s="228">
        <v>0.39</v>
      </c>
      <c r="AB42" s="228">
        <v>-0.26</v>
      </c>
      <c r="AC42" s="229">
        <v>1.1999999999999999E-3</v>
      </c>
      <c r="AD42" s="228">
        <v>0.13</v>
      </c>
      <c r="AE42" s="228">
        <v>0.39</v>
      </c>
      <c r="AF42" s="228">
        <v>-0.26</v>
      </c>
      <c r="AG42" s="229">
        <v>1.1999999999999999E-3</v>
      </c>
      <c r="AH42" s="228">
        <v>0.78</v>
      </c>
      <c r="AI42" s="228">
        <v>1.01</v>
      </c>
      <c r="AJ42" s="228">
        <v>-0.23</v>
      </c>
      <c r="AK42" s="229">
        <v>6.8999999999999999E-3</v>
      </c>
      <c r="AL42" s="228">
        <v>1.38</v>
      </c>
      <c r="AM42" s="228">
        <v>1.57</v>
      </c>
      <c r="AN42" s="228">
        <v>-0.19</v>
      </c>
      <c r="AO42" s="229">
        <v>1.23E-2</v>
      </c>
      <c r="AP42" s="228">
        <v>112.37</v>
      </c>
      <c r="AQ42" s="228">
        <v>113.03</v>
      </c>
      <c r="AR42" s="228">
        <v>0</v>
      </c>
      <c r="AS42" s="228">
        <v>354</v>
      </c>
      <c r="AT42" s="228">
        <v>494</v>
      </c>
      <c r="AU42" s="228">
        <v>-141</v>
      </c>
      <c r="AV42" s="229">
        <v>-0.28460000000000002</v>
      </c>
      <c r="AW42" s="228">
        <v>276</v>
      </c>
      <c r="AX42" s="228">
        <v>415</v>
      </c>
      <c r="AY42" s="228">
        <v>-140</v>
      </c>
      <c r="AZ42" s="229">
        <v>-0.33639999999999998</v>
      </c>
      <c r="BA42" s="228">
        <v>74</v>
      </c>
      <c r="BB42" s="228">
        <v>74</v>
      </c>
      <c r="BC42" s="228">
        <v>0</v>
      </c>
      <c r="BD42" s="229">
        <v>6.1999999999999998E-3</v>
      </c>
      <c r="BE42" s="228">
        <v>4</v>
      </c>
      <c r="BF42" s="228">
        <v>5</v>
      </c>
      <c r="BG42" s="228">
        <v>-1</v>
      </c>
      <c r="BH42" s="229">
        <v>-0.27139999999999997</v>
      </c>
      <c r="BI42" s="228">
        <v>732</v>
      </c>
      <c r="BJ42" s="230">
        <v>1345</v>
      </c>
      <c r="BK42" s="228">
        <v>-613</v>
      </c>
      <c r="BL42" s="229">
        <v>-0.45600000000000002</v>
      </c>
      <c r="BM42" s="228">
        <v>505</v>
      </c>
      <c r="BN42" s="228">
        <v>755</v>
      </c>
      <c r="BO42" s="228">
        <v>-251</v>
      </c>
      <c r="BP42" s="229">
        <v>-0.33189999999999997</v>
      </c>
      <c r="BQ42" s="230">
        <v>1590</v>
      </c>
      <c r="BR42" s="230">
        <v>2595</v>
      </c>
      <c r="BS42" s="230">
        <v>-1005</v>
      </c>
      <c r="BT42" s="229">
        <v>-0.38719999999999999</v>
      </c>
      <c r="BU42" s="230">
        <v>15566633</v>
      </c>
      <c r="BV42" s="230">
        <v>21690976</v>
      </c>
      <c r="BW42" s="230">
        <v>-6124343</v>
      </c>
      <c r="BX42" s="229">
        <v>-0.2823</v>
      </c>
      <c r="BY42" s="230">
        <v>2588</v>
      </c>
      <c r="BZ42" s="230">
        <v>2623</v>
      </c>
      <c r="CA42" s="228">
        <v>-35</v>
      </c>
      <c r="CB42" s="229">
        <v>-1.32E-2</v>
      </c>
      <c r="CC42" s="230">
        <v>2378</v>
      </c>
      <c r="CD42" s="230">
        <v>2453</v>
      </c>
      <c r="CE42" s="228">
        <v>-75</v>
      </c>
      <c r="CF42" s="229">
        <v>-3.04E-2</v>
      </c>
      <c r="CG42" s="228">
        <v>198</v>
      </c>
      <c r="CH42" s="228">
        <v>160</v>
      </c>
      <c r="CI42" s="228">
        <v>38</v>
      </c>
      <c r="CJ42" s="229">
        <v>0.23899999999999999</v>
      </c>
      <c r="CK42" s="228">
        <v>12</v>
      </c>
      <c r="CL42" s="228">
        <v>10</v>
      </c>
      <c r="CM42" s="228">
        <v>2</v>
      </c>
      <c r="CN42" s="229">
        <v>0.18940000000000001</v>
      </c>
      <c r="CO42" s="230">
        <v>1004</v>
      </c>
      <c r="CP42" s="230">
        <v>1035</v>
      </c>
      <c r="CQ42" s="228">
        <v>-31</v>
      </c>
      <c r="CR42" s="229">
        <v>-3.0099999999999998E-2</v>
      </c>
      <c r="CS42" s="228">
        <v>814</v>
      </c>
      <c r="CT42" s="228">
        <v>799</v>
      </c>
      <c r="CU42" s="228">
        <v>15</v>
      </c>
      <c r="CV42" s="229">
        <v>1.9300000000000001E-2</v>
      </c>
      <c r="CW42" s="230">
        <v>4406</v>
      </c>
      <c r="CX42" s="230">
        <v>4457</v>
      </c>
      <c r="CY42" s="228">
        <v>-50</v>
      </c>
      <c r="CZ42" s="229">
        <v>-1.1299999999999999E-2</v>
      </c>
      <c r="DA42" s="228">
        <v>24.27</v>
      </c>
      <c r="DB42" s="228">
        <v>25.58</v>
      </c>
      <c r="DC42" s="228">
        <v>-1.31</v>
      </c>
      <c r="DD42" s="228">
        <v>-1.31</v>
      </c>
      <c r="DE42" s="228">
        <v>38.979999999999997</v>
      </c>
      <c r="DF42" s="228">
        <v>39.07</v>
      </c>
      <c r="DG42" s="228">
        <v>-14.71</v>
      </c>
      <c r="DH42" s="228">
        <v>-0.09</v>
      </c>
      <c r="DI42" s="228">
        <v>23.88</v>
      </c>
      <c r="DJ42" s="228">
        <v>24.8</v>
      </c>
      <c r="DK42" s="228">
        <v>-0.92</v>
      </c>
      <c r="DL42" s="228">
        <v>-0.92</v>
      </c>
      <c r="DM42" s="228">
        <v>24.84</v>
      </c>
      <c r="DN42" s="228">
        <v>26.96</v>
      </c>
      <c r="DO42" s="228">
        <v>-2.12</v>
      </c>
      <c r="DP42" s="228">
        <v>-2.12</v>
      </c>
      <c r="DQ42" s="228">
        <v>0.81</v>
      </c>
      <c r="DR42" s="228">
        <v>0.77</v>
      </c>
      <c r="DS42" s="228">
        <v>0.04</v>
      </c>
      <c r="DT42" s="229">
        <v>5.1900000000000002E-2</v>
      </c>
      <c r="DU42" s="228">
        <v>120</v>
      </c>
      <c r="DV42" s="228">
        <v>100</v>
      </c>
      <c r="DW42" s="228">
        <v>0.69</v>
      </c>
      <c r="DX42" s="228">
        <v>0.56000000000000005</v>
      </c>
      <c r="DY42" s="228">
        <v>0.13</v>
      </c>
      <c r="DZ42" s="229">
        <v>0.2321</v>
      </c>
      <c r="EA42" s="229">
        <v>8.1199999999999994E-2</v>
      </c>
      <c r="EB42" s="230">
        <v>15126750</v>
      </c>
      <c r="EC42" s="229">
        <v>5.7999999999999996E-3</v>
      </c>
      <c r="ED42" s="229">
        <v>8.1199999999999994E-2</v>
      </c>
      <c r="EE42" s="228">
        <v>0.66</v>
      </c>
      <c r="EF42" s="229">
        <v>5.8999999999999999E-3</v>
      </c>
      <c r="EG42" s="230">
        <v>8004933</v>
      </c>
      <c r="EH42" s="230">
        <v>10864086</v>
      </c>
      <c r="EI42" s="229">
        <v>-0.26319999999999999</v>
      </c>
      <c r="EJ42" s="229">
        <v>0.51419999999999999</v>
      </c>
      <c r="EK42" s="228">
        <v>748.38</v>
      </c>
      <c r="EL42" s="228">
        <v>499.55</v>
      </c>
      <c r="EM42" s="228">
        <v>353.93</v>
      </c>
      <c r="EN42" s="228">
        <v>0</v>
      </c>
      <c r="EO42" s="231">
        <v>1601.86</v>
      </c>
      <c r="EP42" s="231">
        <v>2597.38</v>
      </c>
      <c r="EQ42" s="228">
        <v>-995.52</v>
      </c>
      <c r="ER42" s="229">
        <v>-0.38329999999999997</v>
      </c>
      <c r="ES42" s="231">
        <v>1023.59</v>
      </c>
      <c r="ET42" s="228">
        <v>780.1</v>
      </c>
      <c r="EU42" s="231">
        <v>2589.66</v>
      </c>
      <c r="EV42" s="231">
        <v>672420574</v>
      </c>
      <c r="EW42" s="231">
        <v>4393.3599999999997</v>
      </c>
      <c r="EX42" s="231">
        <v>4433.82</v>
      </c>
      <c r="EY42" s="228">
        <v>-40.46</v>
      </c>
      <c r="EZ42" s="229">
        <v>-9.1000000000000004E-3</v>
      </c>
      <c r="FA42" s="229">
        <v>0.58299999999999996</v>
      </c>
      <c r="FB42" s="227" t="s">
        <v>556</v>
      </c>
      <c r="FC42">
        <f t="shared" si="0"/>
        <v>210</v>
      </c>
    </row>
    <row r="43" spans="1:159" ht="17.25" thickBot="1" x14ac:dyDescent="0.3">
      <c r="A43" s="226">
        <v>45889</v>
      </c>
      <c r="B43" s="227" t="s">
        <v>175</v>
      </c>
      <c r="C43" s="227" t="s">
        <v>598</v>
      </c>
      <c r="D43" s="228">
        <v>475</v>
      </c>
      <c r="E43" s="228">
        <v>8</v>
      </c>
      <c r="F43" s="231">
        <v>1588.4</v>
      </c>
      <c r="G43" s="231">
        <v>1587</v>
      </c>
      <c r="H43" s="228">
        <v>1.4</v>
      </c>
      <c r="I43" s="229">
        <v>8.9999999999999998E-4</v>
      </c>
      <c r="J43" s="231">
        <v>1583.6</v>
      </c>
      <c r="K43" s="231">
        <v>1581.7</v>
      </c>
      <c r="L43" s="228">
        <v>1.9</v>
      </c>
      <c r="M43" s="229">
        <v>1.1999999999999999E-3</v>
      </c>
      <c r="N43" s="231">
        <v>1588.4</v>
      </c>
      <c r="O43" s="231">
        <v>1587</v>
      </c>
      <c r="P43" s="228">
        <v>1.4</v>
      </c>
      <c r="Q43" s="229">
        <v>8.9999999999999998E-4</v>
      </c>
      <c r="R43" s="231">
        <v>1592.3</v>
      </c>
      <c r="S43" s="231">
        <v>1590</v>
      </c>
      <c r="T43" s="228">
        <v>2.2999999999999998</v>
      </c>
      <c r="U43" s="229">
        <v>1.4E-3</v>
      </c>
      <c r="V43" s="231">
        <v>1595.6</v>
      </c>
      <c r="W43" s="231">
        <v>1593</v>
      </c>
      <c r="X43" s="228">
        <v>2.6</v>
      </c>
      <c r="Y43" s="229">
        <v>1.6000000000000001E-3</v>
      </c>
      <c r="Z43" s="228">
        <v>4.8</v>
      </c>
      <c r="AA43" s="228">
        <v>5.3</v>
      </c>
      <c r="AB43" s="228">
        <v>-0.5</v>
      </c>
      <c r="AC43" s="229">
        <v>3.0000000000000001E-3</v>
      </c>
      <c r="AD43" s="228">
        <v>4.8</v>
      </c>
      <c r="AE43" s="228">
        <v>5.3</v>
      </c>
      <c r="AF43" s="228">
        <v>-0.5</v>
      </c>
      <c r="AG43" s="229">
        <v>3.0000000000000001E-3</v>
      </c>
      <c r="AH43" s="228">
        <v>8.6999999999999993</v>
      </c>
      <c r="AI43" s="228">
        <v>8.3000000000000007</v>
      </c>
      <c r="AJ43" s="228">
        <v>0.4</v>
      </c>
      <c r="AK43" s="229">
        <v>5.4999999999999997E-3</v>
      </c>
      <c r="AL43" s="228">
        <v>12</v>
      </c>
      <c r="AM43" s="228">
        <v>11.3</v>
      </c>
      <c r="AN43" s="228">
        <v>0.7</v>
      </c>
      <c r="AO43" s="229">
        <v>7.6E-3</v>
      </c>
      <c r="AP43" s="231">
        <v>1584.29</v>
      </c>
      <c r="AQ43" s="231">
        <v>1588.33</v>
      </c>
      <c r="AR43" s="228">
        <v>0</v>
      </c>
      <c r="AS43" s="228">
        <v>255</v>
      </c>
      <c r="AT43" s="228">
        <v>198</v>
      </c>
      <c r="AU43" s="228">
        <v>57</v>
      </c>
      <c r="AV43" s="229">
        <v>0.28849999999999998</v>
      </c>
      <c r="AW43" s="228">
        <v>182</v>
      </c>
      <c r="AX43" s="228">
        <v>144</v>
      </c>
      <c r="AY43" s="228">
        <v>38</v>
      </c>
      <c r="AZ43" s="229">
        <v>0.26500000000000001</v>
      </c>
      <c r="BA43" s="228">
        <v>61</v>
      </c>
      <c r="BB43" s="228">
        <v>49</v>
      </c>
      <c r="BC43" s="228">
        <v>12</v>
      </c>
      <c r="BD43" s="229">
        <v>0.25580000000000003</v>
      </c>
      <c r="BE43" s="228">
        <v>12</v>
      </c>
      <c r="BF43" s="228">
        <v>6</v>
      </c>
      <c r="BG43" s="228">
        <v>7</v>
      </c>
      <c r="BH43" s="229">
        <v>1.1918</v>
      </c>
      <c r="BI43" s="230">
        <v>1126</v>
      </c>
      <c r="BJ43" s="228">
        <v>957</v>
      </c>
      <c r="BK43" s="228">
        <v>169</v>
      </c>
      <c r="BL43" s="229">
        <v>0.17680000000000001</v>
      </c>
      <c r="BM43" s="228">
        <v>534</v>
      </c>
      <c r="BN43" s="228">
        <v>581</v>
      </c>
      <c r="BO43" s="228">
        <v>-46</v>
      </c>
      <c r="BP43" s="229">
        <v>-7.9899999999999999E-2</v>
      </c>
      <c r="BQ43" s="230">
        <v>1915</v>
      </c>
      <c r="BR43" s="230">
        <v>1735</v>
      </c>
      <c r="BS43" s="228">
        <v>180</v>
      </c>
      <c r="BT43" s="229">
        <v>0.1036</v>
      </c>
      <c r="BU43" s="230">
        <v>1008227</v>
      </c>
      <c r="BV43" s="230">
        <v>1073753</v>
      </c>
      <c r="BW43" s="230">
        <v>-65526</v>
      </c>
      <c r="BX43" s="229">
        <v>-6.0999999999999999E-2</v>
      </c>
      <c r="BY43" s="230">
        <v>1499</v>
      </c>
      <c r="BZ43" s="230">
        <v>1475</v>
      </c>
      <c r="CA43" s="228">
        <v>23</v>
      </c>
      <c r="CB43" s="229">
        <v>1.5900000000000001E-2</v>
      </c>
      <c r="CC43" s="230">
        <v>1282</v>
      </c>
      <c r="CD43" s="230">
        <v>1280</v>
      </c>
      <c r="CE43" s="228">
        <v>2</v>
      </c>
      <c r="CF43" s="229">
        <v>1.4E-3</v>
      </c>
      <c r="CG43" s="228">
        <v>198</v>
      </c>
      <c r="CH43" s="228">
        <v>178</v>
      </c>
      <c r="CI43" s="228">
        <v>20</v>
      </c>
      <c r="CJ43" s="229">
        <v>0.1113</v>
      </c>
      <c r="CK43" s="228">
        <v>19</v>
      </c>
      <c r="CL43" s="228">
        <v>17</v>
      </c>
      <c r="CM43" s="228">
        <v>2</v>
      </c>
      <c r="CN43" s="229">
        <v>0.1018</v>
      </c>
      <c r="CO43" s="230">
        <v>1191</v>
      </c>
      <c r="CP43" s="230">
        <v>1125</v>
      </c>
      <c r="CQ43" s="228">
        <v>65</v>
      </c>
      <c r="CR43" s="229">
        <v>5.8200000000000002E-2</v>
      </c>
      <c r="CS43" s="228">
        <v>768</v>
      </c>
      <c r="CT43" s="228">
        <v>753</v>
      </c>
      <c r="CU43" s="228">
        <v>15</v>
      </c>
      <c r="CV43" s="229">
        <v>2.0400000000000001E-2</v>
      </c>
      <c r="CW43" s="230">
        <v>3458</v>
      </c>
      <c r="CX43" s="230">
        <v>3354</v>
      </c>
      <c r="CY43" s="228">
        <v>104</v>
      </c>
      <c r="CZ43" s="229">
        <v>3.1099999999999999E-2</v>
      </c>
      <c r="DA43" s="228">
        <v>31.89</v>
      </c>
      <c r="DB43" s="228">
        <v>31.12</v>
      </c>
      <c r="DC43" s="228">
        <v>0.77</v>
      </c>
      <c r="DD43" s="228">
        <v>0.77</v>
      </c>
      <c r="DE43" s="228">
        <v>50.58</v>
      </c>
      <c r="DF43" s="228">
        <v>50.71</v>
      </c>
      <c r="DG43" s="228">
        <v>-18.690000000000001</v>
      </c>
      <c r="DH43" s="228">
        <v>-0.13</v>
      </c>
      <c r="DI43" s="228">
        <v>31.98</v>
      </c>
      <c r="DJ43" s="228">
        <v>30.66</v>
      </c>
      <c r="DK43" s="228">
        <v>1.32</v>
      </c>
      <c r="DL43" s="228">
        <v>1.32</v>
      </c>
      <c r="DM43" s="228">
        <v>31.7</v>
      </c>
      <c r="DN43" s="228">
        <v>31.89</v>
      </c>
      <c r="DO43" s="228">
        <v>-0.19</v>
      </c>
      <c r="DP43" s="228">
        <v>-0.19</v>
      </c>
      <c r="DQ43" s="228">
        <v>0.65</v>
      </c>
      <c r="DR43" s="228">
        <v>0.67</v>
      </c>
      <c r="DS43" s="228">
        <v>-0.02</v>
      </c>
      <c r="DT43" s="229">
        <v>-2.9899999999999999E-2</v>
      </c>
      <c r="DU43" s="231">
        <v>1600</v>
      </c>
      <c r="DV43" s="231">
        <v>1500</v>
      </c>
      <c r="DW43" s="228">
        <v>0.47</v>
      </c>
      <c r="DX43" s="228">
        <v>0.61</v>
      </c>
      <c r="DY43" s="228">
        <v>-0.14000000000000001</v>
      </c>
      <c r="DZ43" s="229">
        <v>-0.22950000000000001</v>
      </c>
      <c r="EA43" s="229">
        <v>0.1447</v>
      </c>
      <c r="EB43" s="230">
        <v>1229775</v>
      </c>
      <c r="EC43" s="229">
        <v>2.5000000000000001E-3</v>
      </c>
      <c r="ED43" s="229">
        <v>0.1447</v>
      </c>
      <c r="EE43" s="228">
        <v>4.04</v>
      </c>
      <c r="EF43" s="229">
        <v>2.5999999999999999E-3</v>
      </c>
      <c r="EG43" s="230">
        <v>379713</v>
      </c>
      <c r="EH43" s="230">
        <v>339326</v>
      </c>
      <c r="EI43" s="229">
        <v>0.11899999999999999</v>
      </c>
      <c r="EJ43" s="229">
        <v>0.37659999999999999</v>
      </c>
      <c r="EK43" s="231">
        <v>1163.4000000000001</v>
      </c>
      <c r="EL43" s="228">
        <v>523.5</v>
      </c>
      <c r="EM43" s="228">
        <v>254.63</v>
      </c>
      <c r="EN43" s="228">
        <v>0</v>
      </c>
      <c r="EO43" s="231">
        <v>1941.53</v>
      </c>
      <c r="EP43" s="231">
        <v>1755.12</v>
      </c>
      <c r="EQ43" s="228">
        <v>186.4</v>
      </c>
      <c r="ER43" s="229">
        <v>0.1062</v>
      </c>
      <c r="ES43" s="231">
        <v>1242.45</v>
      </c>
      <c r="ET43" s="228">
        <v>739</v>
      </c>
      <c r="EU43" s="231">
        <v>1499.44</v>
      </c>
      <c r="EV43" s="231">
        <v>35530000</v>
      </c>
      <c r="EW43" s="231">
        <v>3480.9</v>
      </c>
      <c r="EX43" s="231">
        <v>3376.29</v>
      </c>
      <c r="EY43" s="228">
        <v>104.61</v>
      </c>
      <c r="EZ43" s="229">
        <v>3.1E-2</v>
      </c>
      <c r="FA43" s="229">
        <v>0.61270000000000002</v>
      </c>
      <c r="FB43" s="227" t="s">
        <v>555</v>
      </c>
      <c r="FC43">
        <f t="shared" si="0"/>
        <v>217</v>
      </c>
    </row>
    <row r="44" spans="1:159" ht="17.25" thickBot="1" x14ac:dyDescent="0.3">
      <c r="A44" s="226">
        <v>45889</v>
      </c>
      <c r="B44" s="227" t="s">
        <v>161</v>
      </c>
      <c r="C44" s="227" t="s">
        <v>602</v>
      </c>
      <c r="D44" s="228">
        <v>3625</v>
      </c>
      <c r="E44" s="228">
        <v>8</v>
      </c>
      <c r="F44" s="228">
        <v>164.07</v>
      </c>
      <c r="G44" s="228">
        <v>165.34</v>
      </c>
      <c r="H44" s="228">
        <v>-1.27</v>
      </c>
      <c r="I44" s="229">
        <v>-7.7000000000000002E-3</v>
      </c>
      <c r="J44" s="228">
        <v>163.43</v>
      </c>
      <c r="K44" s="228">
        <v>164.63</v>
      </c>
      <c r="L44" s="228">
        <v>-1.2</v>
      </c>
      <c r="M44" s="229">
        <v>-7.3000000000000001E-3</v>
      </c>
      <c r="N44" s="228">
        <v>164.07</v>
      </c>
      <c r="O44" s="228">
        <v>165.34</v>
      </c>
      <c r="P44" s="228">
        <v>-1.27</v>
      </c>
      <c r="Q44" s="229">
        <v>-7.7000000000000002E-3</v>
      </c>
      <c r="R44" s="228">
        <v>0</v>
      </c>
      <c r="S44" s="228">
        <v>0</v>
      </c>
      <c r="T44" s="228">
        <v>0</v>
      </c>
      <c r="U44" s="229">
        <v>0</v>
      </c>
      <c r="V44" s="228">
        <v>0</v>
      </c>
      <c r="W44" s="228">
        <v>0</v>
      </c>
      <c r="X44" s="228">
        <v>0</v>
      </c>
      <c r="Y44" s="229">
        <v>0</v>
      </c>
      <c r="Z44" s="228">
        <v>0.64</v>
      </c>
      <c r="AA44" s="228">
        <v>0.71</v>
      </c>
      <c r="AB44" s="228">
        <v>-7.0000000000000007E-2</v>
      </c>
      <c r="AC44" s="229">
        <v>3.8999999999999998E-3</v>
      </c>
      <c r="AD44" s="228">
        <v>0.64</v>
      </c>
      <c r="AE44" s="228">
        <v>0.71</v>
      </c>
      <c r="AF44" s="228">
        <v>-7.0000000000000007E-2</v>
      </c>
      <c r="AG44" s="229">
        <v>3.8999999999999998E-3</v>
      </c>
      <c r="AH44" s="228">
        <v>0</v>
      </c>
      <c r="AI44" s="228">
        <v>0</v>
      </c>
      <c r="AJ44" s="228">
        <v>0</v>
      </c>
      <c r="AK44" s="229">
        <v>0</v>
      </c>
      <c r="AL44" s="228">
        <v>0</v>
      </c>
      <c r="AM44" s="228">
        <v>0</v>
      </c>
      <c r="AN44" s="228">
        <v>0</v>
      </c>
      <c r="AO44" s="229">
        <v>0</v>
      </c>
      <c r="AP44" s="228">
        <v>164.54</v>
      </c>
      <c r="AQ44" s="228">
        <v>0</v>
      </c>
      <c r="AR44" s="228">
        <v>0</v>
      </c>
      <c r="AS44" s="228">
        <v>22</v>
      </c>
      <c r="AT44" s="228">
        <v>31</v>
      </c>
      <c r="AU44" s="228">
        <v>-9</v>
      </c>
      <c r="AV44" s="229">
        <v>-0.30099999999999999</v>
      </c>
      <c r="AW44" s="228">
        <v>22</v>
      </c>
      <c r="AX44" s="228">
        <v>31</v>
      </c>
      <c r="AY44" s="228">
        <v>-9</v>
      </c>
      <c r="AZ44" s="229">
        <v>-0.30099999999999999</v>
      </c>
      <c r="BA44" s="228">
        <v>0</v>
      </c>
      <c r="BB44" s="228">
        <v>0</v>
      </c>
      <c r="BC44" s="228">
        <v>0</v>
      </c>
      <c r="BD44" s="229">
        <v>0</v>
      </c>
      <c r="BE44" s="228">
        <v>0</v>
      </c>
      <c r="BF44" s="228">
        <v>0</v>
      </c>
      <c r="BG44" s="228">
        <v>0</v>
      </c>
      <c r="BH44" s="229">
        <v>0</v>
      </c>
      <c r="BI44" s="228">
        <v>76</v>
      </c>
      <c r="BJ44" s="228">
        <v>74</v>
      </c>
      <c r="BK44" s="228">
        <v>3</v>
      </c>
      <c r="BL44" s="229">
        <v>3.4599999999999999E-2</v>
      </c>
      <c r="BM44" s="228">
        <v>19</v>
      </c>
      <c r="BN44" s="228">
        <v>18</v>
      </c>
      <c r="BO44" s="228">
        <v>0</v>
      </c>
      <c r="BP44" s="229">
        <v>1.6199999999999999E-2</v>
      </c>
      <c r="BQ44" s="228">
        <v>117</v>
      </c>
      <c r="BR44" s="228">
        <v>124</v>
      </c>
      <c r="BS44" s="228">
        <v>-7</v>
      </c>
      <c r="BT44" s="229">
        <v>-5.2999999999999999E-2</v>
      </c>
      <c r="BU44" s="230">
        <v>1372152</v>
      </c>
      <c r="BV44" s="230">
        <v>1939076</v>
      </c>
      <c r="BW44" s="230">
        <v>-566924</v>
      </c>
      <c r="BX44" s="229">
        <v>-0.29239999999999999</v>
      </c>
      <c r="BY44" s="228">
        <v>178</v>
      </c>
      <c r="BZ44" s="228">
        <v>176</v>
      </c>
      <c r="CA44" s="228">
        <v>1</v>
      </c>
      <c r="CB44" s="229">
        <v>8.3999999999999995E-3</v>
      </c>
      <c r="CC44" s="228">
        <v>178</v>
      </c>
      <c r="CD44" s="228">
        <v>176</v>
      </c>
      <c r="CE44" s="228">
        <v>1</v>
      </c>
      <c r="CF44" s="229">
        <v>8.3999999999999995E-3</v>
      </c>
      <c r="CG44" s="228">
        <v>0</v>
      </c>
      <c r="CH44" s="228">
        <v>0</v>
      </c>
      <c r="CI44" s="228">
        <v>0</v>
      </c>
      <c r="CJ44" s="229">
        <v>0</v>
      </c>
      <c r="CK44" s="228">
        <v>0</v>
      </c>
      <c r="CL44" s="228">
        <v>0</v>
      </c>
      <c r="CM44" s="228">
        <v>0</v>
      </c>
      <c r="CN44" s="229">
        <v>0</v>
      </c>
      <c r="CO44" s="228">
        <v>178</v>
      </c>
      <c r="CP44" s="228">
        <v>178</v>
      </c>
      <c r="CQ44" s="228">
        <v>0</v>
      </c>
      <c r="CR44" s="229">
        <v>-6.9999999999999999E-4</v>
      </c>
      <c r="CS44" s="228">
        <v>80</v>
      </c>
      <c r="CT44" s="228">
        <v>79</v>
      </c>
      <c r="CU44" s="228">
        <v>1</v>
      </c>
      <c r="CV44" s="229">
        <v>1.1299999999999999E-2</v>
      </c>
      <c r="CW44" s="228">
        <v>435</v>
      </c>
      <c r="CX44" s="228">
        <v>433</v>
      </c>
      <c r="CY44" s="228">
        <v>2</v>
      </c>
      <c r="CZ44" s="229">
        <v>5.1999999999999998E-3</v>
      </c>
      <c r="DA44" s="228">
        <v>32.33</v>
      </c>
      <c r="DB44" s="228">
        <v>31.63</v>
      </c>
      <c r="DC44" s="228">
        <v>0.7</v>
      </c>
      <c r="DD44" s="228">
        <v>0.7</v>
      </c>
      <c r="DE44" s="228">
        <v>42.47</v>
      </c>
      <c r="DF44" s="228">
        <v>42.57</v>
      </c>
      <c r="DG44" s="228">
        <v>-10.14</v>
      </c>
      <c r="DH44" s="228">
        <v>-0.1</v>
      </c>
      <c r="DI44" s="228">
        <v>33.340000000000003</v>
      </c>
      <c r="DJ44" s="228">
        <v>32.270000000000003</v>
      </c>
      <c r="DK44" s="228">
        <v>1.07</v>
      </c>
      <c r="DL44" s="228">
        <v>1.07</v>
      </c>
      <c r="DM44" s="228">
        <v>28.17</v>
      </c>
      <c r="DN44" s="228">
        <v>29.03</v>
      </c>
      <c r="DO44" s="228">
        <v>-0.86</v>
      </c>
      <c r="DP44" s="228">
        <v>-0.86</v>
      </c>
      <c r="DQ44" s="228">
        <v>0.45</v>
      </c>
      <c r="DR44" s="228">
        <v>0.44</v>
      </c>
      <c r="DS44" s="228">
        <v>0.01</v>
      </c>
      <c r="DT44" s="229">
        <v>2.2700000000000001E-2</v>
      </c>
      <c r="DU44" s="228">
        <v>180</v>
      </c>
      <c r="DV44" s="228">
        <v>160</v>
      </c>
      <c r="DW44" s="228">
        <v>0.24</v>
      </c>
      <c r="DX44" s="228">
        <v>0.25</v>
      </c>
      <c r="DY44" s="228">
        <v>-0.01</v>
      </c>
      <c r="DZ44" s="229">
        <v>-0.04</v>
      </c>
      <c r="EA44" s="229">
        <v>0</v>
      </c>
      <c r="EB44" s="228">
        <v>0</v>
      </c>
      <c r="EC44" s="229">
        <v>0</v>
      </c>
      <c r="ED44" s="229">
        <v>0</v>
      </c>
      <c r="EE44" s="228">
        <v>0</v>
      </c>
      <c r="EF44" s="229">
        <v>0</v>
      </c>
      <c r="EG44" s="230">
        <v>722594</v>
      </c>
      <c r="EH44" s="230">
        <v>1163472</v>
      </c>
      <c r="EI44" s="229">
        <v>-0.37890000000000001</v>
      </c>
      <c r="EJ44" s="229">
        <v>0.52659999999999996</v>
      </c>
      <c r="EK44" s="228">
        <v>80.84</v>
      </c>
      <c r="EL44" s="228">
        <v>18.850000000000001</v>
      </c>
      <c r="EM44" s="228">
        <v>21.89</v>
      </c>
      <c r="EN44" s="228">
        <v>0</v>
      </c>
      <c r="EO44" s="228">
        <v>121.58</v>
      </c>
      <c r="EP44" s="228">
        <v>128.44</v>
      </c>
      <c r="EQ44" s="228">
        <v>-6.86</v>
      </c>
      <c r="ER44" s="229">
        <v>-5.3400000000000003E-2</v>
      </c>
      <c r="ES44" s="228">
        <v>192.65</v>
      </c>
      <c r="ET44" s="228">
        <v>78.67</v>
      </c>
      <c r="EU44" s="228">
        <v>177.59</v>
      </c>
      <c r="EV44" s="231">
        <v>126959974</v>
      </c>
      <c r="EW44" s="228">
        <v>448.91</v>
      </c>
      <c r="EX44" s="228">
        <v>448.17</v>
      </c>
      <c r="EY44" s="228">
        <v>0.74</v>
      </c>
      <c r="EZ44" s="229">
        <v>1.6999999999999999E-3</v>
      </c>
      <c r="FA44" s="229">
        <v>0.20899999999999999</v>
      </c>
      <c r="FB44" s="227" t="s">
        <v>567</v>
      </c>
      <c r="FC44">
        <f t="shared" si="0"/>
        <v>0</v>
      </c>
    </row>
    <row r="45" spans="1:159" ht="17.25" thickBot="1" x14ac:dyDescent="0.3">
      <c r="A45" s="226">
        <v>45889</v>
      </c>
      <c r="B45" s="227" t="s">
        <v>161</v>
      </c>
      <c r="C45" s="227" t="s">
        <v>613</v>
      </c>
      <c r="D45" s="228">
        <v>850</v>
      </c>
      <c r="E45" s="228">
        <v>8</v>
      </c>
      <c r="F45" s="228">
        <v>675.5</v>
      </c>
      <c r="G45" s="228">
        <v>677.5</v>
      </c>
      <c r="H45" s="228">
        <v>-2</v>
      </c>
      <c r="I45" s="229">
        <v>-3.0000000000000001E-3</v>
      </c>
      <c r="J45" s="228">
        <v>674.25</v>
      </c>
      <c r="K45" s="228">
        <v>676.8</v>
      </c>
      <c r="L45" s="228">
        <v>-2.5499999999999998</v>
      </c>
      <c r="M45" s="229">
        <v>-3.8E-3</v>
      </c>
      <c r="N45" s="228">
        <v>675.5</v>
      </c>
      <c r="O45" s="228">
        <v>677.5</v>
      </c>
      <c r="P45" s="228">
        <v>-2</v>
      </c>
      <c r="Q45" s="229">
        <v>-3.0000000000000001E-3</v>
      </c>
      <c r="R45" s="228">
        <v>679.55</v>
      </c>
      <c r="S45" s="228">
        <v>681.55</v>
      </c>
      <c r="T45" s="228">
        <v>-2</v>
      </c>
      <c r="U45" s="229">
        <v>-2.8999999999999998E-3</v>
      </c>
      <c r="V45" s="228">
        <v>682.5</v>
      </c>
      <c r="W45" s="228">
        <v>684.75</v>
      </c>
      <c r="X45" s="228">
        <v>-2.25</v>
      </c>
      <c r="Y45" s="229">
        <v>-3.3E-3</v>
      </c>
      <c r="Z45" s="228">
        <v>1.25</v>
      </c>
      <c r="AA45" s="228">
        <v>0.7</v>
      </c>
      <c r="AB45" s="228">
        <v>0.55000000000000004</v>
      </c>
      <c r="AC45" s="229">
        <v>1.9E-3</v>
      </c>
      <c r="AD45" s="228">
        <v>1.25</v>
      </c>
      <c r="AE45" s="228">
        <v>0.7</v>
      </c>
      <c r="AF45" s="228">
        <v>0.55000000000000004</v>
      </c>
      <c r="AG45" s="229">
        <v>1.9E-3</v>
      </c>
      <c r="AH45" s="228">
        <v>5.3</v>
      </c>
      <c r="AI45" s="228">
        <v>4.75</v>
      </c>
      <c r="AJ45" s="228">
        <v>0.55000000000000004</v>
      </c>
      <c r="AK45" s="229">
        <v>7.9000000000000008E-3</v>
      </c>
      <c r="AL45" s="228">
        <v>8.25</v>
      </c>
      <c r="AM45" s="228">
        <v>7.95</v>
      </c>
      <c r="AN45" s="228">
        <v>0.3</v>
      </c>
      <c r="AO45" s="229">
        <v>1.2200000000000001E-2</v>
      </c>
      <c r="AP45" s="228">
        <v>678.1</v>
      </c>
      <c r="AQ45" s="228">
        <v>681.8</v>
      </c>
      <c r="AR45" s="228">
        <v>0</v>
      </c>
      <c r="AS45" s="228">
        <v>104</v>
      </c>
      <c r="AT45" s="228">
        <v>99</v>
      </c>
      <c r="AU45" s="228">
        <v>5</v>
      </c>
      <c r="AV45" s="229">
        <v>5.0999999999999997E-2</v>
      </c>
      <c r="AW45" s="228">
        <v>80</v>
      </c>
      <c r="AX45" s="228">
        <v>87</v>
      </c>
      <c r="AY45" s="228">
        <v>-7</v>
      </c>
      <c r="AZ45" s="229">
        <v>-8.4599999999999995E-2</v>
      </c>
      <c r="BA45" s="228">
        <v>24</v>
      </c>
      <c r="BB45" s="228">
        <v>11</v>
      </c>
      <c r="BC45" s="228">
        <v>13</v>
      </c>
      <c r="BD45" s="229">
        <v>1.1005</v>
      </c>
      <c r="BE45" s="228">
        <v>1</v>
      </c>
      <c r="BF45" s="228">
        <v>1</v>
      </c>
      <c r="BG45" s="228">
        <v>0</v>
      </c>
      <c r="BH45" s="229">
        <v>-0.2</v>
      </c>
      <c r="BI45" s="228">
        <v>212</v>
      </c>
      <c r="BJ45" s="228">
        <v>281</v>
      </c>
      <c r="BK45" s="228">
        <v>-69</v>
      </c>
      <c r="BL45" s="229">
        <v>-0.24690000000000001</v>
      </c>
      <c r="BM45" s="228">
        <v>48</v>
      </c>
      <c r="BN45" s="228">
        <v>71</v>
      </c>
      <c r="BO45" s="228">
        <v>-24</v>
      </c>
      <c r="BP45" s="229">
        <v>-0.33229999999999998</v>
      </c>
      <c r="BQ45" s="228">
        <v>364</v>
      </c>
      <c r="BR45" s="228">
        <v>452</v>
      </c>
      <c r="BS45" s="228">
        <v>-88</v>
      </c>
      <c r="BT45" s="229">
        <v>-0.19500000000000001</v>
      </c>
      <c r="BU45" s="230">
        <v>1434319</v>
      </c>
      <c r="BV45" s="230">
        <v>1457888</v>
      </c>
      <c r="BW45" s="230">
        <v>-23569</v>
      </c>
      <c r="BX45" s="229">
        <v>-1.6199999999999999E-2</v>
      </c>
      <c r="BY45" s="230">
        <v>1142</v>
      </c>
      <c r="BZ45" s="230">
        <v>1136</v>
      </c>
      <c r="CA45" s="228">
        <v>7</v>
      </c>
      <c r="CB45" s="229">
        <v>5.7999999999999996E-3</v>
      </c>
      <c r="CC45" s="230">
        <v>1104</v>
      </c>
      <c r="CD45" s="230">
        <v>1111</v>
      </c>
      <c r="CE45" s="228">
        <v>-7</v>
      </c>
      <c r="CF45" s="229">
        <v>-6.7000000000000002E-3</v>
      </c>
      <c r="CG45" s="228">
        <v>34</v>
      </c>
      <c r="CH45" s="228">
        <v>20</v>
      </c>
      <c r="CI45" s="228">
        <v>14</v>
      </c>
      <c r="CJ45" s="229">
        <v>0.69320000000000004</v>
      </c>
      <c r="CK45" s="228">
        <v>4</v>
      </c>
      <c r="CL45" s="228">
        <v>4</v>
      </c>
      <c r="CM45" s="228">
        <v>0</v>
      </c>
      <c r="CN45" s="229">
        <v>1.41E-2</v>
      </c>
      <c r="CO45" s="228">
        <v>280</v>
      </c>
      <c r="CP45" s="228">
        <v>274</v>
      </c>
      <c r="CQ45" s="228">
        <v>6</v>
      </c>
      <c r="CR45" s="229">
        <v>2.01E-2</v>
      </c>
      <c r="CS45" s="228">
        <v>159</v>
      </c>
      <c r="CT45" s="228">
        <v>159</v>
      </c>
      <c r="CU45" s="228">
        <v>0</v>
      </c>
      <c r="CV45" s="229">
        <v>-4.0000000000000002E-4</v>
      </c>
      <c r="CW45" s="230">
        <v>1581</v>
      </c>
      <c r="CX45" s="230">
        <v>1569</v>
      </c>
      <c r="CY45" s="228">
        <v>12</v>
      </c>
      <c r="CZ45" s="229">
        <v>7.7000000000000002E-3</v>
      </c>
      <c r="DA45" s="228">
        <v>26.21</v>
      </c>
      <c r="DB45" s="228">
        <v>26.71</v>
      </c>
      <c r="DC45" s="228">
        <v>-0.5</v>
      </c>
      <c r="DD45" s="228">
        <v>-0.5</v>
      </c>
      <c r="DE45" s="228">
        <v>43.86</v>
      </c>
      <c r="DF45" s="228">
        <v>43.97</v>
      </c>
      <c r="DG45" s="228">
        <v>-17.649999999999999</v>
      </c>
      <c r="DH45" s="228">
        <v>-0.11</v>
      </c>
      <c r="DI45" s="228">
        <v>26.23</v>
      </c>
      <c r="DJ45" s="228">
        <v>26.56</v>
      </c>
      <c r="DK45" s="228">
        <v>-0.33</v>
      </c>
      <c r="DL45" s="228">
        <v>-0.33</v>
      </c>
      <c r="DM45" s="228">
        <v>26.12</v>
      </c>
      <c r="DN45" s="228">
        <v>27.28</v>
      </c>
      <c r="DO45" s="228">
        <v>-1.1599999999999999</v>
      </c>
      <c r="DP45" s="228">
        <v>-1.1599999999999999</v>
      </c>
      <c r="DQ45" s="228">
        <v>0.56999999999999995</v>
      </c>
      <c r="DR45" s="228">
        <v>0.57999999999999996</v>
      </c>
      <c r="DS45" s="228">
        <v>-0.01</v>
      </c>
      <c r="DT45" s="229">
        <v>-1.72E-2</v>
      </c>
      <c r="DU45" s="228">
        <v>700</v>
      </c>
      <c r="DV45" s="228">
        <v>680</v>
      </c>
      <c r="DW45" s="228">
        <v>0.22</v>
      </c>
      <c r="DX45" s="228">
        <v>0.25</v>
      </c>
      <c r="DY45" s="228">
        <v>-0.03</v>
      </c>
      <c r="DZ45" s="229">
        <v>-0.12</v>
      </c>
      <c r="EA45" s="229">
        <v>3.3599999999999998E-2</v>
      </c>
      <c r="EB45" s="230">
        <v>359550</v>
      </c>
      <c r="EC45" s="229">
        <v>6.0000000000000001E-3</v>
      </c>
      <c r="ED45" s="229">
        <v>3.3599999999999998E-2</v>
      </c>
      <c r="EE45" s="228">
        <v>3.7</v>
      </c>
      <c r="EF45" s="229">
        <v>5.4999999999999997E-3</v>
      </c>
      <c r="EG45" s="230">
        <v>797227</v>
      </c>
      <c r="EH45" s="230">
        <v>746448</v>
      </c>
      <c r="EI45" s="229">
        <v>6.8000000000000005E-2</v>
      </c>
      <c r="EJ45" s="229">
        <v>0.55579999999999996</v>
      </c>
      <c r="EK45" s="228">
        <v>218.78</v>
      </c>
      <c r="EL45" s="228">
        <v>47.16</v>
      </c>
      <c r="EM45" s="228">
        <v>104.75</v>
      </c>
      <c r="EN45" s="228">
        <v>0</v>
      </c>
      <c r="EO45" s="228">
        <v>370.69</v>
      </c>
      <c r="EP45" s="228">
        <v>458.8</v>
      </c>
      <c r="EQ45" s="228">
        <v>-88.11</v>
      </c>
      <c r="ER45" s="229">
        <v>-0.192</v>
      </c>
      <c r="ES45" s="228">
        <v>287.24</v>
      </c>
      <c r="ET45" s="228">
        <v>153.84</v>
      </c>
      <c r="EU45" s="231">
        <v>1142.51</v>
      </c>
      <c r="EV45" s="231">
        <v>137376663</v>
      </c>
      <c r="EW45" s="231">
        <v>1583.59</v>
      </c>
      <c r="EX45" s="231">
        <v>1574.64</v>
      </c>
      <c r="EY45" s="228">
        <v>8.9499999999999993</v>
      </c>
      <c r="EZ45" s="229">
        <v>5.7000000000000002E-3</v>
      </c>
      <c r="FA45" s="229">
        <v>0.1704</v>
      </c>
      <c r="FB45" s="227" t="s">
        <v>567</v>
      </c>
      <c r="FC45">
        <f t="shared" si="0"/>
        <v>38</v>
      </c>
    </row>
    <row r="46" spans="1:159" ht="17.25" thickBot="1" x14ac:dyDescent="0.3">
      <c r="A46" s="226">
        <v>45889</v>
      </c>
      <c r="B46" s="227" t="s">
        <v>175</v>
      </c>
      <c r="C46" s="227" t="s">
        <v>198</v>
      </c>
      <c r="D46" s="228">
        <v>625</v>
      </c>
      <c r="E46" s="228">
        <v>8</v>
      </c>
      <c r="F46" s="231">
        <v>1522.9</v>
      </c>
      <c r="G46" s="231">
        <v>1528</v>
      </c>
      <c r="H46" s="228">
        <v>-5.0999999999999996</v>
      </c>
      <c r="I46" s="229">
        <v>-3.3E-3</v>
      </c>
      <c r="J46" s="231">
        <v>1522.9</v>
      </c>
      <c r="K46" s="231">
        <v>1527.9</v>
      </c>
      <c r="L46" s="228">
        <v>-5</v>
      </c>
      <c r="M46" s="229">
        <v>-3.3E-3</v>
      </c>
      <c r="N46" s="231">
        <v>1522.9</v>
      </c>
      <c r="O46" s="231">
        <v>1528</v>
      </c>
      <c r="P46" s="228">
        <v>-5.0999999999999996</v>
      </c>
      <c r="Q46" s="229">
        <v>-3.3E-3</v>
      </c>
      <c r="R46" s="231">
        <v>1524.9</v>
      </c>
      <c r="S46" s="231">
        <v>1531.1</v>
      </c>
      <c r="T46" s="228">
        <v>-6.2</v>
      </c>
      <c r="U46" s="229">
        <v>-4.0000000000000001E-3</v>
      </c>
      <c r="V46" s="231">
        <v>1527</v>
      </c>
      <c r="W46" s="231">
        <v>1533.2</v>
      </c>
      <c r="X46" s="228">
        <v>-6.2</v>
      </c>
      <c r="Y46" s="229">
        <v>-4.0000000000000001E-3</v>
      </c>
      <c r="Z46" s="228">
        <v>0</v>
      </c>
      <c r="AA46" s="228">
        <v>0.1</v>
      </c>
      <c r="AB46" s="228">
        <v>-0.1</v>
      </c>
      <c r="AC46" s="229">
        <v>0</v>
      </c>
      <c r="AD46" s="228">
        <v>0</v>
      </c>
      <c r="AE46" s="228">
        <v>0.1</v>
      </c>
      <c r="AF46" s="228">
        <v>-0.1</v>
      </c>
      <c r="AG46" s="229">
        <v>0</v>
      </c>
      <c r="AH46" s="228">
        <v>2</v>
      </c>
      <c r="AI46" s="228">
        <v>3.2</v>
      </c>
      <c r="AJ46" s="228">
        <v>-1.2</v>
      </c>
      <c r="AK46" s="229">
        <v>1.2999999999999999E-3</v>
      </c>
      <c r="AL46" s="228">
        <v>4.0999999999999996</v>
      </c>
      <c r="AM46" s="228">
        <v>5.3</v>
      </c>
      <c r="AN46" s="228">
        <v>-1.2</v>
      </c>
      <c r="AO46" s="229">
        <v>2.7000000000000001E-3</v>
      </c>
      <c r="AP46" s="231">
        <v>1525.62</v>
      </c>
      <c r="AQ46" s="231">
        <v>1528.27</v>
      </c>
      <c r="AR46" s="228">
        <v>0</v>
      </c>
      <c r="AS46" s="228">
        <v>277</v>
      </c>
      <c r="AT46" s="228">
        <v>250</v>
      </c>
      <c r="AU46" s="228">
        <v>27</v>
      </c>
      <c r="AV46" s="229">
        <v>0.1079</v>
      </c>
      <c r="AW46" s="228">
        <v>206</v>
      </c>
      <c r="AX46" s="228">
        <v>213</v>
      </c>
      <c r="AY46" s="228">
        <v>-6</v>
      </c>
      <c r="AZ46" s="229">
        <v>-3.04E-2</v>
      </c>
      <c r="BA46" s="228">
        <v>70</v>
      </c>
      <c r="BB46" s="228">
        <v>36</v>
      </c>
      <c r="BC46" s="228">
        <v>35</v>
      </c>
      <c r="BD46" s="229">
        <v>0.97330000000000005</v>
      </c>
      <c r="BE46" s="228">
        <v>1</v>
      </c>
      <c r="BF46" s="228">
        <v>2</v>
      </c>
      <c r="BG46" s="228">
        <v>-1</v>
      </c>
      <c r="BH46" s="229">
        <v>-0.57140000000000002</v>
      </c>
      <c r="BI46" s="228">
        <v>580</v>
      </c>
      <c r="BJ46" s="228">
        <v>499</v>
      </c>
      <c r="BK46" s="228">
        <v>81</v>
      </c>
      <c r="BL46" s="229">
        <v>0.16220000000000001</v>
      </c>
      <c r="BM46" s="228">
        <v>441</v>
      </c>
      <c r="BN46" s="228">
        <v>434</v>
      </c>
      <c r="BO46" s="228">
        <v>7</v>
      </c>
      <c r="BP46" s="229">
        <v>1.5299999999999999E-2</v>
      </c>
      <c r="BQ46" s="230">
        <v>1298</v>
      </c>
      <c r="BR46" s="230">
        <v>1183</v>
      </c>
      <c r="BS46" s="228">
        <v>115</v>
      </c>
      <c r="BT46" s="229">
        <v>9.6799999999999997E-2</v>
      </c>
      <c r="BU46" s="230">
        <v>1291721</v>
      </c>
      <c r="BV46" s="230">
        <v>965036</v>
      </c>
      <c r="BW46" s="230">
        <v>326685</v>
      </c>
      <c r="BX46" s="229">
        <v>0.33850000000000002</v>
      </c>
      <c r="BY46" s="230">
        <v>1764</v>
      </c>
      <c r="BZ46" s="230">
        <v>1753</v>
      </c>
      <c r="CA46" s="228">
        <v>11</v>
      </c>
      <c r="CB46" s="229">
        <v>6.4000000000000003E-3</v>
      </c>
      <c r="CC46" s="230">
        <v>1648</v>
      </c>
      <c r="CD46" s="230">
        <v>1668</v>
      </c>
      <c r="CE46" s="228">
        <v>-20</v>
      </c>
      <c r="CF46" s="229">
        <v>-1.2E-2</v>
      </c>
      <c r="CG46" s="228">
        <v>113</v>
      </c>
      <c r="CH46" s="228">
        <v>82</v>
      </c>
      <c r="CI46" s="228">
        <v>31</v>
      </c>
      <c r="CJ46" s="229">
        <v>0.37859999999999999</v>
      </c>
      <c r="CK46" s="228">
        <v>3</v>
      </c>
      <c r="CL46" s="228">
        <v>2</v>
      </c>
      <c r="CM46" s="228">
        <v>0</v>
      </c>
      <c r="CN46" s="229">
        <v>7.6899999999999996E-2</v>
      </c>
      <c r="CO46" s="228">
        <v>396</v>
      </c>
      <c r="CP46" s="228">
        <v>391</v>
      </c>
      <c r="CQ46" s="228">
        <v>6</v>
      </c>
      <c r="CR46" s="229">
        <v>1.41E-2</v>
      </c>
      <c r="CS46" s="228">
        <v>397</v>
      </c>
      <c r="CT46" s="228">
        <v>389</v>
      </c>
      <c r="CU46" s="228">
        <v>8</v>
      </c>
      <c r="CV46" s="229">
        <v>1.9599999999999999E-2</v>
      </c>
      <c r="CW46" s="230">
        <v>2557</v>
      </c>
      <c r="CX46" s="230">
        <v>2533</v>
      </c>
      <c r="CY46" s="228">
        <v>24</v>
      </c>
      <c r="CZ46" s="229">
        <v>9.5999999999999992E-3</v>
      </c>
      <c r="DA46" s="228">
        <v>25.97</v>
      </c>
      <c r="DB46" s="228">
        <v>25.93</v>
      </c>
      <c r="DC46" s="228">
        <v>0.04</v>
      </c>
      <c r="DD46" s="228">
        <v>0.04</v>
      </c>
      <c r="DE46" s="228">
        <v>40.03</v>
      </c>
      <c r="DF46" s="228">
        <v>40.130000000000003</v>
      </c>
      <c r="DG46" s="228">
        <v>-14.06</v>
      </c>
      <c r="DH46" s="228">
        <v>-0.1</v>
      </c>
      <c r="DI46" s="228">
        <v>25.25</v>
      </c>
      <c r="DJ46" s="228">
        <v>24.18</v>
      </c>
      <c r="DK46" s="228">
        <v>1.07</v>
      </c>
      <c r="DL46" s="228">
        <v>1.07</v>
      </c>
      <c r="DM46" s="228">
        <v>26.91</v>
      </c>
      <c r="DN46" s="228">
        <v>27.94</v>
      </c>
      <c r="DO46" s="228">
        <v>-1.03</v>
      </c>
      <c r="DP46" s="228">
        <v>-1.03</v>
      </c>
      <c r="DQ46" s="228">
        <v>1</v>
      </c>
      <c r="DR46" s="228">
        <v>1</v>
      </c>
      <c r="DS46" s="228">
        <v>0</v>
      </c>
      <c r="DT46" s="229">
        <v>0</v>
      </c>
      <c r="DU46" s="231">
        <v>1600</v>
      </c>
      <c r="DV46" s="231">
        <v>1440</v>
      </c>
      <c r="DW46" s="228">
        <v>0.76</v>
      </c>
      <c r="DX46" s="228">
        <v>0.87</v>
      </c>
      <c r="DY46" s="228">
        <v>-0.11</v>
      </c>
      <c r="DZ46" s="229">
        <v>-0.12640000000000001</v>
      </c>
      <c r="EA46" s="229">
        <v>6.5600000000000006E-2</v>
      </c>
      <c r="EB46" s="230">
        <v>554375</v>
      </c>
      <c r="EC46" s="229">
        <v>1.2999999999999999E-3</v>
      </c>
      <c r="ED46" s="229">
        <v>6.5600000000000006E-2</v>
      </c>
      <c r="EE46" s="228">
        <v>2.65</v>
      </c>
      <c r="EF46" s="229">
        <v>1.6999999999999999E-3</v>
      </c>
      <c r="EG46" s="230">
        <v>936494</v>
      </c>
      <c r="EH46" s="230">
        <v>611717</v>
      </c>
      <c r="EI46" s="229">
        <v>0.53090000000000004</v>
      </c>
      <c r="EJ46" s="229">
        <v>0.72499999999999998</v>
      </c>
      <c r="EK46" s="228">
        <v>596.21</v>
      </c>
      <c r="EL46" s="228">
        <v>431.39</v>
      </c>
      <c r="EM46" s="228">
        <v>278.07</v>
      </c>
      <c r="EN46" s="228">
        <v>0</v>
      </c>
      <c r="EO46" s="231">
        <v>1305.68</v>
      </c>
      <c r="EP46" s="231">
        <v>1184.74</v>
      </c>
      <c r="EQ46" s="228">
        <v>120.94</v>
      </c>
      <c r="ER46" s="229">
        <v>0.1021</v>
      </c>
      <c r="ES46" s="228">
        <v>406.02</v>
      </c>
      <c r="ET46" s="228">
        <v>373.59</v>
      </c>
      <c r="EU46" s="231">
        <v>1764.15</v>
      </c>
      <c r="EV46" s="231">
        <v>84283024</v>
      </c>
      <c r="EW46" s="231">
        <v>2543.7600000000002</v>
      </c>
      <c r="EX46" s="231">
        <v>2525.34</v>
      </c>
      <c r="EY46" s="228">
        <v>18.420000000000002</v>
      </c>
      <c r="EZ46" s="229">
        <v>7.3000000000000001E-3</v>
      </c>
      <c r="FA46" s="229">
        <v>0.19919999999999999</v>
      </c>
      <c r="FB46" s="227" t="s">
        <v>567</v>
      </c>
      <c r="FC46">
        <f t="shared" si="0"/>
        <v>116</v>
      </c>
    </row>
    <row r="47" spans="1:159" ht="17.25" thickBot="1" x14ac:dyDescent="0.3">
      <c r="A47" s="226">
        <v>45889</v>
      </c>
      <c r="B47" s="227" t="s">
        <v>170</v>
      </c>
      <c r="C47" s="227" t="s">
        <v>199</v>
      </c>
      <c r="D47" s="228">
        <v>375</v>
      </c>
      <c r="E47" s="228">
        <v>8</v>
      </c>
      <c r="F47" s="231">
        <v>1549.4</v>
      </c>
      <c r="G47" s="231">
        <v>1553</v>
      </c>
      <c r="H47" s="228">
        <v>-3.6</v>
      </c>
      <c r="I47" s="229">
        <v>-2.3E-3</v>
      </c>
      <c r="J47" s="231">
        <v>1546.1</v>
      </c>
      <c r="K47" s="231">
        <v>1548.9</v>
      </c>
      <c r="L47" s="228">
        <v>-2.8</v>
      </c>
      <c r="M47" s="229">
        <v>-1.8E-3</v>
      </c>
      <c r="N47" s="231">
        <v>1549.4</v>
      </c>
      <c r="O47" s="231">
        <v>1553</v>
      </c>
      <c r="P47" s="228">
        <v>-3.6</v>
      </c>
      <c r="Q47" s="229">
        <v>-2.3E-3</v>
      </c>
      <c r="R47" s="231">
        <v>1558.2</v>
      </c>
      <c r="S47" s="231">
        <v>1561.8</v>
      </c>
      <c r="T47" s="228">
        <v>-3.6</v>
      </c>
      <c r="U47" s="229">
        <v>-2.3E-3</v>
      </c>
      <c r="V47" s="231">
        <v>1565.5</v>
      </c>
      <c r="W47" s="231">
        <v>1568.9</v>
      </c>
      <c r="X47" s="228">
        <v>-3.4</v>
      </c>
      <c r="Y47" s="229">
        <v>-2.2000000000000001E-3</v>
      </c>
      <c r="Z47" s="228">
        <v>3.3</v>
      </c>
      <c r="AA47" s="228">
        <v>4.0999999999999996</v>
      </c>
      <c r="AB47" s="228">
        <v>-0.8</v>
      </c>
      <c r="AC47" s="229">
        <v>2.0999999999999999E-3</v>
      </c>
      <c r="AD47" s="228">
        <v>3.3</v>
      </c>
      <c r="AE47" s="228">
        <v>4.0999999999999996</v>
      </c>
      <c r="AF47" s="228">
        <v>-0.8</v>
      </c>
      <c r="AG47" s="229">
        <v>2.0999999999999999E-3</v>
      </c>
      <c r="AH47" s="228">
        <v>12.1</v>
      </c>
      <c r="AI47" s="228">
        <v>12.9</v>
      </c>
      <c r="AJ47" s="228">
        <v>-0.8</v>
      </c>
      <c r="AK47" s="229">
        <v>7.7999999999999996E-3</v>
      </c>
      <c r="AL47" s="228">
        <v>19.399999999999999</v>
      </c>
      <c r="AM47" s="228">
        <v>20</v>
      </c>
      <c r="AN47" s="228">
        <v>-0.6</v>
      </c>
      <c r="AO47" s="229">
        <v>1.2500000000000001E-2</v>
      </c>
      <c r="AP47" s="231">
        <v>1547.03</v>
      </c>
      <c r="AQ47" s="231">
        <v>1559.23</v>
      </c>
      <c r="AR47" s="228">
        <v>0</v>
      </c>
      <c r="AS47" s="228">
        <v>160</v>
      </c>
      <c r="AT47" s="228">
        <v>132</v>
      </c>
      <c r="AU47" s="228">
        <v>27</v>
      </c>
      <c r="AV47" s="229">
        <v>0.20780000000000001</v>
      </c>
      <c r="AW47" s="228">
        <v>131</v>
      </c>
      <c r="AX47" s="228">
        <v>112</v>
      </c>
      <c r="AY47" s="228">
        <v>18</v>
      </c>
      <c r="AZ47" s="229">
        <v>0.1636</v>
      </c>
      <c r="BA47" s="228">
        <v>29</v>
      </c>
      <c r="BB47" s="228">
        <v>19</v>
      </c>
      <c r="BC47" s="228">
        <v>9</v>
      </c>
      <c r="BD47" s="229">
        <v>0.49540000000000001</v>
      </c>
      <c r="BE47" s="228">
        <v>1</v>
      </c>
      <c r="BF47" s="228">
        <v>1</v>
      </c>
      <c r="BG47" s="228">
        <v>0</v>
      </c>
      <c r="BH47" s="229">
        <v>-0.375</v>
      </c>
      <c r="BI47" s="228">
        <v>642</v>
      </c>
      <c r="BJ47" s="228">
        <v>408</v>
      </c>
      <c r="BK47" s="228">
        <v>234</v>
      </c>
      <c r="BL47" s="229">
        <v>0.57279999999999998</v>
      </c>
      <c r="BM47" s="228">
        <v>564</v>
      </c>
      <c r="BN47" s="228">
        <v>384</v>
      </c>
      <c r="BO47" s="228">
        <v>180</v>
      </c>
      <c r="BP47" s="229">
        <v>0.46750000000000003</v>
      </c>
      <c r="BQ47" s="230">
        <v>1365</v>
      </c>
      <c r="BR47" s="228">
        <v>924</v>
      </c>
      <c r="BS47" s="228">
        <v>441</v>
      </c>
      <c r="BT47" s="229">
        <v>0.4768</v>
      </c>
      <c r="BU47" s="230">
        <v>956060</v>
      </c>
      <c r="BV47" s="230">
        <v>952899</v>
      </c>
      <c r="BW47" s="230">
        <v>3161</v>
      </c>
      <c r="BX47" s="229">
        <v>3.3E-3</v>
      </c>
      <c r="BY47" s="230">
        <v>1675</v>
      </c>
      <c r="BZ47" s="230">
        <v>1670</v>
      </c>
      <c r="CA47" s="228">
        <v>5</v>
      </c>
      <c r="CB47" s="229">
        <v>3.0999999999999999E-3</v>
      </c>
      <c r="CC47" s="230">
        <v>1598</v>
      </c>
      <c r="CD47" s="230">
        <v>1613</v>
      </c>
      <c r="CE47" s="228">
        <v>-15</v>
      </c>
      <c r="CF47" s="229">
        <v>-9.1000000000000004E-3</v>
      </c>
      <c r="CG47" s="228">
        <v>74</v>
      </c>
      <c r="CH47" s="228">
        <v>55</v>
      </c>
      <c r="CI47" s="228">
        <v>19</v>
      </c>
      <c r="CJ47" s="229">
        <v>0.35410000000000003</v>
      </c>
      <c r="CK47" s="228">
        <v>2</v>
      </c>
      <c r="CL47" s="228">
        <v>2</v>
      </c>
      <c r="CM47" s="228">
        <v>0</v>
      </c>
      <c r="CN47" s="229">
        <v>0.2069</v>
      </c>
      <c r="CO47" s="228">
        <v>654</v>
      </c>
      <c r="CP47" s="228">
        <v>663</v>
      </c>
      <c r="CQ47" s="228">
        <v>-9</v>
      </c>
      <c r="CR47" s="229">
        <v>-1.38E-2</v>
      </c>
      <c r="CS47" s="228">
        <v>509</v>
      </c>
      <c r="CT47" s="228">
        <v>507</v>
      </c>
      <c r="CU47" s="228">
        <v>3</v>
      </c>
      <c r="CV47" s="229">
        <v>5.0000000000000001E-3</v>
      </c>
      <c r="CW47" s="230">
        <v>2838</v>
      </c>
      <c r="CX47" s="230">
        <v>2839</v>
      </c>
      <c r="CY47" s="228">
        <v>-1</v>
      </c>
      <c r="CZ47" s="229">
        <v>-5.0000000000000001E-4</v>
      </c>
      <c r="DA47" s="228">
        <v>21.02</v>
      </c>
      <c r="DB47" s="228">
        <v>20.56</v>
      </c>
      <c r="DC47" s="228">
        <v>0.46</v>
      </c>
      <c r="DD47" s="228">
        <v>0.46</v>
      </c>
      <c r="DE47" s="228">
        <v>27.2</v>
      </c>
      <c r="DF47" s="228">
        <v>27.27</v>
      </c>
      <c r="DG47" s="228">
        <v>-6.18</v>
      </c>
      <c r="DH47" s="228">
        <v>-7.0000000000000007E-2</v>
      </c>
      <c r="DI47" s="228">
        <v>20.07</v>
      </c>
      <c r="DJ47" s="228">
        <v>19.22</v>
      </c>
      <c r="DK47" s="228">
        <v>0.85</v>
      </c>
      <c r="DL47" s="228">
        <v>0.85</v>
      </c>
      <c r="DM47" s="228">
        <v>22.11</v>
      </c>
      <c r="DN47" s="228">
        <v>21.97</v>
      </c>
      <c r="DO47" s="228">
        <v>0.14000000000000001</v>
      </c>
      <c r="DP47" s="228">
        <v>0.14000000000000001</v>
      </c>
      <c r="DQ47" s="228">
        <v>0.78</v>
      </c>
      <c r="DR47" s="228">
        <v>0.76</v>
      </c>
      <c r="DS47" s="228">
        <v>0.02</v>
      </c>
      <c r="DT47" s="229">
        <v>2.63E-2</v>
      </c>
      <c r="DU47" s="231">
        <v>1600</v>
      </c>
      <c r="DV47" s="231">
        <v>1340</v>
      </c>
      <c r="DW47" s="228">
        <v>0.88</v>
      </c>
      <c r="DX47" s="228">
        <v>0.94</v>
      </c>
      <c r="DY47" s="228">
        <v>-0.06</v>
      </c>
      <c r="DZ47" s="229">
        <v>-6.3799999999999996E-2</v>
      </c>
      <c r="EA47" s="229">
        <v>4.5699999999999998E-2</v>
      </c>
      <c r="EB47" s="230">
        <v>365625</v>
      </c>
      <c r="EC47" s="229">
        <v>5.7000000000000002E-3</v>
      </c>
      <c r="ED47" s="229">
        <v>4.5699999999999998E-2</v>
      </c>
      <c r="EE47" s="228">
        <v>12.2</v>
      </c>
      <c r="EF47" s="229">
        <v>7.9000000000000008E-3</v>
      </c>
      <c r="EG47" s="230">
        <v>448185</v>
      </c>
      <c r="EH47" s="230">
        <v>488482</v>
      </c>
      <c r="EI47" s="229">
        <v>-8.2500000000000004E-2</v>
      </c>
      <c r="EJ47" s="229">
        <v>0.46879999999999999</v>
      </c>
      <c r="EK47" s="228">
        <v>658.04</v>
      </c>
      <c r="EL47" s="228">
        <v>555.88</v>
      </c>
      <c r="EM47" s="228">
        <v>159.71</v>
      </c>
      <c r="EN47" s="228">
        <v>0</v>
      </c>
      <c r="EO47" s="231">
        <v>1373.63</v>
      </c>
      <c r="EP47" s="228">
        <v>937.1</v>
      </c>
      <c r="EQ47" s="228">
        <v>436.53</v>
      </c>
      <c r="ER47" s="229">
        <v>0.46579999999999999</v>
      </c>
      <c r="ES47" s="228">
        <v>677.62</v>
      </c>
      <c r="ET47" s="228">
        <v>473.43</v>
      </c>
      <c r="EU47" s="231">
        <v>1675.31</v>
      </c>
      <c r="EV47" s="231">
        <v>114147881</v>
      </c>
      <c r="EW47" s="231">
        <v>2826.36</v>
      </c>
      <c r="EX47" s="231">
        <v>2830.53</v>
      </c>
      <c r="EY47" s="228">
        <v>-4.17</v>
      </c>
      <c r="EZ47" s="229">
        <v>-1.5E-3</v>
      </c>
      <c r="FA47" s="229">
        <v>0.1605</v>
      </c>
      <c r="FB47" s="227" t="s">
        <v>567</v>
      </c>
      <c r="FC47">
        <f t="shared" si="0"/>
        <v>77</v>
      </c>
    </row>
    <row r="48" spans="1:159" ht="17.25" thickBot="1" x14ac:dyDescent="0.3">
      <c r="A48" s="226">
        <v>45889</v>
      </c>
      <c r="B48" s="227" t="s">
        <v>227</v>
      </c>
      <c r="C48" s="227" t="s">
        <v>200</v>
      </c>
      <c r="D48" s="228">
        <v>1350</v>
      </c>
      <c r="E48" s="228">
        <v>8</v>
      </c>
      <c r="F48" s="228">
        <v>380.05</v>
      </c>
      <c r="G48" s="228">
        <v>380.75</v>
      </c>
      <c r="H48" s="228">
        <v>-0.7</v>
      </c>
      <c r="I48" s="229">
        <v>-1.8E-3</v>
      </c>
      <c r="J48" s="228">
        <v>384.7</v>
      </c>
      <c r="K48" s="228">
        <v>385.35</v>
      </c>
      <c r="L48" s="228">
        <v>-0.65</v>
      </c>
      <c r="M48" s="229">
        <v>-1.6999999999999999E-3</v>
      </c>
      <c r="N48" s="228">
        <v>380.05</v>
      </c>
      <c r="O48" s="228">
        <v>380.75</v>
      </c>
      <c r="P48" s="228">
        <v>-0.7</v>
      </c>
      <c r="Q48" s="229">
        <v>-1.8E-3</v>
      </c>
      <c r="R48" s="228">
        <v>382.25</v>
      </c>
      <c r="S48" s="228">
        <v>382.95</v>
      </c>
      <c r="T48" s="228">
        <v>-0.7</v>
      </c>
      <c r="U48" s="229">
        <v>-1.8E-3</v>
      </c>
      <c r="V48" s="228">
        <v>384.15</v>
      </c>
      <c r="W48" s="228">
        <v>385.2</v>
      </c>
      <c r="X48" s="228">
        <v>-1.05</v>
      </c>
      <c r="Y48" s="229">
        <v>-2.7000000000000001E-3</v>
      </c>
      <c r="Z48" s="228">
        <v>-4.6500000000000004</v>
      </c>
      <c r="AA48" s="228">
        <v>-4.5999999999999996</v>
      </c>
      <c r="AB48" s="228">
        <v>-0.05</v>
      </c>
      <c r="AC48" s="229">
        <v>-1.21E-2</v>
      </c>
      <c r="AD48" s="228">
        <v>-4.6500000000000004</v>
      </c>
      <c r="AE48" s="228">
        <v>-4.5999999999999996</v>
      </c>
      <c r="AF48" s="228">
        <v>-0.05</v>
      </c>
      <c r="AG48" s="229">
        <v>-1.21E-2</v>
      </c>
      <c r="AH48" s="228">
        <v>-2.4500000000000002</v>
      </c>
      <c r="AI48" s="228">
        <v>-2.4</v>
      </c>
      <c r="AJ48" s="228">
        <v>-0.05</v>
      </c>
      <c r="AK48" s="229">
        <v>-6.4000000000000003E-3</v>
      </c>
      <c r="AL48" s="228">
        <v>-0.55000000000000004</v>
      </c>
      <c r="AM48" s="228">
        <v>-0.15</v>
      </c>
      <c r="AN48" s="228">
        <v>-0.4</v>
      </c>
      <c r="AO48" s="229">
        <v>-1.4E-3</v>
      </c>
      <c r="AP48" s="228">
        <v>380.13</v>
      </c>
      <c r="AQ48" s="228">
        <v>382.29</v>
      </c>
      <c r="AR48" s="228">
        <v>0</v>
      </c>
      <c r="AS48" s="228">
        <v>239</v>
      </c>
      <c r="AT48" s="228">
        <v>269</v>
      </c>
      <c r="AU48" s="228">
        <v>-30</v>
      </c>
      <c r="AV48" s="229">
        <v>-0.1106</v>
      </c>
      <c r="AW48" s="228">
        <v>182</v>
      </c>
      <c r="AX48" s="228">
        <v>223</v>
      </c>
      <c r="AY48" s="228">
        <v>-42</v>
      </c>
      <c r="AZ48" s="229">
        <v>-0.1865</v>
      </c>
      <c r="BA48" s="228">
        <v>54</v>
      </c>
      <c r="BB48" s="228">
        <v>42</v>
      </c>
      <c r="BC48" s="228">
        <v>12</v>
      </c>
      <c r="BD48" s="229">
        <v>0.28770000000000001</v>
      </c>
      <c r="BE48" s="228">
        <v>4</v>
      </c>
      <c r="BF48" s="228">
        <v>4</v>
      </c>
      <c r="BG48" s="228">
        <v>0</v>
      </c>
      <c r="BH48" s="229">
        <v>-1.2999999999999999E-2</v>
      </c>
      <c r="BI48" s="228">
        <v>707</v>
      </c>
      <c r="BJ48" s="230">
        <v>1091</v>
      </c>
      <c r="BK48" s="228">
        <v>-384</v>
      </c>
      <c r="BL48" s="229">
        <v>-0.3523</v>
      </c>
      <c r="BM48" s="228">
        <v>330</v>
      </c>
      <c r="BN48" s="228">
        <v>751</v>
      </c>
      <c r="BO48" s="228">
        <v>-421</v>
      </c>
      <c r="BP48" s="229">
        <v>-0.56110000000000004</v>
      </c>
      <c r="BQ48" s="230">
        <v>1275</v>
      </c>
      <c r="BR48" s="230">
        <v>2111</v>
      </c>
      <c r="BS48" s="228">
        <v>-835</v>
      </c>
      <c r="BT48" s="229">
        <v>-0.39579999999999999</v>
      </c>
      <c r="BU48" s="230">
        <v>5518097</v>
      </c>
      <c r="BV48" s="230">
        <v>5513809</v>
      </c>
      <c r="BW48" s="230">
        <v>4288</v>
      </c>
      <c r="BX48" s="229">
        <v>8.0000000000000004E-4</v>
      </c>
      <c r="BY48" s="230">
        <v>2915</v>
      </c>
      <c r="BZ48" s="230">
        <v>2875</v>
      </c>
      <c r="CA48" s="228">
        <v>40</v>
      </c>
      <c r="CB48" s="229">
        <v>1.4E-2</v>
      </c>
      <c r="CC48" s="230">
        <v>2711</v>
      </c>
      <c r="CD48" s="230">
        <v>2702</v>
      </c>
      <c r="CE48" s="228">
        <v>9</v>
      </c>
      <c r="CF48" s="229">
        <v>3.3E-3</v>
      </c>
      <c r="CG48" s="228">
        <v>193</v>
      </c>
      <c r="CH48" s="228">
        <v>163</v>
      </c>
      <c r="CI48" s="228">
        <v>30</v>
      </c>
      <c r="CJ48" s="229">
        <v>0.1867</v>
      </c>
      <c r="CK48" s="228">
        <v>10</v>
      </c>
      <c r="CL48" s="228">
        <v>9</v>
      </c>
      <c r="CM48" s="228">
        <v>1</v>
      </c>
      <c r="CN48" s="229">
        <v>9.7299999999999998E-2</v>
      </c>
      <c r="CO48" s="230">
        <v>1237</v>
      </c>
      <c r="CP48" s="230">
        <v>1215</v>
      </c>
      <c r="CQ48" s="228">
        <v>22</v>
      </c>
      <c r="CR48" s="229">
        <v>1.8200000000000001E-2</v>
      </c>
      <c r="CS48" s="228">
        <v>876</v>
      </c>
      <c r="CT48" s="228">
        <v>850</v>
      </c>
      <c r="CU48" s="228">
        <v>25</v>
      </c>
      <c r="CV48" s="229">
        <v>2.9600000000000001E-2</v>
      </c>
      <c r="CW48" s="230">
        <v>5027</v>
      </c>
      <c r="CX48" s="230">
        <v>4940</v>
      </c>
      <c r="CY48" s="228">
        <v>87</v>
      </c>
      <c r="CZ48" s="229">
        <v>1.77E-2</v>
      </c>
      <c r="DA48" s="228">
        <v>18.149999999999999</v>
      </c>
      <c r="DB48" s="228">
        <v>18.649999999999999</v>
      </c>
      <c r="DC48" s="228">
        <v>-0.5</v>
      </c>
      <c r="DD48" s="228">
        <v>-0.5</v>
      </c>
      <c r="DE48" s="228">
        <v>30.86</v>
      </c>
      <c r="DF48" s="228">
        <v>30.94</v>
      </c>
      <c r="DG48" s="228">
        <v>-12.71</v>
      </c>
      <c r="DH48" s="228">
        <v>-0.08</v>
      </c>
      <c r="DI48" s="228">
        <v>18.14</v>
      </c>
      <c r="DJ48" s="228">
        <v>18.54</v>
      </c>
      <c r="DK48" s="228">
        <v>-0.4</v>
      </c>
      <c r="DL48" s="228">
        <v>-0.4</v>
      </c>
      <c r="DM48" s="228">
        <v>18.16</v>
      </c>
      <c r="DN48" s="228">
        <v>18.809999999999999</v>
      </c>
      <c r="DO48" s="228">
        <v>-0.65</v>
      </c>
      <c r="DP48" s="228">
        <v>-0.65</v>
      </c>
      <c r="DQ48" s="228">
        <v>0.71</v>
      </c>
      <c r="DR48" s="228">
        <v>0.7</v>
      </c>
      <c r="DS48" s="228">
        <v>0.01</v>
      </c>
      <c r="DT48" s="229">
        <v>1.43E-2</v>
      </c>
      <c r="DU48" s="228">
        <v>400</v>
      </c>
      <c r="DV48" s="228">
        <v>450</v>
      </c>
      <c r="DW48" s="228">
        <v>0.47</v>
      </c>
      <c r="DX48" s="228">
        <v>0.69</v>
      </c>
      <c r="DY48" s="228">
        <v>-0.22</v>
      </c>
      <c r="DZ48" s="229">
        <v>-0.31879999999999997</v>
      </c>
      <c r="EA48" s="229">
        <v>6.9900000000000004E-2</v>
      </c>
      <c r="EB48" s="230">
        <v>4538700</v>
      </c>
      <c r="EC48" s="229">
        <v>5.7999999999999996E-3</v>
      </c>
      <c r="ED48" s="229">
        <v>6.9900000000000004E-2</v>
      </c>
      <c r="EE48" s="228">
        <v>2.16</v>
      </c>
      <c r="EF48" s="229">
        <v>5.7000000000000002E-3</v>
      </c>
      <c r="EG48" s="230">
        <v>3699168</v>
      </c>
      <c r="EH48" s="230">
        <v>3220845</v>
      </c>
      <c r="EI48" s="229">
        <v>0.14849999999999999</v>
      </c>
      <c r="EJ48" s="229">
        <v>0.6704</v>
      </c>
      <c r="EK48" s="228">
        <v>727.38</v>
      </c>
      <c r="EL48" s="228">
        <v>331.13</v>
      </c>
      <c r="EM48" s="228">
        <v>239.33</v>
      </c>
      <c r="EN48" s="228">
        <v>0</v>
      </c>
      <c r="EO48" s="231">
        <v>1297.8499999999999</v>
      </c>
      <c r="EP48" s="231">
        <v>2144.9899999999998</v>
      </c>
      <c r="EQ48" s="228">
        <v>-847.15</v>
      </c>
      <c r="ER48" s="229">
        <v>-0.39489999999999997</v>
      </c>
      <c r="ES48" s="231">
        <v>1279.44</v>
      </c>
      <c r="ET48" s="228">
        <v>871.58</v>
      </c>
      <c r="EU48" s="231">
        <v>2915.97</v>
      </c>
      <c r="EV48" s="231">
        <v>454398477</v>
      </c>
      <c r="EW48" s="231">
        <v>5066.99</v>
      </c>
      <c r="EX48" s="231">
        <v>4984.97</v>
      </c>
      <c r="EY48" s="228">
        <v>82.02</v>
      </c>
      <c r="EZ48" s="229">
        <v>1.6500000000000001E-2</v>
      </c>
      <c r="FA48" s="229">
        <v>0.29110000000000003</v>
      </c>
      <c r="FB48" s="227" t="s">
        <v>567</v>
      </c>
      <c r="FC48">
        <f t="shared" si="0"/>
        <v>204</v>
      </c>
    </row>
    <row r="49" spans="1:159" ht="17.25" thickBot="1" x14ac:dyDescent="0.3">
      <c r="A49" s="226">
        <v>45889</v>
      </c>
      <c r="B49" s="227" t="s">
        <v>221</v>
      </c>
      <c r="C49" s="227" t="s">
        <v>470</v>
      </c>
      <c r="D49" s="228">
        <v>375</v>
      </c>
      <c r="E49" s="228">
        <v>8</v>
      </c>
      <c r="F49" s="231">
        <v>1708.7</v>
      </c>
      <c r="G49" s="231">
        <v>1659.5</v>
      </c>
      <c r="H49" s="228">
        <v>49.2</v>
      </c>
      <c r="I49" s="229">
        <v>2.9600000000000001E-2</v>
      </c>
      <c r="J49" s="231">
        <v>1708.4</v>
      </c>
      <c r="K49" s="231">
        <v>1652.7</v>
      </c>
      <c r="L49" s="228">
        <v>55.7</v>
      </c>
      <c r="M49" s="229">
        <v>3.3700000000000001E-2</v>
      </c>
      <c r="N49" s="231">
        <v>1708.7</v>
      </c>
      <c r="O49" s="231">
        <v>1659.5</v>
      </c>
      <c r="P49" s="228">
        <v>49.2</v>
      </c>
      <c r="Q49" s="229">
        <v>2.9600000000000001E-2</v>
      </c>
      <c r="R49" s="231">
        <v>1717.3</v>
      </c>
      <c r="S49" s="231">
        <v>1668.2</v>
      </c>
      <c r="T49" s="228">
        <v>49.1</v>
      </c>
      <c r="U49" s="229">
        <v>2.9399999999999999E-2</v>
      </c>
      <c r="V49" s="231">
        <v>1721.8</v>
      </c>
      <c r="W49" s="231">
        <v>1673.9</v>
      </c>
      <c r="X49" s="228">
        <v>47.9</v>
      </c>
      <c r="Y49" s="229">
        <v>2.86E-2</v>
      </c>
      <c r="Z49" s="228">
        <v>0.3</v>
      </c>
      <c r="AA49" s="228">
        <v>6.8</v>
      </c>
      <c r="AB49" s="228">
        <v>-6.5</v>
      </c>
      <c r="AC49" s="229">
        <v>2.0000000000000001E-4</v>
      </c>
      <c r="AD49" s="228">
        <v>0.3</v>
      </c>
      <c r="AE49" s="228">
        <v>6.8</v>
      </c>
      <c r="AF49" s="228">
        <v>-6.5</v>
      </c>
      <c r="AG49" s="229">
        <v>2.0000000000000001E-4</v>
      </c>
      <c r="AH49" s="228">
        <v>8.9</v>
      </c>
      <c r="AI49" s="228">
        <v>15.5</v>
      </c>
      <c r="AJ49" s="228">
        <v>-6.6</v>
      </c>
      <c r="AK49" s="229">
        <v>5.1999999999999998E-3</v>
      </c>
      <c r="AL49" s="228">
        <v>13.4</v>
      </c>
      <c r="AM49" s="228">
        <v>21.2</v>
      </c>
      <c r="AN49" s="228">
        <v>-7.8</v>
      </c>
      <c r="AO49" s="229">
        <v>7.7999999999999996E-3</v>
      </c>
      <c r="AP49" s="231">
        <v>1689.37</v>
      </c>
      <c r="AQ49" s="231">
        <v>1694.63</v>
      </c>
      <c r="AR49" s="228">
        <v>0</v>
      </c>
      <c r="AS49" s="228">
        <v>654</v>
      </c>
      <c r="AT49" s="228">
        <v>223</v>
      </c>
      <c r="AU49" s="228">
        <v>431</v>
      </c>
      <c r="AV49" s="229">
        <v>1.9294</v>
      </c>
      <c r="AW49" s="228">
        <v>567</v>
      </c>
      <c r="AX49" s="228">
        <v>195</v>
      </c>
      <c r="AY49" s="228">
        <v>372</v>
      </c>
      <c r="AZ49" s="229">
        <v>1.9056999999999999</v>
      </c>
      <c r="BA49" s="228">
        <v>82</v>
      </c>
      <c r="BB49" s="228">
        <v>27</v>
      </c>
      <c r="BC49" s="228">
        <v>55</v>
      </c>
      <c r="BD49" s="229">
        <v>2.0116999999999998</v>
      </c>
      <c r="BE49" s="228">
        <v>5</v>
      </c>
      <c r="BF49" s="228">
        <v>1</v>
      </c>
      <c r="BG49" s="228">
        <v>4</v>
      </c>
      <c r="BH49" s="229">
        <v>4.5713999999999997</v>
      </c>
      <c r="BI49" s="230">
        <v>3491</v>
      </c>
      <c r="BJ49" s="228">
        <v>619</v>
      </c>
      <c r="BK49" s="230">
        <v>2871</v>
      </c>
      <c r="BL49" s="229">
        <v>4.6363000000000003</v>
      </c>
      <c r="BM49" s="230">
        <v>1299</v>
      </c>
      <c r="BN49" s="228">
        <v>442</v>
      </c>
      <c r="BO49" s="228">
        <v>858</v>
      </c>
      <c r="BP49" s="229">
        <v>1.9410000000000001</v>
      </c>
      <c r="BQ49" s="230">
        <v>5444</v>
      </c>
      <c r="BR49" s="230">
        <v>1284</v>
      </c>
      <c r="BS49" s="230">
        <v>4160</v>
      </c>
      <c r="BT49" s="229">
        <v>3.2385999999999999</v>
      </c>
      <c r="BU49" s="230">
        <v>2268166</v>
      </c>
      <c r="BV49" s="230">
        <v>878081</v>
      </c>
      <c r="BW49" s="230">
        <v>1390085</v>
      </c>
      <c r="BX49" s="229">
        <v>1.5831</v>
      </c>
      <c r="BY49" s="230">
        <v>2243</v>
      </c>
      <c r="BZ49" s="230">
        <v>2271</v>
      </c>
      <c r="CA49" s="228">
        <v>-27</v>
      </c>
      <c r="CB49" s="229">
        <v>-1.21E-2</v>
      </c>
      <c r="CC49" s="230">
        <v>2161</v>
      </c>
      <c r="CD49" s="230">
        <v>2196</v>
      </c>
      <c r="CE49" s="228">
        <v>-35</v>
      </c>
      <c r="CF49" s="229">
        <v>-1.6199999999999999E-2</v>
      </c>
      <c r="CG49" s="228">
        <v>77</v>
      </c>
      <c r="CH49" s="228">
        <v>68</v>
      </c>
      <c r="CI49" s="228">
        <v>8</v>
      </c>
      <c r="CJ49" s="229">
        <v>0.1201</v>
      </c>
      <c r="CK49" s="228">
        <v>6</v>
      </c>
      <c r="CL49" s="228">
        <v>6</v>
      </c>
      <c r="CM49" s="228">
        <v>0</v>
      </c>
      <c r="CN49" s="229">
        <v>-3.1300000000000001E-2</v>
      </c>
      <c r="CO49" s="228">
        <v>813</v>
      </c>
      <c r="CP49" s="228">
        <v>946</v>
      </c>
      <c r="CQ49" s="228">
        <v>-133</v>
      </c>
      <c r="CR49" s="229">
        <v>-0.14069999999999999</v>
      </c>
      <c r="CS49" s="228">
        <v>553</v>
      </c>
      <c r="CT49" s="228">
        <v>542</v>
      </c>
      <c r="CU49" s="228">
        <v>11</v>
      </c>
      <c r="CV49" s="229">
        <v>2.0500000000000001E-2</v>
      </c>
      <c r="CW49" s="230">
        <v>3610</v>
      </c>
      <c r="CX49" s="230">
        <v>3759</v>
      </c>
      <c r="CY49" s="228">
        <v>-150</v>
      </c>
      <c r="CZ49" s="229">
        <v>-3.9800000000000002E-2</v>
      </c>
      <c r="DA49" s="228">
        <v>32.26</v>
      </c>
      <c r="DB49" s="228">
        <v>33.54</v>
      </c>
      <c r="DC49" s="228">
        <v>-1.28</v>
      </c>
      <c r="DD49" s="228">
        <v>-1.28</v>
      </c>
      <c r="DE49" s="228">
        <v>44.34</v>
      </c>
      <c r="DF49" s="228">
        <v>44.22</v>
      </c>
      <c r="DG49" s="228">
        <v>-12.08</v>
      </c>
      <c r="DH49" s="228">
        <v>0.12</v>
      </c>
      <c r="DI49" s="228">
        <v>31.87</v>
      </c>
      <c r="DJ49" s="228">
        <v>33.82</v>
      </c>
      <c r="DK49" s="228">
        <v>-1.95</v>
      </c>
      <c r="DL49" s="228">
        <v>-1.95</v>
      </c>
      <c r="DM49" s="228">
        <v>33.299999999999997</v>
      </c>
      <c r="DN49" s="228">
        <v>33.15</v>
      </c>
      <c r="DO49" s="228">
        <v>0.15</v>
      </c>
      <c r="DP49" s="228">
        <v>0.15</v>
      </c>
      <c r="DQ49" s="228">
        <v>0.68</v>
      </c>
      <c r="DR49" s="228">
        <v>0.56999999999999995</v>
      </c>
      <c r="DS49" s="228">
        <v>0.11</v>
      </c>
      <c r="DT49" s="229">
        <v>0.193</v>
      </c>
      <c r="DU49" s="231">
        <v>1800</v>
      </c>
      <c r="DV49" s="231">
        <v>1700</v>
      </c>
      <c r="DW49" s="228">
        <v>0.37</v>
      </c>
      <c r="DX49" s="228">
        <v>0.71</v>
      </c>
      <c r="DY49" s="228">
        <v>-0.34</v>
      </c>
      <c r="DZ49" s="229">
        <v>-0.47889999999999999</v>
      </c>
      <c r="EA49" s="229">
        <v>3.6799999999999999E-2</v>
      </c>
      <c r="EB49" s="230">
        <v>435750</v>
      </c>
      <c r="EC49" s="229">
        <v>5.0000000000000001E-3</v>
      </c>
      <c r="ED49" s="229">
        <v>3.6799999999999999E-2</v>
      </c>
      <c r="EE49" s="228">
        <v>5.26</v>
      </c>
      <c r="EF49" s="229">
        <v>3.0999999999999999E-3</v>
      </c>
      <c r="EG49" s="230">
        <v>796873</v>
      </c>
      <c r="EH49" s="230">
        <v>457229</v>
      </c>
      <c r="EI49" s="229">
        <v>0.74280000000000002</v>
      </c>
      <c r="EJ49" s="229">
        <v>0.3513</v>
      </c>
      <c r="EK49" s="231">
        <v>3580.32</v>
      </c>
      <c r="EL49" s="231">
        <v>1260.8499999999999</v>
      </c>
      <c r="EM49" s="228">
        <v>647.04</v>
      </c>
      <c r="EN49" s="228">
        <v>0</v>
      </c>
      <c r="EO49" s="231">
        <v>5488.21</v>
      </c>
      <c r="EP49" s="231">
        <v>1267.53</v>
      </c>
      <c r="EQ49" s="231">
        <v>4220.68</v>
      </c>
      <c r="ER49" s="229">
        <v>3.3298000000000001</v>
      </c>
      <c r="ES49" s="228">
        <v>847.45</v>
      </c>
      <c r="ET49" s="228">
        <v>523.46</v>
      </c>
      <c r="EU49" s="231">
        <v>2243.87</v>
      </c>
      <c r="EV49" s="231">
        <v>66885199</v>
      </c>
      <c r="EW49" s="231">
        <v>3614.78</v>
      </c>
      <c r="EX49" s="231">
        <v>3695.67</v>
      </c>
      <c r="EY49" s="228">
        <v>-80.89</v>
      </c>
      <c r="EZ49" s="229">
        <v>-2.1899999999999999E-2</v>
      </c>
      <c r="FA49" s="229">
        <v>0.31590000000000001</v>
      </c>
      <c r="FB49" s="227" t="s">
        <v>556</v>
      </c>
      <c r="FC49">
        <f t="shared" si="0"/>
        <v>82</v>
      </c>
    </row>
    <row r="50" spans="1:159" ht="17.25" thickBot="1" x14ac:dyDescent="0.3">
      <c r="A50" s="226">
        <v>45889</v>
      </c>
      <c r="B50" s="227" t="s">
        <v>168</v>
      </c>
      <c r="C50" s="227" t="s">
        <v>201</v>
      </c>
      <c r="D50" s="228">
        <v>225</v>
      </c>
      <c r="E50" s="228">
        <v>8</v>
      </c>
      <c r="F50" s="231">
        <v>2364.1999999999998</v>
      </c>
      <c r="G50" s="231">
        <v>2276.3000000000002</v>
      </c>
      <c r="H50" s="228">
        <v>87.9</v>
      </c>
      <c r="I50" s="229">
        <v>3.8600000000000002E-2</v>
      </c>
      <c r="J50" s="231">
        <v>2356.5</v>
      </c>
      <c r="K50" s="231">
        <v>2273.5</v>
      </c>
      <c r="L50" s="228">
        <v>83</v>
      </c>
      <c r="M50" s="229">
        <v>3.6499999999999998E-2</v>
      </c>
      <c r="N50" s="231">
        <v>2364.1999999999998</v>
      </c>
      <c r="O50" s="231">
        <v>2276.3000000000002</v>
      </c>
      <c r="P50" s="228">
        <v>87.9</v>
      </c>
      <c r="Q50" s="229">
        <v>3.8600000000000002E-2</v>
      </c>
      <c r="R50" s="231">
        <v>2376.3000000000002</v>
      </c>
      <c r="S50" s="231">
        <v>2287.5</v>
      </c>
      <c r="T50" s="228">
        <v>88.8</v>
      </c>
      <c r="U50" s="229">
        <v>3.8800000000000001E-2</v>
      </c>
      <c r="V50" s="231">
        <v>2389.6</v>
      </c>
      <c r="W50" s="231">
        <v>2300</v>
      </c>
      <c r="X50" s="228">
        <v>89.6</v>
      </c>
      <c r="Y50" s="229">
        <v>3.9E-2</v>
      </c>
      <c r="Z50" s="228">
        <v>7.7</v>
      </c>
      <c r="AA50" s="228">
        <v>2.8</v>
      </c>
      <c r="AB50" s="228">
        <v>4.9000000000000004</v>
      </c>
      <c r="AC50" s="229">
        <v>3.3E-3</v>
      </c>
      <c r="AD50" s="228">
        <v>7.7</v>
      </c>
      <c r="AE50" s="228">
        <v>2.8</v>
      </c>
      <c r="AF50" s="228">
        <v>4.9000000000000004</v>
      </c>
      <c r="AG50" s="229">
        <v>3.3E-3</v>
      </c>
      <c r="AH50" s="228">
        <v>19.8</v>
      </c>
      <c r="AI50" s="228">
        <v>14</v>
      </c>
      <c r="AJ50" s="228">
        <v>5.8</v>
      </c>
      <c r="AK50" s="229">
        <v>8.3999999999999995E-3</v>
      </c>
      <c r="AL50" s="228">
        <v>33.1</v>
      </c>
      <c r="AM50" s="228">
        <v>26.5</v>
      </c>
      <c r="AN50" s="228">
        <v>6.6</v>
      </c>
      <c r="AO50" s="229">
        <v>1.4E-2</v>
      </c>
      <c r="AP50" s="231">
        <v>2340.34</v>
      </c>
      <c r="AQ50" s="231">
        <v>2353.0500000000002</v>
      </c>
      <c r="AR50" s="228">
        <v>0</v>
      </c>
      <c r="AS50" s="228">
        <v>638</v>
      </c>
      <c r="AT50" s="228">
        <v>261</v>
      </c>
      <c r="AU50" s="228">
        <v>377</v>
      </c>
      <c r="AV50" s="229">
        <v>1.4415</v>
      </c>
      <c r="AW50" s="228">
        <v>520</v>
      </c>
      <c r="AX50" s="228">
        <v>217</v>
      </c>
      <c r="AY50" s="228">
        <v>303</v>
      </c>
      <c r="AZ50" s="229">
        <v>1.3995</v>
      </c>
      <c r="BA50" s="228">
        <v>106</v>
      </c>
      <c r="BB50" s="228">
        <v>40</v>
      </c>
      <c r="BC50" s="228">
        <v>66</v>
      </c>
      <c r="BD50" s="229">
        <v>1.6657999999999999</v>
      </c>
      <c r="BE50" s="228">
        <v>13</v>
      </c>
      <c r="BF50" s="228">
        <v>5</v>
      </c>
      <c r="BG50" s="228">
        <v>8</v>
      </c>
      <c r="BH50" s="229">
        <v>1.4842</v>
      </c>
      <c r="BI50" s="230">
        <v>3296</v>
      </c>
      <c r="BJ50" s="228">
        <v>990</v>
      </c>
      <c r="BK50" s="230">
        <v>2306</v>
      </c>
      <c r="BL50" s="229">
        <v>2.3294000000000001</v>
      </c>
      <c r="BM50" s="228">
        <v>949</v>
      </c>
      <c r="BN50" s="228">
        <v>337</v>
      </c>
      <c r="BO50" s="228">
        <v>612</v>
      </c>
      <c r="BP50" s="229">
        <v>1.8165</v>
      </c>
      <c r="BQ50" s="230">
        <v>4883</v>
      </c>
      <c r="BR50" s="230">
        <v>1588</v>
      </c>
      <c r="BS50" s="230">
        <v>3295</v>
      </c>
      <c r="BT50" s="229">
        <v>2.0743999999999998</v>
      </c>
      <c r="BU50" s="230">
        <v>1098816</v>
      </c>
      <c r="BV50" s="230">
        <v>483831</v>
      </c>
      <c r="BW50" s="230">
        <v>614985</v>
      </c>
      <c r="BX50" s="229">
        <v>1.2710999999999999</v>
      </c>
      <c r="BY50" s="230">
        <v>1294</v>
      </c>
      <c r="BZ50" s="230">
        <v>1385</v>
      </c>
      <c r="CA50" s="228">
        <v>-91</v>
      </c>
      <c r="CB50" s="229">
        <v>-6.5799999999999997E-2</v>
      </c>
      <c r="CC50" s="230">
        <v>1166</v>
      </c>
      <c r="CD50" s="230">
        <v>1280</v>
      </c>
      <c r="CE50" s="228">
        <v>-114</v>
      </c>
      <c r="CF50" s="229">
        <v>-8.9099999999999999E-2</v>
      </c>
      <c r="CG50" s="228">
        <v>116</v>
      </c>
      <c r="CH50" s="228">
        <v>93</v>
      </c>
      <c r="CI50" s="228">
        <v>23</v>
      </c>
      <c r="CJ50" s="229">
        <v>0.24229999999999999</v>
      </c>
      <c r="CK50" s="228">
        <v>13</v>
      </c>
      <c r="CL50" s="228">
        <v>12</v>
      </c>
      <c r="CM50" s="228">
        <v>0</v>
      </c>
      <c r="CN50" s="229">
        <v>3.9800000000000002E-2</v>
      </c>
      <c r="CO50" s="228">
        <v>391</v>
      </c>
      <c r="CP50" s="228">
        <v>396</v>
      </c>
      <c r="CQ50" s="228">
        <v>-5</v>
      </c>
      <c r="CR50" s="229">
        <v>-1.2500000000000001E-2</v>
      </c>
      <c r="CS50" s="228">
        <v>331</v>
      </c>
      <c r="CT50" s="228">
        <v>269</v>
      </c>
      <c r="CU50" s="228">
        <v>63</v>
      </c>
      <c r="CV50" s="229">
        <v>0.23369999999999999</v>
      </c>
      <c r="CW50" s="230">
        <v>2017</v>
      </c>
      <c r="CX50" s="230">
        <v>2050</v>
      </c>
      <c r="CY50" s="228">
        <v>-33</v>
      </c>
      <c r="CZ50" s="229">
        <v>-1.6199999999999999E-2</v>
      </c>
      <c r="DA50" s="228">
        <v>22.65</v>
      </c>
      <c r="DB50" s="228">
        <v>19.579999999999998</v>
      </c>
      <c r="DC50" s="228">
        <v>3.07</v>
      </c>
      <c r="DD50" s="228">
        <v>3.07</v>
      </c>
      <c r="DE50" s="228">
        <v>29.04</v>
      </c>
      <c r="DF50" s="228">
        <v>28.7</v>
      </c>
      <c r="DG50" s="228">
        <v>-6.39</v>
      </c>
      <c r="DH50" s="228">
        <v>0.34</v>
      </c>
      <c r="DI50" s="228">
        <v>22.35</v>
      </c>
      <c r="DJ50" s="228">
        <v>19.13</v>
      </c>
      <c r="DK50" s="228">
        <v>3.22</v>
      </c>
      <c r="DL50" s="228">
        <v>3.22</v>
      </c>
      <c r="DM50" s="228">
        <v>23.67</v>
      </c>
      <c r="DN50" s="228">
        <v>20.89</v>
      </c>
      <c r="DO50" s="228">
        <v>2.78</v>
      </c>
      <c r="DP50" s="228">
        <v>2.78</v>
      </c>
      <c r="DQ50" s="228">
        <v>0.85</v>
      </c>
      <c r="DR50" s="228">
        <v>0.68</v>
      </c>
      <c r="DS50" s="228">
        <v>0.17</v>
      </c>
      <c r="DT50" s="229">
        <v>0.25</v>
      </c>
      <c r="DU50" s="231">
        <v>2400</v>
      </c>
      <c r="DV50" s="231">
        <v>2300</v>
      </c>
      <c r="DW50" s="228">
        <v>0.28999999999999998</v>
      </c>
      <c r="DX50" s="228">
        <v>0.34</v>
      </c>
      <c r="DY50" s="228">
        <v>-0.05</v>
      </c>
      <c r="DZ50" s="229">
        <v>-0.14710000000000001</v>
      </c>
      <c r="EA50" s="229">
        <v>9.9000000000000005E-2</v>
      </c>
      <c r="EB50" s="230">
        <v>444600</v>
      </c>
      <c r="EC50" s="229">
        <v>5.1000000000000004E-3</v>
      </c>
      <c r="ED50" s="229">
        <v>9.9000000000000005E-2</v>
      </c>
      <c r="EE50" s="228">
        <v>12.71</v>
      </c>
      <c r="EF50" s="229">
        <v>5.4000000000000003E-3</v>
      </c>
      <c r="EG50" s="230">
        <v>398792</v>
      </c>
      <c r="EH50" s="230">
        <v>217025</v>
      </c>
      <c r="EI50" s="229">
        <v>0.83750000000000002</v>
      </c>
      <c r="EJ50" s="229">
        <v>0.3629</v>
      </c>
      <c r="EK50" s="231">
        <v>3336.38</v>
      </c>
      <c r="EL50" s="228">
        <v>929.69</v>
      </c>
      <c r="EM50" s="228">
        <v>632.57000000000005</v>
      </c>
      <c r="EN50" s="228">
        <v>0</v>
      </c>
      <c r="EO50" s="231">
        <v>4898.6400000000003</v>
      </c>
      <c r="EP50" s="231">
        <v>1532.9</v>
      </c>
      <c r="EQ50" s="231">
        <v>3365.73</v>
      </c>
      <c r="ER50" s="229">
        <v>2.1957</v>
      </c>
      <c r="ES50" s="228">
        <v>393.82</v>
      </c>
      <c r="ET50" s="228">
        <v>316.7</v>
      </c>
      <c r="EU50" s="231">
        <v>1294.74</v>
      </c>
      <c r="EV50" s="231">
        <v>26654592</v>
      </c>
      <c r="EW50" s="231">
        <v>2005.26</v>
      </c>
      <c r="EX50" s="231">
        <v>1980.67</v>
      </c>
      <c r="EY50" s="228">
        <v>24.59</v>
      </c>
      <c r="EZ50" s="229">
        <v>1.24E-2</v>
      </c>
      <c r="FA50" s="229">
        <v>0.32</v>
      </c>
      <c r="FB50" s="227" t="s">
        <v>556</v>
      </c>
      <c r="FC50">
        <f t="shared" si="0"/>
        <v>128</v>
      </c>
    </row>
    <row r="51" spans="1:159" ht="17.25" thickBot="1" x14ac:dyDescent="0.3">
      <c r="A51" s="226">
        <v>45889</v>
      </c>
      <c r="B51" s="227" t="s">
        <v>215</v>
      </c>
      <c r="C51" s="227" t="s">
        <v>202</v>
      </c>
      <c r="D51" s="228">
        <v>1250</v>
      </c>
      <c r="E51" s="228">
        <v>8</v>
      </c>
      <c r="F51" s="228">
        <v>558</v>
      </c>
      <c r="G51" s="228">
        <v>556.04999999999995</v>
      </c>
      <c r="H51" s="228">
        <v>1.95</v>
      </c>
      <c r="I51" s="229">
        <v>3.5000000000000001E-3</v>
      </c>
      <c r="J51" s="228">
        <v>557.5</v>
      </c>
      <c r="K51" s="228">
        <v>555</v>
      </c>
      <c r="L51" s="228">
        <v>2.5</v>
      </c>
      <c r="M51" s="229">
        <v>4.4999999999999997E-3</v>
      </c>
      <c r="N51" s="228">
        <v>558</v>
      </c>
      <c r="O51" s="228">
        <v>556.04999999999995</v>
      </c>
      <c r="P51" s="228">
        <v>1.95</v>
      </c>
      <c r="Q51" s="229">
        <v>3.5000000000000001E-3</v>
      </c>
      <c r="R51" s="228">
        <v>561.04999999999995</v>
      </c>
      <c r="S51" s="228">
        <v>559.04999999999995</v>
      </c>
      <c r="T51" s="228">
        <v>2</v>
      </c>
      <c r="U51" s="229">
        <v>3.5999999999999999E-3</v>
      </c>
      <c r="V51" s="228">
        <v>563.4</v>
      </c>
      <c r="W51" s="228">
        <v>561.20000000000005</v>
      </c>
      <c r="X51" s="228">
        <v>2.2000000000000002</v>
      </c>
      <c r="Y51" s="229">
        <v>3.8999999999999998E-3</v>
      </c>
      <c r="Z51" s="228">
        <v>0.5</v>
      </c>
      <c r="AA51" s="228">
        <v>1.05</v>
      </c>
      <c r="AB51" s="228">
        <v>-0.55000000000000004</v>
      </c>
      <c r="AC51" s="229">
        <v>8.9999999999999998E-4</v>
      </c>
      <c r="AD51" s="228">
        <v>0.5</v>
      </c>
      <c r="AE51" s="228">
        <v>1.05</v>
      </c>
      <c r="AF51" s="228">
        <v>-0.55000000000000004</v>
      </c>
      <c r="AG51" s="229">
        <v>8.9999999999999998E-4</v>
      </c>
      <c r="AH51" s="228">
        <v>3.55</v>
      </c>
      <c r="AI51" s="228">
        <v>4.05</v>
      </c>
      <c r="AJ51" s="228">
        <v>-0.5</v>
      </c>
      <c r="AK51" s="229">
        <v>6.4000000000000003E-3</v>
      </c>
      <c r="AL51" s="228">
        <v>5.9</v>
      </c>
      <c r="AM51" s="228">
        <v>6.2</v>
      </c>
      <c r="AN51" s="228">
        <v>-0.3</v>
      </c>
      <c r="AO51" s="229">
        <v>1.06E-2</v>
      </c>
      <c r="AP51" s="228">
        <v>558.36</v>
      </c>
      <c r="AQ51" s="228">
        <v>561.45000000000005</v>
      </c>
      <c r="AR51" s="228">
        <v>0</v>
      </c>
      <c r="AS51" s="228">
        <v>167</v>
      </c>
      <c r="AT51" s="228">
        <v>267</v>
      </c>
      <c r="AU51" s="228">
        <v>-99</v>
      </c>
      <c r="AV51" s="229">
        <v>-0.37259999999999999</v>
      </c>
      <c r="AW51" s="228">
        <v>120</v>
      </c>
      <c r="AX51" s="228">
        <v>200</v>
      </c>
      <c r="AY51" s="228">
        <v>-81</v>
      </c>
      <c r="AZ51" s="229">
        <v>-0.40360000000000001</v>
      </c>
      <c r="BA51" s="228">
        <v>43</v>
      </c>
      <c r="BB51" s="228">
        <v>55</v>
      </c>
      <c r="BC51" s="228">
        <v>-12</v>
      </c>
      <c r="BD51" s="229">
        <v>-0.21790000000000001</v>
      </c>
      <c r="BE51" s="228">
        <v>4</v>
      </c>
      <c r="BF51" s="228">
        <v>11</v>
      </c>
      <c r="BG51" s="228">
        <v>-6</v>
      </c>
      <c r="BH51" s="229">
        <v>-0.5897</v>
      </c>
      <c r="BI51" s="228">
        <v>437</v>
      </c>
      <c r="BJ51" s="228">
        <v>832</v>
      </c>
      <c r="BK51" s="228">
        <v>-396</v>
      </c>
      <c r="BL51" s="229">
        <v>-0.47539999999999999</v>
      </c>
      <c r="BM51" s="228">
        <v>237</v>
      </c>
      <c r="BN51" s="228">
        <v>241</v>
      </c>
      <c r="BO51" s="228">
        <v>-4</v>
      </c>
      <c r="BP51" s="229">
        <v>-1.5599999999999999E-2</v>
      </c>
      <c r="BQ51" s="228">
        <v>841</v>
      </c>
      <c r="BR51" s="230">
        <v>1340</v>
      </c>
      <c r="BS51" s="228">
        <v>-499</v>
      </c>
      <c r="BT51" s="229">
        <v>-0.37219999999999998</v>
      </c>
      <c r="BU51" s="230">
        <v>700400</v>
      </c>
      <c r="BV51" s="230">
        <v>1287540</v>
      </c>
      <c r="BW51" s="230">
        <v>-587140</v>
      </c>
      <c r="BX51" s="229">
        <v>-0.45600000000000002</v>
      </c>
      <c r="BY51" s="230">
        <v>1253</v>
      </c>
      <c r="BZ51" s="230">
        <v>1233</v>
      </c>
      <c r="CA51" s="228">
        <v>19</v>
      </c>
      <c r="CB51" s="229">
        <v>1.5599999999999999E-2</v>
      </c>
      <c r="CC51" s="230">
        <v>1085</v>
      </c>
      <c r="CD51" s="230">
        <v>1084</v>
      </c>
      <c r="CE51" s="228">
        <v>1</v>
      </c>
      <c r="CF51" s="229">
        <v>1.1999999999999999E-3</v>
      </c>
      <c r="CG51" s="228">
        <v>153</v>
      </c>
      <c r="CH51" s="228">
        <v>136</v>
      </c>
      <c r="CI51" s="228">
        <v>17</v>
      </c>
      <c r="CJ51" s="229">
        <v>0.1244</v>
      </c>
      <c r="CK51" s="228">
        <v>15</v>
      </c>
      <c r="CL51" s="228">
        <v>14</v>
      </c>
      <c r="CM51" s="228">
        <v>1</v>
      </c>
      <c r="CN51" s="229">
        <v>6.9000000000000006E-2</v>
      </c>
      <c r="CO51" s="228">
        <v>505</v>
      </c>
      <c r="CP51" s="228">
        <v>531</v>
      </c>
      <c r="CQ51" s="228">
        <v>-26</v>
      </c>
      <c r="CR51" s="229">
        <v>-4.8500000000000001E-2</v>
      </c>
      <c r="CS51" s="228">
        <v>359</v>
      </c>
      <c r="CT51" s="228">
        <v>360</v>
      </c>
      <c r="CU51" s="228">
        <v>-1</v>
      </c>
      <c r="CV51" s="229">
        <v>-2.5000000000000001E-3</v>
      </c>
      <c r="CW51" s="230">
        <v>2117</v>
      </c>
      <c r="CX51" s="230">
        <v>2124</v>
      </c>
      <c r="CY51" s="228">
        <v>-7</v>
      </c>
      <c r="CZ51" s="229">
        <v>-3.5000000000000001E-3</v>
      </c>
      <c r="DA51" s="228">
        <v>24.67</v>
      </c>
      <c r="DB51" s="228">
        <v>25.45</v>
      </c>
      <c r="DC51" s="228">
        <v>-0.78</v>
      </c>
      <c r="DD51" s="228">
        <v>-0.78</v>
      </c>
      <c r="DE51" s="228">
        <v>38.79</v>
      </c>
      <c r="DF51" s="228">
        <v>38.880000000000003</v>
      </c>
      <c r="DG51" s="228">
        <v>-14.12</v>
      </c>
      <c r="DH51" s="228">
        <v>-0.09</v>
      </c>
      <c r="DI51" s="228">
        <v>24.37</v>
      </c>
      <c r="DJ51" s="228">
        <v>25.13</v>
      </c>
      <c r="DK51" s="228">
        <v>-0.76</v>
      </c>
      <c r="DL51" s="228">
        <v>-0.76</v>
      </c>
      <c r="DM51" s="228">
        <v>25.23</v>
      </c>
      <c r="DN51" s="228">
        <v>26.56</v>
      </c>
      <c r="DO51" s="228">
        <v>-1.33</v>
      </c>
      <c r="DP51" s="228">
        <v>-1.33</v>
      </c>
      <c r="DQ51" s="228">
        <v>0.71</v>
      </c>
      <c r="DR51" s="228">
        <v>0.68</v>
      </c>
      <c r="DS51" s="228">
        <v>0.03</v>
      </c>
      <c r="DT51" s="229">
        <v>4.41E-2</v>
      </c>
      <c r="DU51" s="228">
        <v>600</v>
      </c>
      <c r="DV51" s="228">
        <v>600</v>
      </c>
      <c r="DW51" s="228">
        <v>0.54</v>
      </c>
      <c r="DX51" s="228">
        <v>0.28999999999999998</v>
      </c>
      <c r="DY51" s="228">
        <v>0.25</v>
      </c>
      <c r="DZ51" s="229">
        <v>0.86209999999999998</v>
      </c>
      <c r="EA51" s="229">
        <v>0.13389999999999999</v>
      </c>
      <c r="EB51" s="230">
        <v>2685000</v>
      </c>
      <c r="EC51" s="229">
        <v>5.4999999999999997E-3</v>
      </c>
      <c r="ED51" s="229">
        <v>0.13389999999999999</v>
      </c>
      <c r="EE51" s="228">
        <v>3.09</v>
      </c>
      <c r="EF51" s="229">
        <v>5.4999999999999997E-3</v>
      </c>
      <c r="EG51" s="230">
        <v>307794</v>
      </c>
      <c r="EH51" s="230">
        <v>430449</v>
      </c>
      <c r="EI51" s="229">
        <v>-0.28489999999999999</v>
      </c>
      <c r="EJ51" s="229">
        <v>0.4395</v>
      </c>
      <c r="EK51" s="228">
        <v>450.72</v>
      </c>
      <c r="EL51" s="228">
        <v>236.95</v>
      </c>
      <c r="EM51" s="228">
        <v>167.72</v>
      </c>
      <c r="EN51" s="228">
        <v>0</v>
      </c>
      <c r="EO51" s="228">
        <v>855.39</v>
      </c>
      <c r="EP51" s="231">
        <v>1346.79</v>
      </c>
      <c r="EQ51" s="228">
        <v>-491.4</v>
      </c>
      <c r="ER51" s="229">
        <v>-0.3649</v>
      </c>
      <c r="ES51" s="228">
        <v>533.97</v>
      </c>
      <c r="ET51" s="228">
        <v>360.58</v>
      </c>
      <c r="EU51" s="231">
        <v>1253.55</v>
      </c>
      <c r="EV51" s="231">
        <v>68852343</v>
      </c>
      <c r="EW51" s="231">
        <v>2148.1</v>
      </c>
      <c r="EX51" s="231">
        <v>2151.7399999999998</v>
      </c>
      <c r="EY51" s="228">
        <v>-3.64</v>
      </c>
      <c r="EZ51" s="229">
        <v>-1.6999999999999999E-3</v>
      </c>
      <c r="FA51" s="229">
        <v>0.55089999999999995</v>
      </c>
      <c r="FB51" s="227" t="s">
        <v>555</v>
      </c>
      <c r="FC51">
        <f t="shared" si="0"/>
        <v>168</v>
      </c>
    </row>
    <row r="52" spans="1:159" ht="17.25" thickBot="1" x14ac:dyDescent="0.3">
      <c r="A52" s="226">
        <v>45889</v>
      </c>
      <c r="B52" s="227" t="s">
        <v>184</v>
      </c>
      <c r="C52" s="227" t="s">
        <v>523</v>
      </c>
      <c r="D52" s="228">
        <v>1800</v>
      </c>
      <c r="E52" s="228">
        <v>8</v>
      </c>
      <c r="F52" s="228">
        <v>329.2</v>
      </c>
      <c r="G52" s="228">
        <v>330.9</v>
      </c>
      <c r="H52" s="228">
        <v>-1.7</v>
      </c>
      <c r="I52" s="229">
        <v>-5.1000000000000004E-3</v>
      </c>
      <c r="J52" s="228">
        <v>328.35</v>
      </c>
      <c r="K52" s="228">
        <v>329.5</v>
      </c>
      <c r="L52" s="228">
        <v>-1.1499999999999999</v>
      </c>
      <c r="M52" s="229">
        <v>-3.5000000000000001E-3</v>
      </c>
      <c r="N52" s="228">
        <v>329.2</v>
      </c>
      <c r="O52" s="228">
        <v>330.9</v>
      </c>
      <c r="P52" s="228">
        <v>-1.7</v>
      </c>
      <c r="Q52" s="229">
        <v>-5.1000000000000004E-3</v>
      </c>
      <c r="R52" s="228">
        <v>330.85</v>
      </c>
      <c r="S52" s="228">
        <v>332.5</v>
      </c>
      <c r="T52" s="228">
        <v>-1.65</v>
      </c>
      <c r="U52" s="229">
        <v>-5.0000000000000001E-3</v>
      </c>
      <c r="V52" s="228">
        <v>332.65</v>
      </c>
      <c r="W52" s="228">
        <v>334.45</v>
      </c>
      <c r="X52" s="228">
        <v>-1.8</v>
      </c>
      <c r="Y52" s="229">
        <v>-5.4000000000000003E-3</v>
      </c>
      <c r="Z52" s="228">
        <v>0.85</v>
      </c>
      <c r="AA52" s="228">
        <v>1.4</v>
      </c>
      <c r="AB52" s="228">
        <v>-0.55000000000000004</v>
      </c>
      <c r="AC52" s="229">
        <v>2.5999999999999999E-3</v>
      </c>
      <c r="AD52" s="228">
        <v>0.85</v>
      </c>
      <c r="AE52" s="228">
        <v>1.4</v>
      </c>
      <c r="AF52" s="228">
        <v>-0.55000000000000004</v>
      </c>
      <c r="AG52" s="229">
        <v>2.5999999999999999E-3</v>
      </c>
      <c r="AH52" s="228">
        <v>2.5</v>
      </c>
      <c r="AI52" s="228">
        <v>3</v>
      </c>
      <c r="AJ52" s="228">
        <v>-0.5</v>
      </c>
      <c r="AK52" s="229">
        <v>7.6E-3</v>
      </c>
      <c r="AL52" s="228">
        <v>4.3</v>
      </c>
      <c r="AM52" s="228">
        <v>4.95</v>
      </c>
      <c r="AN52" s="228">
        <v>-0.65</v>
      </c>
      <c r="AO52" s="229">
        <v>1.3100000000000001E-2</v>
      </c>
      <c r="AP52" s="228">
        <v>328.4</v>
      </c>
      <c r="AQ52" s="228">
        <v>330.13</v>
      </c>
      <c r="AR52" s="228">
        <v>0</v>
      </c>
      <c r="AS52" s="228">
        <v>137</v>
      </c>
      <c r="AT52" s="228">
        <v>126</v>
      </c>
      <c r="AU52" s="228">
        <v>11</v>
      </c>
      <c r="AV52" s="229">
        <v>8.77E-2</v>
      </c>
      <c r="AW52" s="228">
        <v>104</v>
      </c>
      <c r="AX52" s="228">
        <v>101</v>
      </c>
      <c r="AY52" s="228">
        <v>3</v>
      </c>
      <c r="AZ52" s="229">
        <v>2.63E-2</v>
      </c>
      <c r="BA52" s="228">
        <v>31</v>
      </c>
      <c r="BB52" s="228">
        <v>23</v>
      </c>
      <c r="BC52" s="228">
        <v>7</v>
      </c>
      <c r="BD52" s="229">
        <v>0.31040000000000001</v>
      </c>
      <c r="BE52" s="228">
        <v>2</v>
      </c>
      <c r="BF52" s="228">
        <v>1</v>
      </c>
      <c r="BG52" s="228">
        <v>1</v>
      </c>
      <c r="BH52" s="229">
        <v>1.1875</v>
      </c>
      <c r="BI52" s="228">
        <v>131</v>
      </c>
      <c r="BJ52" s="228">
        <v>218</v>
      </c>
      <c r="BK52" s="228">
        <v>-88</v>
      </c>
      <c r="BL52" s="229">
        <v>-0.40089999999999998</v>
      </c>
      <c r="BM52" s="228">
        <v>46</v>
      </c>
      <c r="BN52" s="228">
        <v>80</v>
      </c>
      <c r="BO52" s="228">
        <v>-35</v>
      </c>
      <c r="BP52" s="229">
        <v>-0.43259999999999998</v>
      </c>
      <c r="BQ52" s="228">
        <v>313</v>
      </c>
      <c r="BR52" s="228">
        <v>424</v>
      </c>
      <c r="BS52" s="228">
        <v>-111</v>
      </c>
      <c r="BT52" s="229">
        <v>-0.26229999999999998</v>
      </c>
      <c r="BU52" s="230">
        <v>2306550</v>
      </c>
      <c r="BV52" s="230">
        <v>1832603</v>
      </c>
      <c r="BW52" s="230">
        <v>473947</v>
      </c>
      <c r="BX52" s="229">
        <v>0.2586</v>
      </c>
      <c r="BY52" s="230">
        <v>1343</v>
      </c>
      <c r="BZ52" s="230">
        <v>1317</v>
      </c>
      <c r="CA52" s="228">
        <v>26</v>
      </c>
      <c r="CB52" s="229">
        <v>1.9800000000000002E-2</v>
      </c>
      <c r="CC52" s="230">
        <v>1279</v>
      </c>
      <c r="CD52" s="230">
        <v>1265</v>
      </c>
      <c r="CE52" s="228">
        <v>14</v>
      </c>
      <c r="CF52" s="229">
        <v>1.1299999999999999E-2</v>
      </c>
      <c r="CG52" s="228">
        <v>58</v>
      </c>
      <c r="CH52" s="228">
        <v>47</v>
      </c>
      <c r="CI52" s="228">
        <v>11</v>
      </c>
      <c r="CJ52" s="229">
        <v>0.22919999999999999</v>
      </c>
      <c r="CK52" s="228">
        <v>6</v>
      </c>
      <c r="CL52" s="228">
        <v>5</v>
      </c>
      <c r="CM52" s="228">
        <v>1</v>
      </c>
      <c r="CN52" s="229">
        <v>0.186</v>
      </c>
      <c r="CO52" s="228">
        <v>168</v>
      </c>
      <c r="CP52" s="228">
        <v>161</v>
      </c>
      <c r="CQ52" s="228">
        <v>7</v>
      </c>
      <c r="CR52" s="229">
        <v>4.2900000000000001E-2</v>
      </c>
      <c r="CS52" s="228">
        <v>143</v>
      </c>
      <c r="CT52" s="228">
        <v>144</v>
      </c>
      <c r="CU52" s="228">
        <v>-1</v>
      </c>
      <c r="CV52" s="229">
        <v>-1.03E-2</v>
      </c>
      <c r="CW52" s="230">
        <v>1654</v>
      </c>
      <c r="CX52" s="230">
        <v>1623</v>
      </c>
      <c r="CY52" s="228">
        <v>31</v>
      </c>
      <c r="CZ52" s="229">
        <v>1.9400000000000001E-2</v>
      </c>
      <c r="DA52" s="228">
        <v>25.58</v>
      </c>
      <c r="DB52" s="228">
        <v>25.32</v>
      </c>
      <c r="DC52" s="228">
        <v>0.26</v>
      </c>
      <c r="DD52" s="228">
        <v>0.26</v>
      </c>
      <c r="DE52" s="228">
        <v>34.35</v>
      </c>
      <c r="DF52" s="228">
        <v>34.43</v>
      </c>
      <c r="DG52" s="228">
        <v>-8.77</v>
      </c>
      <c r="DH52" s="228">
        <v>-0.08</v>
      </c>
      <c r="DI52" s="228">
        <v>25.11</v>
      </c>
      <c r="DJ52" s="228">
        <v>24.71</v>
      </c>
      <c r="DK52" s="228">
        <v>0.4</v>
      </c>
      <c r="DL52" s="228">
        <v>0.4</v>
      </c>
      <c r="DM52" s="228">
        <v>26.93</v>
      </c>
      <c r="DN52" s="228">
        <v>27</v>
      </c>
      <c r="DO52" s="228">
        <v>-7.0000000000000007E-2</v>
      </c>
      <c r="DP52" s="228">
        <v>-7.0000000000000007E-2</v>
      </c>
      <c r="DQ52" s="228">
        <v>0.85</v>
      </c>
      <c r="DR52" s="228">
        <v>0.89</v>
      </c>
      <c r="DS52" s="228">
        <v>-0.04</v>
      </c>
      <c r="DT52" s="229">
        <v>-4.4900000000000002E-2</v>
      </c>
      <c r="DU52" s="228">
        <v>340</v>
      </c>
      <c r="DV52" s="228">
        <v>300</v>
      </c>
      <c r="DW52" s="228">
        <v>0.35</v>
      </c>
      <c r="DX52" s="228">
        <v>0.37</v>
      </c>
      <c r="DY52" s="228">
        <v>-0.02</v>
      </c>
      <c r="DZ52" s="229">
        <v>-5.4100000000000002E-2</v>
      </c>
      <c r="EA52" s="229">
        <v>4.7600000000000003E-2</v>
      </c>
      <c r="EB52" s="230">
        <v>1584000</v>
      </c>
      <c r="EC52" s="229">
        <v>5.0000000000000001E-3</v>
      </c>
      <c r="ED52" s="229">
        <v>4.7600000000000003E-2</v>
      </c>
      <c r="EE52" s="228">
        <v>1.73</v>
      </c>
      <c r="EF52" s="229">
        <v>5.3E-3</v>
      </c>
      <c r="EG52" s="230">
        <v>1534943</v>
      </c>
      <c r="EH52" s="230">
        <v>1199869</v>
      </c>
      <c r="EI52" s="229">
        <v>0.27929999999999999</v>
      </c>
      <c r="EJ52" s="229">
        <v>0.66549999999999998</v>
      </c>
      <c r="EK52" s="228">
        <v>134.51</v>
      </c>
      <c r="EL52" s="228">
        <v>44.7</v>
      </c>
      <c r="EM52" s="228">
        <v>136.49</v>
      </c>
      <c r="EN52" s="228">
        <v>0</v>
      </c>
      <c r="EO52" s="228">
        <v>315.7</v>
      </c>
      <c r="EP52" s="228">
        <v>429.29</v>
      </c>
      <c r="EQ52" s="228">
        <v>-113.59</v>
      </c>
      <c r="ER52" s="229">
        <v>-0.2646</v>
      </c>
      <c r="ES52" s="228">
        <v>173.67</v>
      </c>
      <c r="ET52" s="228">
        <v>138.75</v>
      </c>
      <c r="EU52" s="231">
        <v>1343.39</v>
      </c>
      <c r="EV52" s="231">
        <v>128770582</v>
      </c>
      <c r="EW52" s="231">
        <v>1655.81</v>
      </c>
      <c r="EX52" s="231">
        <v>1631.24</v>
      </c>
      <c r="EY52" s="228">
        <v>24.57</v>
      </c>
      <c r="EZ52" s="229">
        <v>1.5100000000000001E-2</v>
      </c>
      <c r="FA52" s="229">
        <v>0.39019999999999999</v>
      </c>
      <c r="FB52" s="227" t="s">
        <v>567</v>
      </c>
      <c r="FC52">
        <f t="shared" si="0"/>
        <v>64</v>
      </c>
    </row>
    <row r="53" spans="1:159" ht="17.25" thickBot="1" x14ac:dyDescent="0.3">
      <c r="A53" s="226">
        <v>45889</v>
      </c>
      <c r="B53" s="227" t="s">
        <v>184</v>
      </c>
      <c r="C53" s="227" t="s">
        <v>203</v>
      </c>
      <c r="D53" s="228">
        <v>200</v>
      </c>
      <c r="E53" s="228">
        <v>8</v>
      </c>
      <c r="F53" s="231">
        <v>3811.3</v>
      </c>
      <c r="G53" s="231">
        <v>3760.4</v>
      </c>
      <c r="H53" s="228">
        <v>50.9</v>
      </c>
      <c r="I53" s="229">
        <v>1.35E-2</v>
      </c>
      <c r="J53" s="231">
        <v>3818.4</v>
      </c>
      <c r="K53" s="231">
        <v>3752</v>
      </c>
      <c r="L53" s="228">
        <v>66.400000000000006</v>
      </c>
      <c r="M53" s="229">
        <v>1.77E-2</v>
      </c>
      <c r="N53" s="231">
        <v>3811.3</v>
      </c>
      <c r="O53" s="231">
        <v>3760.4</v>
      </c>
      <c r="P53" s="228">
        <v>50.9</v>
      </c>
      <c r="Q53" s="229">
        <v>1.35E-2</v>
      </c>
      <c r="R53" s="231">
        <v>3836.4</v>
      </c>
      <c r="S53" s="231">
        <v>3783</v>
      </c>
      <c r="T53" s="228">
        <v>53.4</v>
      </c>
      <c r="U53" s="229">
        <v>1.41E-2</v>
      </c>
      <c r="V53" s="231">
        <v>3854.7</v>
      </c>
      <c r="W53" s="231">
        <v>3790</v>
      </c>
      <c r="X53" s="228">
        <v>64.7</v>
      </c>
      <c r="Y53" s="229">
        <v>1.7100000000000001E-2</v>
      </c>
      <c r="Z53" s="228">
        <v>-7.1</v>
      </c>
      <c r="AA53" s="228">
        <v>8.4</v>
      </c>
      <c r="AB53" s="228">
        <v>-15.5</v>
      </c>
      <c r="AC53" s="229">
        <v>-1.9E-3</v>
      </c>
      <c r="AD53" s="228">
        <v>-7.1</v>
      </c>
      <c r="AE53" s="228">
        <v>8.4</v>
      </c>
      <c r="AF53" s="228">
        <v>-15.5</v>
      </c>
      <c r="AG53" s="229">
        <v>-1.9E-3</v>
      </c>
      <c r="AH53" s="228">
        <v>18</v>
      </c>
      <c r="AI53" s="228">
        <v>31</v>
      </c>
      <c r="AJ53" s="228">
        <v>-13</v>
      </c>
      <c r="AK53" s="229">
        <v>4.7000000000000002E-3</v>
      </c>
      <c r="AL53" s="228">
        <v>36.299999999999997</v>
      </c>
      <c r="AM53" s="228">
        <v>38</v>
      </c>
      <c r="AN53" s="228">
        <v>-1.7</v>
      </c>
      <c r="AO53" s="229">
        <v>9.4999999999999998E-3</v>
      </c>
      <c r="AP53" s="231">
        <v>3795.18</v>
      </c>
      <c r="AQ53" s="231">
        <v>3815.13</v>
      </c>
      <c r="AR53" s="228">
        <v>0</v>
      </c>
      <c r="AS53" s="228">
        <v>243</v>
      </c>
      <c r="AT53" s="228">
        <v>157</v>
      </c>
      <c r="AU53" s="228">
        <v>86</v>
      </c>
      <c r="AV53" s="229">
        <v>0.5474</v>
      </c>
      <c r="AW53" s="228">
        <v>214</v>
      </c>
      <c r="AX53" s="228">
        <v>144</v>
      </c>
      <c r="AY53" s="228">
        <v>70</v>
      </c>
      <c r="AZ53" s="229">
        <v>0.48620000000000002</v>
      </c>
      <c r="BA53" s="228">
        <v>23</v>
      </c>
      <c r="BB53" s="228">
        <v>12</v>
      </c>
      <c r="BC53" s="228">
        <v>11</v>
      </c>
      <c r="BD53" s="229">
        <v>0.87039999999999995</v>
      </c>
      <c r="BE53" s="228">
        <v>6</v>
      </c>
      <c r="BF53" s="228">
        <v>1</v>
      </c>
      <c r="BG53" s="228">
        <v>5</v>
      </c>
      <c r="BH53" s="229">
        <v>9.5714000000000006</v>
      </c>
      <c r="BI53" s="228">
        <v>823</v>
      </c>
      <c r="BJ53" s="228">
        <v>335</v>
      </c>
      <c r="BK53" s="228">
        <v>488</v>
      </c>
      <c r="BL53" s="229">
        <v>1.4560999999999999</v>
      </c>
      <c r="BM53" s="228">
        <v>280</v>
      </c>
      <c r="BN53" s="228">
        <v>226</v>
      </c>
      <c r="BO53" s="228">
        <v>54</v>
      </c>
      <c r="BP53" s="229">
        <v>0.24060000000000001</v>
      </c>
      <c r="BQ53" s="230">
        <v>1346</v>
      </c>
      <c r="BR53" s="228">
        <v>718</v>
      </c>
      <c r="BS53" s="228">
        <v>628</v>
      </c>
      <c r="BT53" s="229">
        <v>0.87539999999999996</v>
      </c>
      <c r="BU53" s="230">
        <v>564389</v>
      </c>
      <c r="BV53" s="230">
        <v>440160</v>
      </c>
      <c r="BW53" s="230">
        <v>124229</v>
      </c>
      <c r="BX53" s="229">
        <v>0.28220000000000001</v>
      </c>
      <c r="BY53" s="230">
        <v>1338</v>
      </c>
      <c r="BZ53" s="230">
        <v>1323</v>
      </c>
      <c r="CA53" s="228">
        <v>15</v>
      </c>
      <c r="CB53" s="229">
        <v>1.12E-2</v>
      </c>
      <c r="CC53" s="230">
        <v>1282</v>
      </c>
      <c r="CD53" s="230">
        <v>1273</v>
      </c>
      <c r="CE53" s="228">
        <v>9</v>
      </c>
      <c r="CF53" s="229">
        <v>7.1000000000000004E-3</v>
      </c>
      <c r="CG53" s="228">
        <v>53</v>
      </c>
      <c r="CH53" s="228">
        <v>47</v>
      </c>
      <c r="CI53" s="228">
        <v>6</v>
      </c>
      <c r="CJ53" s="229">
        <v>0.1275</v>
      </c>
      <c r="CK53" s="228">
        <v>3</v>
      </c>
      <c r="CL53" s="228">
        <v>3</v>
      </c>
      <c r="CM53" s="228">
        <v>0</v>
      </c>
      <c r="CN53" s="229">
        <v>-4.4400000000000002E-2</v>
      </c>
      <c r="CO53" s="228">
        <v>392</v>
      </c>
      <c r="CP53" s="228">
        <v>372</v>
      </c>
      <c r="CQ53" s="228">
        <v>21</v>
      </c>
      <c r="CR53" s="229">
        <v>5.5800000000000002E-2</v>
      </c>
      <c r="CS53" s="228">
        <v>326</v>
      </c>
      <c r="CT53" s="228">
        <v>325</v>
      </c>
      <c r="CU53" s="228">
        <v>2</v>
      </c>
      <c r="CV53" s="229">
        <v>5.1999999999999998E-3</v>
      </c>
      <c r="CW53" s="230">
        <v>2057</v>
      </c>
      <c r="CX53" s="230">
        <v>2019</v>
      </c>
      <c r="CY53" s="228">
        <v>37</v>
      </c>
      <c r="CZ53" s="229">
        <v>1.84E-2</v>
      </c>
      <c r="DA53" s="228">
        <v>27.48</v>
      </c>
      <c r="DB53" s="228">
        <v>26.51</v>
      </c>
      <c r="DC53" s="228">
        <v>0.97</v>
      </c>
      <c r="DD53" s="228">
        <v>0.97</v>
      </c>
      <c r="DE53" s="228">
        <v>37.56</v>
      </c>
      <c r="DF53" s="228">
        <v>37.58</v>
      </c>
      <c r="DG53" s="228">
        <v>-10.08</v>
      </c>
      <c r="DH53" s="228">
        <v>-0.02</v>
      </c>
      <c r="DI53" s="228">
        <v>27.63</v>
      </c>
      <c r="DJ53" s="228">
        <v>26.73</v>
      </c>
      <c r="DK53" s="228">
        <v>0.9</v>
      </c>
      <c r="DL53" s="228">
        <v>0.9</v>
      </c>
      <c r="DM53" s="228">
        <v>27.02</v>
      </c>
      <c r="DN53" s="228">
        <v>26.17</v>
      </c>
      <c r="DO53" s="228">
        <v>0.85</v>
      </c>
      <c r="DP53" s="228">
        <v>0.85</v>
      </c>
      <c r="DQ53" s="228">
        <v>0.83</v>
      </c>
      <c r="DR53" s="228">
        <v>0.87</v>
      </c>
      <c r="DS53" s="228">
        <v>-0.04</v>
      </c>
      <c r="DT53" s="229">
        <v>-4.5999999999999999E-2</v>
      </c>
      <c r="DU53" s="231">
        <v>4000</v>
      </c>
      <c r="DV53" s="231">
        <v>3800</v>
      </c>
      <c r="DW53" s="228">
        <v>0.34</v>
      </c>
      <c r="DX53" s="228">
        <v>0.67</v>
      </c>
      <c r="DY53" s="228">
        <v>-0.33</v>
      </c>
      <c r="DZ53" s="229">
        <v>-0.49249999999999999</v>
      </c>
      <c r="EA53" s="229">
        <v>4.1799999999999997E-2</v>
      </c>
      <c r="EB53" s="230">
        <v>131400</v>
      </c>
      <c r="EC53" s="229">
        <v>6.6E-3</v>
      </c>
      <c r="ED53" s="229">
        <v>4.1799999999999997E-2</v>
      </c>
      <c r="EE53" s="228">
        <v>19.95</v>
      </c>
      <c r="EF53" s="229">
        <v>5.3E-3</v>
      </c>
      <c r="EG53" s="230">
        <v>387561</v>
      </c>
      <c r="EH53" s="230">
        <v>299603</v>
      </c>
      <c r="EI53" s="229">
        <v>0.29360000000000003</v>
      </c>
      <c r="EJ53" s="229">
        <v>0.68669999999999998</v>
      </c>
      <c r="EK53" s="228">
        <v>845.71</v>
      </c>
      <c r="EL53" s="228">
        <v>273.36</v>
      </c>
      <c r="EM53" s="228">
        <v>242.02</v>
      </c>
      <c r="EN53" s="228">
        <v>0</v>
      </c>
      <c r="EO53" s="231">
        <v>1361.09</v>
      </c>
      <c r="EP53" s="228">
        <v>719.56</v>
      </c>
      <c r="EQ53" s="228">
        <v>641.53</v>
      </c>
      <c r="ER53" s="229">
        <v>0.89159999999999995</v>
      </c>
      <c r="ES53" s="228">
        <v>397.95</v>
      </c>
      <c r="ET53" s="228">
        <v>307</v>
      </c>
      <c r="EU53" s="231">
        <v>1338.38</v>
      </c>
      <c r="EV53" s="231">
        <v>27165600</v>
      </c>
      <c r="EW53" s="231">
        <v>2043.33</v>
      </c>
      <c r="EX53" s="231">
        <v>1986.75</v>
      </c>
      <c r="EY53" s="228">
        <v>56.58</v>
      </c>
      <c r="EZ53" s="229">
        <v>2.8500000000000001E-2</v>
      </c>
      <c r="FA53" s="229">
        <v>0.1986</v>
      </c>
      <c r="FB53" s="227" t="s">
        <v>555</v>
      </c>
      <c r="FC53">
        <f t="shared" si="0"/>
        <v>56</v>
      </c>
    </row>
    <row r="54" spans="1:159" ht="17.25" thickBot="1" x14ac:dyDescent="0.3">
      <c r="A54" s="226">
        <v>45889</v>
      </c>
      <c r="B54" s="227" t="s">
        <v>221</v>
      </c>
      <c r="C54" s="227" t="s">
        <v>573</v>
      </c>
      <c r="D54" s="228">
        <v>425</v>
      </c>
      <c r="E54" s="228">
        <v>8</v>
      </c>
      <c r="F54" s="231">
        <v>1234.3</v>
      </c>
      <c r="G54" s="231">
        <v>1210</v>
      </c>
      <c r="H54" s="228">
        <v>24.3</v>
      </c>
      <c r="I54" s="229">
        <v>2.01E-2</v>
      </c>
      <c r="J54" s="231">
        <v>1230.5999999999999</v>
      </c>
      <c r="K54" s="231">
        <v>1209.2</v>
      </c>
      <c r="L54" s="228">
        <v>21.4</v>
      </c>
      <c r="M54" s="229">
        <v>1.77E-2</v>
      </c>
      <c r="N54" s="231">
        <v>1234.3</v>
      </c>
      <c r="O54" s="231">
        <v>1210</v>
      </c>
      <c r="P54" s="228">
        <v>24.3</v>
      </c>
      <c r="Q54" s="229">
        <v>2.01E-2</v>
      </c>
      <c r="R54" s="231">
        <v>1241.2</v>
      </c>
      <c r="S54" s="231">
        <v>1217</v>
      </c>
      <c r="T54" s="228">
        <v>24.2</v>
      </c>
      <c r="U54" s="229">
        <v>1.9900000000000001E-2</v>
      </c>
      <c r="V54" s="231">
        <v>1245</v>
      </c>
      <c r="W54" s="231">
        <v>1220.2</v>
      </c>
      <c r="X54" s="228">
        <v>24.8</v>
      </c>
      <c r="Y54" s="229">
        <v>2.0299999999999999E-2</v>
      </c>
      <c r="Z54" s="228">
        <v>3.7</v>
      </c>
      <c r="AA54" s="228">
        <v>0.8</v>
      </c>
      <c r="AB54" s="228">
        <v>2.9</v>
      </c>
      <c r="AC54" s="229">
        <v>3.0000000000000001E-3</v>
      </c>
      <c r="AD54" s="228">
        <v>3.7</v>
      </c>
      <c r="AE54" s="228">
        <v>0.8</v>
      </c>
      <c r="AF54" s="228">
        <v>2.9</v>
      </c>
      <c r="AG54" s="229">
        <v>3.0000000000000001E-3</v>
      </c>
      <c r="AH54" s="228">
        <v>10.6</v>
      </c>
      <c r="AI54" s="228">
        <v>7.8</v>
      </c>
      <c r="AJ54" s="228">
        <v>2.8</v>
      </c>
      <c r="AK54" s="229">
        <v>8.6E-3</v>
      </c>
      <c r="AL54" s="228">
        <v>14.4</v>
      </c>
      <c r="AM54" s="228">
        <v>11</v>
      </c>
      <c r="AN54" s="228">
        <v>3.4</v>
      </c>
      <c r="AO54" s="229">
        <v>1.17E-2</v>
      </c>
      <c r="AP54" s="231">
        <v>1224.81</v>
      </c>
      <c r="AQ54" s="231">
        <v>1233.22</v>
      </c>
      <c r="AR54" s="228">
        <v>0</v>
      </c>
      <c r="AS54" s="228">
        <v>88</v>
      </c>
      <c r="AT54" s="228">
        <v>47</v>
      </c>
      <c r="AU54" s="228">
        <v>42</v>
      </c>
      <c r="AV54" s="229">
        <v>0.89410000000000001</v>
      </c>
      <c r="AW54" s="228">
        <v>66</v>
      </c>
      <c r="AX54" s="228">
        <v>39</v>
      </c>
      <c r="AY54" s="228">
        <v>27</v>
      </c>
      <c r="AZ54" s="229">
        <v>0.68769999999999998</v>
      </c>
      <c r="BA54" s="228">
        <v>21</v>
      </c>
      <c r="BB54" s="228">
        <v>7</v>
      </c>
      <c r="BC54" s="228">
        <v>14</v>
      </c>
      <c r="BD54" s="229">
        <v>2.1920000000000002</v>
      </c>
      <c r="BE54" s="228">
        <v>1</v>
      </c>
      <c r="BF54" s="228">
        <v>1</v>
      </c>
      <c r="BG54" s="228">
        <v>0</v>
      </c>
      <c r="BH54" s="229">
        <v>0.4118</v>
      </c>
      <c r="BI54" s="228">
        <v>599</v>
      </c>
      <c r="BJ54" s="228">
        <v>168</v>
      </c>
      <c r="BK54" s="228">
        <v>431</v>
      </c>
      <c r="BL54" s="229">
        <v>2.5720000000000001</v>
      </c>
      <c r="BM54" s="228">
        <v>102</v>
      </c>
      <c r="BN54" s="228">
        <v>36</v>
      </c>
      <c r="BO54" s="228">
        <v>66</v>
      </c>
      <c r="BP54" s="229">
        <v>1.8471</v>
      </c>
      <c r="BQ54" s="228">
        <v>789</v>
      </c>
      <c r="BR54" s="228">
        <v>250</v>
      </c>
      <c r="BS54" s="228">
        <v>539</v>
      </c>
      <c r="BT54" s="229">
        <v>2.1558000000000002</v>
      </c>
      <c r="BU54" s="230">
        <v>409969</v>
      </c>
      <c r="BV54" s="230">
        <v>290404</v>
      </c>
      <c r="BW54" s="230">
        <v>119565</v>
      </c>
      <c r="BX54" s="229">
        <v>0.41170000000000001</v>
      </c>
      <c r="BY54" s="228">
        <v>341</v>
      </c>
      <c r="BZ54" s="228">
        <v>344</v>
      </c>
      <c r="CA54" s="228">
        <v>-3</v>
      </c>
      <c r="CB54" s="229">
        <v>-7.7999999999999996E-3</v>
      </c>
      <c r="CC54" s="228">
        <v>316</v>
      </c>
      <c r="CD54" s="228">
        <v>327</v>
      </c>
      <c r="CE54" s="228">
        <v>-10</v>
      </c>
      <c r="CF54" s="229">
        <v>-3.2000000000000001E-2</v>
      </c>
      <c r="CG54" s="228">
        <v>23</v>
      </c>
      <c r="CH54" s="228">
        <v>15</v>
      </c>
      <c r="CI54" s="228">
        <v>8</v>
      </c>
      <c r="CJ54" s="229">
        <v>0.49659999999999999</v>
      </c>
      <c r="CK54" s="228">
        <v>2</v>
      </c>
      <c r="CL54" s="228">
        <v>2</v>
      </c>
      <c r="CM54" s="228">
        <v>0</v>
      </c>
      <c r="CN54" s="229">
        <v>0.125</v>
      </c>
      <c r="CO54" s="228">
        <v>176</v>
      </c>
      <c r="CP54" s="228">
        <v>124</v>
      </c>
      <c r="CQ54" s="228">
        <v>51</v>
      </c>
      <c r="CR54" s="229">
        <v>0.41049999999999998</v>
      </c>
      <c r="CS54" s="228">
        <v>77</v>
      </c>
      <c r="CT54" s="228">
        <v>68</v>
      </c>
      <c r="CU54" s="228">
        <v>9</v>
      </c>
      <c r="CV54" s="229">
        <v>0.13320000000000001</v>
      </c>
      <c r="CW54" s="228">
        <v>593</v>
      </c>
      <c r="CX54" s="228">
        <v>536</v>
      </c>
      <c r="CY54" s="228">
        <v>57</v>
      </c>
      <c r="CZ54" s="229">
        <v>0.1072</v>
      </c>
      <c r="DA54" s="228">
        <v>30.73</v>
      </c>
      <c r="DB54" s="228">
        <v>25.84</v>
      </c>
      <c r="DC54" s="228">
        <v>4.8899999999999997</v>
      </c>
      <c r="DD54" s="228">
        <v>4.8899999999999997</v>
      </c>
      <c r="DE54" s="228">
        <v>46.31</v>
      </c>
      <c r="DF54" s="228">
        <v>46.35</v>
      </c>
      <c r="DG54" s="228">
        <v>-15.58</v>
      </c>
      <c r="DH54" s="228">
        <v>-0.04</v>
      </c>
      <c r="DI54" s="228">
        <v>31.13</v>
      </c>
      <c r="DJ54" s="228">
        <v>25.46</v>
      </c>
      <c r="DK54" s="228">
        <v>5.67</v>
      </c>
      <c r="DL54" s="228">
        <v>5.67</v>
      </c>
      <c r="DM54" s="228">
        <v>28.35</v>
      </c>
      <c r="DN54" s="228">
        <v>27.61</v>
      </c>
      <c r="DO54" s="228">
        <v>0.74</v>
      </c>
      <c r="DP54" s="228">
        <v>0.74</v>
      </c>
      <c r="DQ54" s="228">
        <v>0.44</v>
      </c>
      <c r="DR54" s="228">
        <v>0.54</v>
      </c>
      <c r="DS54" s="228">
        <v>-0.1</v>
      </c>
      <c r="DT54" s="229">
        <v>-0.1852</v>
      </c>
      <c r="DU54" s="231">
        <v>1320</v>
      </c>
      <c r="DV54" s="231">
        <v>1200</v>
      </c>
      <c r="DW54" s="228">
        <v>0.17</v>
      </c>
      <c r="DX54" s="228">
        <v>0.21</v>
      </c>
      <c r="DY54" s="228">
        <v>-0.04</v>
      </c>
      <c r="DZ54" s="229">
        <v>-0.1905</v>
      </c>
      <c r="EA54" s="229">
        <v>7.2300000000000003E-2</v>
      </c>
      <c r="EB54" s="230">
        <v>136850</v>
      </c>
      <c r="EC54" s="229">
        <v>5.5999999999999999E-3</v>
      </c>
      <c r="ED54" s="229">
        <v>7.2300000000000003E-2</v>
      </c>
      <c r="EE54" s="228">
        <v>8.41</v>
      </c>
      <c r="EF54" s="229">
        <v>6.8999999999999999E-3</v>
      </c>
      <c r="EG54" s="230">
        <v>165505</v>
      </c>
      <c r="EH54" s="230">
        <v>149813</v>
      </c>
      <c r="EI54" s="229">
        <v>0.1047</v>
      </c>
      <c r="EJ54" s="229">
        <v>0.4037</v>
      </c>
      <c r="EK54" s="228">
        <v>620.87</v>
      </c>
      <c r="EL54" s="228">
        <v>98.54</v>
      </c>
      <c r="EM54" s="228">
        <v>87.71</v>
      </c>
      <c r="EN54" s="228">
        <v>0</v>
      </c>
      <c r="EO54" s="228">
        <v>807.12</v>
      </c>
      <c r="EP54" s="228">
        <v>246.46</v>
      </c>
      <c r="EQ54" s="228">
        <v>560.66</v>
      </c>
      <c r="ER54" s="229">
        <v>2.2749000000000001</v>
      </c>
      <c r="ES54" s="228">
        <v>183.08</v>
      </c>
      <c r="ET54" s="228">
        <v>73.7</v>
      </c>
      <c r="EU54" s="228">
        <v>341.07</v>
      </c>
      <c r="EV54" s="231">
        <v>16888762</v>
      </c>
      <c r="EW54" s="228">
        <v>597.84</v>
      </c>
      <c r="EX54" s="228">
        <v>529.16999999999996</v>
      </c>
      <c r="EY54" s="228">
        <v>68.67</v>
      </c>
      <c r="EZ54" s="229">
        <v>0.1298</v>
      </c>
      <c r="FA54" s="229">
        <v>0.28460000000000002</v>
      </c>
      <c r="FB54" s="227" t="s">
        <v>556</v>
      </c>
      <c r="FC54">
        <f t="shared" si="0"/>
        <v>25</v>
      </c>
    </row>
    <row r="55" spans="1:159" ht="17.25" thickBot="1" x14ac:dyDescent="0.3">
      <c r="A55" s="226">
        <v>45889</v>
      </c>
      <c r="B55" s="227" t="s">
        <v>168</v>
      </c>
      <c r="C55" s="227" t="s">
        <v>204</v>
      </c>
      <c r="D55" s="228">
        <v>1250</v>
      </c>
      <c r="E55" s="228">
        <v>8</v>
      </c>
      <c r="F55" s="228">
        <v>536.85</v>
      </c>
      <c r="G55" s="228">
        <v>523.6</v>
      </c>
      <c r="H55" s="228">
        <v>13.25</v>
      </c>
      <c r="I55" s="229">
        <v>2.53E-2</v>
      </c>
      <c r="J55" s="228">
        <v>535</v>
      </c>
      <c r="K55" s="228">
        <v>522.04999999999995</v>
      </c>
      <c r="L55" s="228">
        <v>12.95</v>
      </c>
      <c r="M55" s="229">
        <v>2.4799999999999999E-2</v>
      </c>
      <c r="N55" s="228">
        <v>536.85</v>
      </c>
      <c r="O55" s="228">
        <v>523.6</v>
      </c>
      <c r="P55" s="228">
        <v>13.25</v>
      </c>
      <c r="Q55" s="229">
        <v>2.53E-2</v>
      </c>
      <c r="R55" s="228">
        <v>539.1</v>
      </c>
      <c r="S55" s="228">
        <v>525.95000000000005</v>
      </c>
      <c r="T55" s="228">
        <v>13.15</v>
      </c>
      <c r="U55" s="229">
        <v>2.5000000000000001E-2</v>
      </c>
      <c r="V55" s="228">
        <v>541.4</v>
      </c>
      <c r="W55" s="228">
        <v>527.9</v>
      </c>
      <c r="X55" s="228">
        <v>13.5</v>
      </c>
      <c r="Y55" s="229">
        <v>2.5600000000000001E-2</v>
      </c>
      <c r="Z55" s="228">
        <v>1.85</v>
      </c>
      <c r="AA55" s="228">
        <v>1.55</v>
      </c>
      <c r="AB55" s="228">
        <v>0.3</v>
      </c>
      <c r="AC55" s="229">
        <v>3.5000000000000001E-3</v>
      </c>
      <c r="AD55" s="228">
        <v>1.85</v>
      </c>
      <c r="AE55" s="228">
        <v>1.55</v>
      </c>
      <c r="AF55" s="228">
        <v>0.3</v>
      </c>
      <c r="AG55" s="229">
        <v>3.5000000000000001E-3</v>
      </c>
      <c r="AH55" s="228">
        <v>4.0999999999999996</v>
      </c>
      <c r="AI55" s="228">
        <v>3.9</v>
      </c>
      <c r="AJ55" s="228">
        <v>0.2</v>
      </c>
      <c r="AK55" s="229">
        <v>7.7000000000000002E-3</v>
      </c>
      <c r="AL55" s="228">
        <v>6.4</v>
      </c>
      <c r="AM55" s="228">
        <v>5.85</v>
      </c>
      <c r="AN55" s="228">
        <v>0.55000000000000004</v>
      </c>
      <c r="AO55" s="229">
        <v>1.2E-2</v>
      </c>
      <c r="AP55" s="228">
        <v>531.4</v>
      </c>
      <c r="AQ55" s="228">
        <v>533.20000000000005</v>
      </c>
      <c r="AR55" s="228">
        <v>0</v>
      </c>
      <c r="AS55" s="228">
        <v>682</v>
      </c>
      <c r="AT55" s="228">
        <v>160</v>
      </c>
      <c r="AU55" s="228">
        <v>523</v>
      </c>
      <c r="AV55" s="229">
        <v>3.2723</v>
      </c>
      <c r="AW55" s="228">
        <v>591</v>
      </c>
      <c r="AX55" s="228">
        <v>134</v>
      </c>
      <c r="AY55" s="228">
        <v>457</v>
      </c>
      <c r="AZ55" s="229">
        <v>3.4142000000000001</v>
      </c>
      <c r="BA55" s="228">
        <v>88</v>
      </c>
      <c r="BB55" s="228">
        <v>24</v>
      </c>
      <c r="BC55" s="228">
        <v>64</v>
      </c>
      <c r="BD55" s="229">
        <v>2.6116000000000001</v>
      </c>
      <c r="BE55" s="228">
        <v>4</v>
      </c>
      <c r="BF55" s="228">
        <v>2</v>
      </c>
      <c r="BG55" s="228">
        <v>2</v>
      </c>
      <c r="BH55" s="229">
        <v>1.3913</v>
      </c>
      <c r="BI55" s="230">
        <v>2474</v>
      </c>
      <c r="BJ55" s="228">
        <v>512</v>
      </c>
      <c r="BK55" s="230">
        <v>1963</v>
      </c>
      <c r="BL55" s="229">
        <v>3.835</v>
      </c>
      <c r="BM55" s="228">
        <v>704</v>
      </c>
      <c r="BN55" s="228">
        <v>223</v>
      </c>
      <c r="BO55" s="228">
        <v>480</v>
      </c>
      <c r="BP55" s="229">
        <v>2.1507999999999998</v>
      </c>
      <c r="BQ55" s="230">
        <v>3861</v>
      </c>
      <c r="BR55" s="228">
        <v>895</v>
      </c>
      <c r="BS55" s="230">
        <v>2966</v>
      </c>
      <c r="BT55" s="229">
        <v>3.3140999999999998</v>
      </c>
      <c r="BU55" s="230">
        <v>12440027</v>
      </c>
      <c r="BV55" s="230">
        <v>660153</v>
      </c>
      <c r="BW55" s="230">
        <v>11779874</v>
      </c>
      <c r="BX55" s="229">
        <v>17.844200000000001</v>
      </c>
      <c r="BY55" s="230">
        <v>1053</v>
      </c>
      <c r="BZ55" s="228">
        <v>865</v>
      </c>
      <c r="CA55" s="228">
        <v>187</v>
      </c>
      <c r="CB55" s="229">
        <v>0.21629999999999999</v>
      </c>
      <c r="CC55" s="228">
        <v>962</v>
      </c>
      <c r="CD55" s="228">
        <v>809</v>
      </c>
      <c r="CE55" s="228">
        <v>153</v>
      </c>
      <c r="CF55" s="229">
        <v>0.18940000000000001</v>
      </c>
      <c r="CG55" s="228">
        <v>87</v>
      </c>
      <c r="CH55" s="228">
        <v>54</v>
      </c>
      <c r="CI55" s="228">
        <v>33</v>
      </c>
      <c r="CJ55" s="229">
        <v>0.6089</v>
      </c>
      <c r="CK55" s="228">
        <v>3</v>
      </c>
      <c r="CL55" s="228">
        <v>2</v>
      </c>
      <c r="CM55" s="228">
        <v>1</v>
      </c>
      <c r="CN55" s="229">
        <v>0.4</v>
      </c>
      <c r="CO55" s="228">
        <v>599</v>
      </c>
      <c r="CP55" s="228">
        <v>605</v>
      </c>
      <c r="CQ55" s="228">
        <v>-6</v>
      </c>
      <c r="CR55" s="229">
        <v>-0.01</v>
      </c>
      <c r="CS55" s="228">
        <v>316</v>
      </c>
      <c r="CT55" s="228">
        <v>288</v>
      </c>
      <c r="CU55" s="228">
        <v>28</v>
      </c>
      <c r="CV55" s="229">
        <v>9.6699999999999994E-2</v>
      </c>
      <c r="CW55" s="230">
        <v>1967</v>
      </c>
      <c r="CX55" s="230">
        <v>1758</v>
      </c>
      <c r="CY55" s="228">
        <v>209</v>
      </c>
      <c r="CZ55" s="229">
        <v>0.1188</v>
      </c>
      <c r="DA55" s="228">
        <v>23.3</v>
      </c>
      <c r="DB55" s="228">
        <v>20.09</v>
      </c>
      <c r="DC55" s="228">
        <v>3.21</v>
      </c>
      <c r="DD55" s="228">
        <v>3.21</v>
      </c>
      <c r="DE55" s="228">
        <v>25.47</v>
      </c>
      <c r="DF55" s="228">
        <v>25.31</v>
      </c>
      <c r="DG55" s="228">
        <v>-2.17</v>
      </c>
      <c r="DH55" s="228">
        <v>0.16</v>
      </c>
      <c r="DI55" s="228">
        <v>23.27</v>
      </c>
      <c r="DJ55" s="228">
        <v>19.8</v>
      </c>
      <c r="DK55" s="228">
        <v>3.47</v>
      </c>
      <c r="DL55" s="228">
        <v>3.47</v>
      </c>
      <c r="DM55" s="228">
        <v>23.4</v>
      </c>
      <c r="DN55" s="228">
        <v>20.75</v>
      </c>
      <c r="DO55" s="228">
        <v>2.65</v>
      </c>
      <c r="DP55" s="228">
        <v>2.65</v>
      </c>
      <c r="DQ55" s="228">
        <v>0.53</v>
      </c>
      <c r="DR55" s="228">
        <v>0.48</v>
      </c>
      <c r="DS55" s="228">
        <v>0.05</v>
      </c>
      <c r="DT55" s="229">
        <v>0.1042</v>
      </c>
      <c r="DU55" s="228">
        <v>540</v>
      </c>
      <c r="DV55" s="228">
        <v>500</v>
      </c>
      <c r="DW55" s="228">
        <v>0.28000000000000003</v>
      </c>
      <c r="DX55" s="228">
        <v>0.44</v>
      </c>
      <c r="DY55" s="228">
        <v>-0.16</v>
      </c>
      <c r="DZ55" s="229">
        <v>-0.36359999999999998</v>
      </c>
      <c r="EA55" s="229">
        <v>8.5999999999999993E-2</v>
      </c>
      <c r="EB55" s="230">
        <v>1053750</v>
      </c>
      <c r="EC55" s="229">
        <v>4.1999999999999997E-3</v>
      </c>
      <c r="ED55" s="229">
        <v>8.5999999999999993E-2</v>
      </c>
      <c r="EE55" s="228">
        <v>1.8</v>
      </c>
      <c r="EF55" s="229">
        <v>3.3999999999999998E-3</v>
      </c>
      <c r="EG55" s="230">
        <v>8980541</v>
      </c>
      <c r="EH55" s="230">
        <v>281340</v>
      </c>
      <c r="EI55" s="229">
        <v>30.9206</v>
      </c>
      <c r="EJ55" s="229">
        <v>0.72189999999999999</v>
      </c>
      <c r="EK55" s="231">
        <v>2509.92</v>
      </c>
      <c r="EL55" s="228">
        <v>688.61</v>
      </c>
      <c r="EM55" s="228">
        <v>675.72</v>
      </c>
      <c r="EN55" s="228">
        <v>0</v>
      </c>
      <c r="EO55" s="231">
        <v>3874.24</v>
      </c>
      <c r="EP55" s="228">
        <v>879.38</v>
      </c>
      <c r="EQ55" s="231">
        <v>2994.87</v>
      </c>
      <c r="ER55" s="229">
        <v>3.4056999999999999</v>
      </c>
      <c r="ES55" s="228">
        <v>610.77</v>
      </c>
      <c r="ET55" s="228">
        <v>300.20999999999998</v>
      </c>
      <c r="EU55" s="231">
        <v>1053.02</v>
      </c>
      <c r="EV55" s="231">
        <v>119831037</v>
      </c>
      <c r="EW55" s="231">
        <v>1964.01</v>
      </c>
      <c r="EX55" s="231">
        <v>1728.46</v>
      </c>
      <c r="EY55" s="228">
        <v>235.55</v>
      </c>
      <c r="EZ55" s="229">
        <v>0.1363</v>
      </c>
      <c r="FA55" s="229">
        <v>0.30580000000000002</v>
      </c>
      <c r="FB55" s="227" t="s">
        <v>555</v>
      </c>
      <c r="FC55">
        <f t="shared" si="0"/>
        <v>91</v>
      </c>
    </row>
    <row r="56" spans="1:159" ht="17.25" thickBot="1" x14ac:dyDescent="0.3">
      <c r="A56" s="226">
        <v>45889</v>
      </c>
      <c r="B56" s="227" t="s">
        <v>157</v>
      </c>
      <c r="C56" s="227" t="s">
        <v>524</v>
      </c>
      <c r="D56" s="228">
        <v>325</v>
      </c>
      <c r="E56" s="228">
        <v>8</v>
      </c>
      <c r="F56" s="231">
        <v>2349.9</v>
      </c>
      <c r="G56" s="231">
        <v>2347.5</v>
      </c>
      <c r="H56" s="228">
        <v>2.4</v>
      </c>
      <c r="I56" s="229">
        <v>1E-3</v>
      </c>
      <c r="J56" s="231">
        <v>2344.4</v>
      </c>
      <c r="K56" s="231">
        <v>2346.5</v>
      </c>
      <c r="L56" s="228">
        <v>-2.1</v>
      </c>
      <c r="M56" s="229">
        <v>-8.9999999999999998E-4</v>
      </c>
      <c r="N56" s="231">
        <v>2349.9</v>
      </c>
      <c r="O56" s="231">
        <v>2347.5</v>
      </c>
      <c r="P56" s="228">
        <v>2.4</v>
      </c>
      <c r="Q56" s="229">
        <v>1E-3</v>
      </c>
      <c r="R56" s="231">
        <v>2363.3000000000002</v>
      </c>
      <c r="S56" s="231">
        <v>2356.6999999999998</v>
      </c>
      <c r="T56" s="228">
        <v>6.6</v>
      </c>
      <c r="U56" s="229">
        <v>2.8E-3</v>
      </c>
      <c r="V56" s="231">
        <v>2367.6</v>
      </c>
      <c r="W56" s="231">
        <v>2357.3000000000002</v>
      </c>
      <c r="X56" s="228">
        <v>10.3</v>
      </c>
      <c r="Y56" s="229">
        <v>4.4000000000000003E-3</v>
      </c>
      <c r="Z56" s="228">
        <v>5.5</v>
      </c>
      <c r="AA56" s="228">
        <v>1</v>
      </c>
      <c r="AB56" s="228">
        <v>4.5</v>
      </c>
      <c r="AC56" s="229">
        <v>2.3E-3</v>
      </c>
      <c r="AD56" s="228">
        <v>5.5</v>
      </c>
      <c r="AE56" s="228">
        <v>1</v>
      </c>
      <c r="AF56" s="228">
        <v>4.5</v>
      </c>
      <c r="AG56" s="229">
        <v>2.3E-3</v>
      </c>
      <c r="AH56" s="228">
        <v>18.899999999999999</v>
      </c>
      <c r="AI56" s="228">
        <v>10.199999999999999</v>
      </c>
      <c r="AJ56" s="228">
        <v>8.6999999999999993</v>
      </c>
      <c r="AK56" s="229">
        <v>8.0999999999999996E-3</v>
      </c>
      <c r="AL56" s="228">
        <v>23.2</v>
      </c>
      <c r="AM56" s="228">
        <v>10.8</v>
      </c>
      <c r="AN56" s="228">
        <v>12.4</v>
      </c>
      <c r="AO56" s="229">
        <v>9.9000000000000008E-3</v>
      </c>
      <c r="AP56" s="231">
        <v>2348.31</v>
      </c>
      <c r="AQ56" s="231">
        <v>2363.11</v>
      </c>
      <c r="AR56" s="228">
        <v>0</v>
      </c>
      <c r="AS56" s="228">
        <v>46</v>
      </c>
      <c r="AT56" s="228">
        <v>81</v>
      </c>
      <c r="AU56" s="228">
        <v>-34</v>
      </c>
      <c r="AV56" s="229">
        <v>-0.42420000000000002</v>
      </c>
      <c r="AW56" s="228">
        <v>38</v>
      </c>
      <c r="AX56" s="228">
        <v>72</v>
      </c>
      <c r="AY56" s="228">
        <v>-34</v>
      </c>
      <c r="AZ56" s="229">
        <v>-0.47720000000000001</v>
      </c>
      <c r="BA56" s="228">
        <v>8</v>
      </c>
      <c r="BB56" s="228">
        <v>8</v>
      </c>
      <c r="BC56" s="228">
        <v>0</v>
      </c>
      <c r="BD56" s="229">
        <v>0</v>
      </c>
      <c r="BE56" s="228">
        <v>0</v>
      </c>
      <c r="BF56" s="228">
        <v>0</v>
      </c>
      <c r="BG56" s="228">
        <v>0</v>
      </c>
      <c r="BH56" s="229">
        <v>1.5</v>
      </c>
      <c r="BI56" s="228">
        <v>59</v>
      </c>
      <c r="BJ56" s="228">
        <v>121</v>
      </c>
      <c r="BK56" s="228">
        <v>-62</v>
      </c>
      <c r="BL56" s="229">
        <v>-0.50980000000000003</v>
      </c>
      <c r="BM56" s="228">
        <v>29</v>
      </c>
      <c r="BN56" s="228">
        <v>42</v>
      </c>
      <c r="BO56" s="228">
        <v>-14</v>
      </c>
      <c r="BP56" s="229">
        <v>-0.31830000000000003</v>
      </c>
      <c r="BQ56" s="228">
        <v>135</v>
      </c>
      <c r="BR56" s="228">
        <v>244</v>
      </c>
      <c r="BS56" s="228">
        <v>-110</v>
      </c>
      <c r="BT56" s="229">
        <v>-0.44829999999999998</v>
      </c>
      <c r="BU56" s="230">
        <v>70216</v>
      </c>
      <c r="BV56" s="230">
        <v>217915</v>
      </c>
      <c r="BW56" s="230">
        <v>-147699</v>
      </c>
      <c r="BX56" s="229">
        <v>-0.67779999999999996</v>
      </c>
      <c r="BY56" s="228">
        <v>700</v>
      </c>
      <c r="BZ56" s="228">
        <v>700</v>
      </c>
      <c r="CA56" s="228">
        <v>0</v>
      </c>
      <c r="CB56" s="229">
        <v>0</v>
      </c>
      <c r="CC56" s="228">
        <v>685</v>
      </c>
      <c r="CD56" s="228">
        <v>689</v>
      </c>
      <c r="CE56" s="228">
        <v>-4</v>
      </c>
      <c r="CF56" s="229">
        <v>-6.0000000000000001E-3</v>
      </c>
      <c r="CG56" s="228">
        <v>15</v>
      </c>
      <c r="CH56" s="228">
        <v>10</v>
      </c>
      <c r="CI56" s="228">
        <v>4</v>
      </c>
      <c r="CJ56" s="229">
        <v>0.38690000000000002</v>
      </c>
      <c r="CK56" s="228">
        <v>1</v>
      </c>
      <c r="CL56" s="228">
        <v>1</v>
      </c>
      <c r="CM56" s="228">
        <v>0</v>
      </c>
      <c r="CN56" s="229">
        <v>5.5599999999999997E-2</v>
      </c>
      <c r="CO56" s="228">
        <v>109</v>
      </c>
      <c r="CP56" s="228">
        <v>110</v>
      </c>
      <c r="CQ56" s="228">
        <v>-1</v>
      </c>
      <c r="CR56" s="229">
        <v>-1.32E-2</v>
      </c>
      <c r="CS56" s="228">
        <v>68</v>
      </c>
      <c r="CT56" s="228">
        <v>71</v>
      </c>
      <c r="CU56" s="228">
        <v>-3</v>
      </c>
      <c r="CV56" s="229">
        <v>-3.7600000000000001E-2</v>
      </c>
      <c r="CW56" s="228">
        <v>877</v>
      </c>
      <c r="CX56" s="228">
        <v>882</v>
      </c>
      <c r="CY56" s="228">
        <v>-4</v>
      </c>
      <c r="CZ56" s="229">
        <v>-4.7000000000000002E-3</v>
      </c>
      <c r="DA56" s="228">
        <v>24.31</v>
      </c>
      <c r="DB56" s="228">
        <v>24.35</v>
      </c>
      <c r="DC56" s="228">
        <v>-0.04</v>
      </c>
      <c r="DD56" s="228">
        <v>-0.04</v>
      </c>
      <c r="DE56" s="228">
        <v>32.1</v>
      </c>
      <c r="DF56" s="228">
        <v>32.18</v>
      </c>
      <c r="DG56" s="228">
        <v>-7.79</v>
      </c>
      <c r="DH56" s="228">
        <v>-0.08</v>
      </c>
      <c r="DI56" s="228">
        <v>22.55</v>
      </c>
      <c r="DJ56" s="228">
        <v>23.85</v>
      </c>
      <c r="DK56" s="228">
        <v>-1.3</v>
      </c>
      <c r="DL56" s="228">
        <v>-1.3</v>
      </c>
      <c r="DM56" s="228">
        <v>27.92</v>
      </c>
      <c r="DN56" s="228">
        <v>25.78</v>
      </c>
      <c r="DO56" s="228">
        <v>2.14</v>
      </c>
      <c r="DP56" s="228">
        <v>2.14</v>
      </c>
      <c r="DQ56" s="228">
        <v>0.63</v>
      </c>
      <c r="DR56" s="228">
        <v>0.65</v>
      </c>
      <c r="DS56" s="228">
        <v>-0.02</v>
      </c>
      <c r="DT56" s="229">
        <v>-3.0800000000000001E-2</v>
      </c>
      <c r="DU56" s="231">
        <v>2300</v>
      </c>
      <c r="DV56" s="231">
        <v>2200</v>
      </c>
      <c r="DW56" s="228">
        <v>0.49</v>
      </c>
      <c r="DX56" s="228">
        <v>0.35</v>
      </c>
      <c r="DY56" s="228">
        <v>0.14000000000000001</v>
      </c>
      <c r="DZ56" s="229">
        <v>0.4</v>
      </c>
      <c r="EA56" s="229">
        <v>2.2800000000000001E-2</v>
      </c>
      <c r="EB56" s="230">
        <v>50375</v>
      </c>
      <c r="EC56" s="229">
        <v>5.7000000000000002E-3</v>
      </c>
      <c r="ED56" s="229">
        <v>2.2800000000000001E-2</v>
      </c>
      <c r="EE56" s="228">
        <v>14.8</v>
      </c>
      <c r="EF56" s="229">
        <v>6.3E-3</v>
      </c>
      <c r="EG56" s="230">
        <v>34408</v>
      </c>
      <c r="EH56" s="230">
        <v>148141</v>
      </c>
      <c r="EI56" s="229">
        <v>-0.76770000000000005</v>
      </c>
      <c r="EJ56" s="229">
        <v>0.49</v>
      </c>
      <c r="EK56" s="228">
        <v>60.8</v>
      </c>
      <c r="EL56" s="228">
        <v>27.28</v>
      </c>
      <c r="EM56" s="228">
        <v>46.46</v>
      </c>
      <c r="EN56" s="228">
        <v>0</v>
      </c>
      <c r="EO56" s="228">
        <v>134.54</v>
      </c>
      <c r="EP56" s="228">
        <v>245.97</v>
      </c>
      <c r="EQ56" s="228">
        <v>-111.43</v>
      </c>
      <c r="ER56" s="229">
        <v>-0.45300000000000001</v>
      </c>
      <c r="ES56" s="228">
        <v>108.66</v>
      </c>
      <c r="ET56" s="228">
        <v>63.8</v>
      </c>
      <c r="EU56" s="228">
        <v>700.58</v>
      </c>
      <c r="EV56" s="231">
        <v>16566722</v>
      </c>
      <c r="EW56" s="228">
        <v>873.04</v>
      </c>
      <c r="EX56" s="228">
        <v>875.75</v>
      </c>
      <c r="EY56" s="228">
        <v>-2.71</v>
      </c>
      <c r="EZ56" s="229">
        <v>-3.0999999999999999E-3</v>
      </c>
      <c r="FA56" s="229">
        <v>0.22539999999999999</v>
      </c>
      <c r="FB56" s="227" t="s">
        <v>237</v>
      </c>
      <c r="FC56">
        <f t="shared" si="0"/>
        <v>15</v>
      </c>
    </row>
    <row r="57" spans="1:159" ht="17.25" thickBot="1" x14ac:dyDescent="0.3">
      <c r="A57" s="226">
        <v>45889</v>
      </c>
      <c r="B57" s="227" t="s">
        <v>616</v>
      </c>
      <c r="C57" s="227" t="s">
        <v>601</v>
      </c>
      <c r="D57" s="228">
        <v>2075</v>
      </c>
      <c r="E57" s="228">
        <v>8</v>
      </c>
      <c r="F57" s="228">
        <v>472.05</v>
      </c>
      <c r="G57" s="228">
        <v>473.1</v>
      </c>
      <c r="H57" s="228">
        <v>-1.05</v>
      </c>
      <c r="I57" s="229">
        <v>-2.2000000000000001E-3</v>
      </c>
      <c r="J57" s="228">
        <v>471.1</v>
      </c>
      <c r="K57" s="228">
        <v>471.7</v>
      </c>
      <c r="L57" s="228">
        <v>-0.6</v>
      </c>
      <c r="M57" s="229">
        <v>-1.2999999999999999E-3</v>
      </c>
      <c r="N57" s="228">
        <v>472.05</v>
      </c>
      <c r="O57" s="228">
        <v>473.1</v>
      </c>
      <c r="P57" s="228">
        <v>-1.05</v>
      </c>
      <c r="Q57" s="229">
        <v>-2.2000000000000001E-3</v>
      </c>
      <c r="R57" s="228">
        <v>473.9</v>
      </c>
      <c r="S57" s="228">
        <v>474.9</v>
      </c>
      <c r="T57" s="228">
        <v>-1</v>
      </c>
      <c r="U57" s="229">
        <v>-2.0999999999999999E-3</v>
      </c>
      <c r="V57" s="228">
        <v>474.5</v>
      </c>
      <c r="W57" s="228">
        <v>475</v>
      </c>
      <c r="X57" s="228">
        <v>-0.5</v>
      </c>
      <c r="Y57" s="229">
        <v>-1.1000000000000001E-3</v>
      </c>
      <c r="Z57" s="228">
        <v>0.95</v>
      </c>
      <c r="AA57" s="228">
        <v>1.4</v>
      </c>
      <c r="AB57" s="228">
        <v>-0.45</v>
      </c>
      <c r="AC57" s="229">
        <v>2E-3</v>
      </c>
      <c r="AD57" s="228">
        <v>0.95</v>
      </c>
      <c r="AE57" s="228">
        <v>1.4</v>
      </c>
      <c r="AF57" s="228">
        <v>-0.45</v>
      </c>
      <c r="AG57" s="229">
        <v>2E-3</v>
      </c>
      <c r="AH57" s="228">
        <v>2.8</v>
      </c>
      <c r="AI57" s="228">
        <v>3.2</v>
      </c>
      <c r="AJ57" s="228">
        <v>-0.4</v>
      </c>
      <c r="AK57" s="229">
        <v>5.8999999999999999E-3</v>
      </c>
      <c r="AL57" s="228">
        <v>3.4</v>
      </c>
      <c r="AM57" s="228">
        <v>3.3</v>
      </c>
      <c r="AN57" s="228">
        <v>0.1</v>
      </c>
      <c r="AO57" s="229">
        <v>7.1999999999999998E-3</v>
      </c>
      <c r="AP57" s="228">
        <v>474.57</v>
      </c>
      <c r="AQ57" s="228">
        <v>476.13</v>
      </c>
      <c r="AR57" s="228">
        <v>0</v>
      </c>
      <c r="AS57" s="228">
        <v>185</v>
      </c>
      <c r="AT57" s="228">
        <v>222</v>
      </c>
      <c r="AU57" s="228">
        <v>-37</v>
      </c>
      <c r="AV57" s="229">
        <v>-0.16600000000000001</v>
      </c>
      <c r="AW57" s="228">
        <v>153</v>
      </c>
      <c r="AX57" s="228">
        <v>182</v>
      </c>
      <c r="AY57" s="228">
        <v>-29</v>
      </c>
      <c r="AZ57" s="229">
        <v>-0.15659999999999999</v>
      </c>
      <c r="BA57" s="228">
        <v>30</v>
      </c>
      <c r="BB57" s="228">
        <v>38</v>
      </c>
      <c r="BC57" s="228">
        <v>-9</v>
      </c>
      <c r="BD57" s="229">
        <v>-0.22450000000000001</v>
      </c>
      <c r="BE57" s="228">
        <v>2</v>
      </c>
      <c r="BF57" s="228">
        <v>1</v>
      </c>
      <c r="BG57" s="228">
        <v>0</v>
      </c>
      <c r="BH57" s="229">
        <v>0.2</v>
      </c>
      <c r="BI57" s="228">
        <v>806</v>
      </c>
      <c r="BJ57" s="230">
        <v>1131</v>
      </c>
      <c r="BK57" s="228">
        <v>-325</v>
      </c>
      <c r="BL57" s="229">
        <v>-0.28710000000000002</v>
      </c>
      <c r="BM57" s="228">
        <v>419</v>
      </c>
      <c r="BN57" s="228">
        <v>334</v>
      </c>
      <c r="BO57" s="228">
        <v>86</v>
      </c>
      <c r="BP57" s="229">
        <v>0.25619999999999998</v>
      </c>
      <c r="BQ57" s="230">
        <v>1411</v>
      </c>
      <c r="BR57" s="230">
        <v>1687</v>
      </c>
      <c r="BS57" s="228">
        <v>-276</v>
      </c>
      <c r="BT57" s="229">
        <v>-0.16370000000000001</v>
      </c>
      <c r="BU57" s="230">
        <v>2058819</v>
      </c>
      <c r="BV57" s="230">
        <v>2521292</v>
      </c>
      <c r="BW57" s="230">
        <v>-462473</v>
      </c>
      <c r="BX57" s="229">
        <v>-0.18340000000000001</v>
      </c>
      <c r="BY57" s="228">
        <v>726</v>
      </c>
      <c r="BZ57" s="228">
        <v>726</v>
      </c>
      <c r="CA57" s="228">
        <v>0</v>
      </c>
      <c r="CB57" s="229">
        <v>-2.9999999999999997E-4</v>
      </c>
      <c r="CC57" s="228">
        <v>655</v>
      </c>
      <c r="CD57" s="228">
        <v>665</v>
      </c>
      <c r="CE57" s="228">
        <v>-10</v>
      </c>
      <c r="CF57" s="229">
        <v>-1.52E-2</v>
      </c>
      <c r="CG57" s="228">
        <v>67</v>
      </c>
      <c r="CH57" s="228">
        <v>58</v>
      </c>
      <c r="CI57" s="228">
        <v>9</v>
      </c>
      <c r="CJ57" s="229">
        <v>0.15279999999999999</v>
      </c>
      <c r="CK57" s="228">
        <v>5</v>
      </c>
      <c r="CL57" s="228">
        <v>4</v>
      </c>
      <c r="CM57" s="228">
        <v>1</v>
      </c>
      <c r="CN57" s="229">
        <v>0.27500000000000002</v>
      </c>
      <c r="CO57" s="228">
        <v>538</v>
      </c>
      <c r="CP57" s="228">
        <v>565</v>
      </c>
      <c r="CQ57" s="228">
        <v>-27</v>
      </c>
      <c r="CR57" s="229">
        <v>-4.8000000000000001E-2</v>
      </c>
      <c r="CS57" s="228">
        <v>455</v>
      </c>
      <c r="CT57" s="228">
        <v>458</v>
      </c>
      <c r="CU57" s="228">
        <v>-2</v>
      </c>
      <c r="CV57" s="229">
        <v>-5.3E-3</v>
      </c>
      <c r="CW57" s="230">
        <v>1720</v>
      </c>
      <c r="CX57" s="230">
        <v>1750</v>
      </c>
      <c r="CY57" s="228">
        <v>-30</v>
      </c>
      <c r="CZ57" s="229">
        <v>-1.7000000000000001E-2</v>
      </c>
      <c r="DA57" s="228">
        <v>29.61</v>
      </c>
      <c r="DB57" s="228">
        <v>31.24</v>
      </c>
      <c r="DC57" s="228">
        <v>-1.63</v>
      </c>
      <c r="DD57" s="228">
        <v>-1.63</v>
      </c>
      <c r="DE57" s="228">
        <v>42.32</v>
      </c>
      <c r="DF57" s="228">
        <v>42.43</v>
      </c>
      <c r="DG57" s="228">
        <v>-12.71</v>
      </c>
      <c r="DH57" s="228">
        <v>-0.11</v>
      </c>
      <c r="DI57" s="228">
        <v>29.3</v>
      </c>
      <c r="DJ57" s="228">
        <v>30.95</v>
      </c>
      <c r="DK57" s="228">
        <v>-1.65</v>
      </c>
      <c r="DL57" s="228">
        <v>-1.65</v>
      </c>
      <c r="DM57" s="228">
        <v>30.21</v>
      </c>
      <c r="DN57" s="228">
        <v>32.24</v>
      </c>
      <c r="DO57" s="228">
        <v>-2.0299999999999998</v>
      </c>
      <c r="DP57" s="228">
        <v>-2.0299999999999998</v>
      </c>
      <c r="DQ57" s="228">
        <v>0.85</v>
      </c>
      <c r="DR57" s="228">
        <v>0.81</v>
      </c>
      <c r="DS57" s="228">
        <v>0.04</v>
      </c>
      <c r="DT57" s="229">
        <v>4.9399999999999999E-2</v>
      </c>
      <c r="DU57" s="228">
        <v>500</v>
      </c>
      <c r="DV57" s="228">
        <v>460</v>
      </c>
      <c r="DW57" s="228">
        <v>0.52</v>
      </c>
      <c r="DX57" s="228">
        <v>0.3</v>
      </c>
      <c r="DY57" s="228">
        <v>0.22</v>
      </c>
      <c r="DZ57" s="229">
        <v>0.73329999999999995</v>
      </c>
      <c r="EA57" s="229">
        <v>9.8400000000000001E-2</v>
      </c>
      <c r="EB57" s="230">
        <v>1305175</v>
      </c>
      <c r="EC57" s="229">
        <v>3.8999999999999998E-3</v>
      </c>
      <c r="ED57" s="229">
        <v>9.8400000000000001E-2</v>
      </c>
      <c r="EE57" s="228">
        <v>1.56</v>
      </c>
      <c r="EF57" s="229">
        <v>3.3E-3</v>
      </c>
      <c r="EG57" s="230">
        <v>974447</v>
      </c>
      <c r="EH57" s="230">
        <v>1235194</v>
      </c>
      <c r="EI57" s="229">
        <v>-0.21110000000000001</v>
      </c>
      <c r="EJ57" s="229">
        <v>0.4733</v>
      </c>
      <c r="EK57" s="228">
        <v>833.77</v>
      </c>
      <c r="EL57" s="228">
        <v>410.53</v>
      </c>
      <c r="EM57" s="228">
        <v>186.13</v>
      </c>
      <c r="EN57" s="228">
        <v>0</v>
      </c>
      <c r="EO57" s="231">
        <v>1430.42</v>
      </c>
      <c r="EP57" s="231">
        <v>1718.7</v>
      </c>
      <c r="EQ57" s="228">
        <v>-288.27999999999997</v>
      </c>
      <c r="ER57" s="229">
        <v>-0.16769999999999999</v>
      </c>
      <c r="ES57" s="228">
        <v>539.80999999999995</v>
      </c>
      <c r="ET57" s="228">
        <v>421.47</v>
      </c>
      <c r="EU57" s="228">
        <v>726.59</v>
      </c>
      <c r="EV57" s="231">
        <v>149256689</v>
      </c>
      <c r="EW57" s="231">
        <v>1687.87</v>
      </c>
      <c r="EX57" s="231">
        <v>1716.97</v>
      </c>
      <c r="EY57" s="228">
        <v>-29.1</v>
      </c>
      <c r="EZ57" s="229">
        <v>-1.6899999999999998E-2</v>
      </c>
      <c r="FA57" s="229">
        <v>0.24410000000000001</v>
      </c>
      <c r="FB57" s="227" t="s">
        <v>568</v>
      </c>
      <c r="FC57">
        <f t="shared" si="0"/>
        <v>71</v>
      </c>
    </row>
    <row r="58" spans="1:159" ht="17.25" thickBot="1" x14ac:dyDescent="0.3">
      <c r="A58" s="226">
        <v>45889</v>
      </c>
      <c r="B58" s="227" t="s">
        <v>170</v>
      </c>
      <c r="C58" s="227" t="s">
        <v>205</v>
      </c>
      <c r="D58" s="228">
        <v>100</v>
      </c>
      <c r="E58" s="228">
        <v>8</v>
      </c>
      <c r="F58" s="231">
        <v>6024</v>
      </c>
      <c r="G58" s="231">
        <v>6100</v>
      </c>
      <c r="H58" s="228">
        <v>-76</v>
      </c>
      <c r="I58" s="229">
        <v>-1.2500000000000001E-2</v>
      </c>
      <c r="J58" s="231">
        <v>6005</v>
      </c>
      <c r="K58" s="231">
        <v>6079.5</v>
      </c>
      <c r="L58" s="228">
        <v>-74.5</v>
      </c>
      <c r="M58" s="229">
        <v>-1.23E-2</v>
      </c>
      <c r="N58" s="231">
        <v>6024</v>
      </c>
      <c r="O58" s="231">
        <v>6100</v>
      </c>
      <c r="P58" s="228">
        <v>-76</v>
      </c>
      <c r="Q58" s="229">
        <v>-1.2500000000000001E-2</v>
      </c>
      <c r="R58" s="231">
        <v>6055.5</v>
      </c>
      <c r="S58" s="231">
        <v>6134</v>
      </c>
      <c r="T58" s="228">
        <v>-78.5</v>
      </c>
      <c r="U58" s="229">
        <v>-1.2800000000000001E-2</v>
      </c>
      <c r="V58" s="231">
        <v>6095.5</v>
      </c>
      <c r="W58" s="231">
        <v>6168</v>
      </c>
      <c r="X58" s="228">
        <v>-72.5</v>
      </c>
      <c r="Y58" s="229">
        <v>-1.18E-2</v>
      </c>
      <c r="Z58" s="228">
        <v>19</v>
      </c>
      <c r="AA58" s="228">
        <v>20.5</v>
      </c>
      <c r="AB58" s="228">
        <v>-1.5</v>
      </c>
      <c r="AC58" s="229">
        <v>3.2000000000000002E-3</v>
      </c>
      <c r="AD58" s="228">
        <v>19</v>
      </c>
      <c r="AE58" s="228">
        <v>20.5</v>
      </c>
      <c r="AF58" s="228">
        <v>-1.5</v>
      </c>
      <c r="AG58" s="229">
        <v>3.2000000000000002E-3</v>
      </c>
      <c r="AH58" s="228">
        <v>50.5</v>
      </c>
      <c r="AI58" s="228">
        <v>54.5</v>
      </c>
      <c r="AJ58" s="228">
        <v>-4</v>
      </c>
      <c r="AK58" s="229">
        <v>8.3999999999999995E-3</v>
      </c>
      <c r="AL58" s="228">
        <v>90.5</v>
      </c>
      <c r="AM58" s="228">
        <v>88.5</v>
      </c>
      <c r="AN58" s="228">
        <v>2</v>
      </c>
      <c r="AO58" s="229">
        <v>1.5100000000000001E-2</v>
      </c>
      <c r="AP58" s="231">
        <v>6020.23</v>
      </c>
      <c r="AQ58" s="231">
        <v>6054.82</v>
      </c>
      <c r="AR58" s="228">
        <v>0</v>
      </c>
      <c r="AS58" s="228">
        <v>321</v>
      </c>
      <c r="AT58" s="228">
        <v>148</v>
      </c>
      <c r="AU58" s="228">
        <v>173</v>
      </c>
      <c r="AV58" s="229">
        <v>1.17</v>
      </c>
      <c r="AW58" s="228">
        <v>222</v>
      </c>
      <c r="AX58" s="228">
        <v>113</v>
      </c>
      <c r="AY58" s="228">
        <v>109</v>
      </c>
      <c r="AZ58" s="229">
        <v>0.9627</v>
      </c>
      <c r="BA58" s="228">
        <v>96</v>
      </c>
      <c r="BB58" s="228">
        <v>33</v>
      </c>
      <c r="BC58" s="228">
        <v>63</v>
      </c>
      <c r="BD58" s="229">
        <v>1.8837999999999999</v>
      </c>
      <c r="BE58" s="228">
        <v>4</v>
      </c>
      <c r="BF58" s="228">
        <v>2</v>
      </c>
      <c r="BG58" s="228">
        <v>2</v>
      </c>
      <c r="BH58" s="229">
        <v>1.0313000000000001</v>
      </c>
      <c r="BI58" s="230">
        <v>1586</v>
      </c>
      <c r="BJ58" s="228">
        <v>733</v>
      </c>
      <c r="BK58" s="228">
        <v>853</v>
      </c>
      <c r="BL58" s="229">
        <v>1.1637</v>
      </c>
      <c r="BM58" s="230">
        <v>1252</v>
      </c>
      <c r="BN58" s="228">
        <v>304</v>
      </c>
      <c r="BO58" s="228">
        <v>948</v>
      </c>
      <c r="BP58" s="229">
        <v>3.1171000000000002</v>
      </c>
      <c r="BQ58" s="230">
        <v>3159</v>
      </c>
      <c r="BR58" s="230">
        <v>1185</v>
      </c>
      <c r="BS58" s="230">
        <v>1974</v>
      </c>
      <c r="BT58" s="229">
        <v>1.6657999999999999</v>
      </c>
      <c r="BU58" s="230">
        <v>573231</v>
      </c>
      <c r="BV58" s="230">
        <v>250181</v>
      </c>
      <c r="BW58" s="230">
        <v>323050</v>
      </c>
      <c r="BX58" s="229">
        <v>1.2912999999999999</v>
      </c>
      <c r="BY58" s="230">
        <v>1793</v>
      </c>
      <c r="BZ58" s="230">
        <v>1730</v>
      </c>
      <c r="CA58" s="228">
        <v>62</v>
      </c>
      <c r="CB58" s="229">
        <v>3.61E-2</v>
      </c>
      <c r="CC58" s="230">
        <v>1645</v>
      </c>
      <c r="CD58" s="230">
        <v>1642</v>
      </c>
      <c r="CE58" s="228">
        <v>2</v>
      </c>
      <c r="CF58" s="229">
        <v>1.4E-3</v>
      </c>
      <c r="CG58" s="228">
        <v>136</v>
      </c>
      <c r="CH58" s="228">
        <v>78</v>
      </c>
      <c r="CI58" s="228">
        <v>58</v>
      </c>
      <c r="CJ58" s="229">
        <v>0.75329999999999997</v>
      </c>
      <c r="CK58" s="228">
        <v>12</v>
      </c>
      <c r="CL58" s="228">
        <v>10</v>
      </c>
      <c r="CM58" s="228">
        <v>2</v>
      </c>
      <c r="CN58" s="229">
        <v>0.16569999999999999</v>
      </c>
      <c r="CO58" s="228">
        <v>958</v>
      </c>
      <c r="CP58" s="228">
        <v>922</v>
      </c>
      <c r="CQ58" s="228">
        <v>36</v>
      </c>
      <c r="CR58" s="229">
        <v>3.85E-2</v>
      </c>
      <c r="CS58" s="228">
        <v>604</v>
      </c>
      <c r="CT58" s="228">
        <v>564</v>
      </c>
      <c r="CU58" s="228">
        <v>40</v>
      </c>
      <c r="CV58" s="229">
        <v>7.0199999999999999E-2</v>
      </c>
      <c r="CW58" s="230">
        <v>3354</v>
      </c>
      <c r="CX58" s="230">
        <v>3216</v>
      </c>
      <c r="CY58" s="228">
        <v>138</v>
      </c>
      <c r="CZ58" s="229">
        <v>4.2799999999999998E-2</v>
      </c>
      <c r="DA58" s="228">
        <v>28.13</v>
      </c>
      <c r="DB58" s="228">
        <v>27.34</v>
      </c>
      <c r="DC58" s="228">
        <v>0.79</v>
      </c>
      <c r="DD58" s="228">
        <v>0.79</v>
      </c>
      <c r="DE58" s="228">
        <v>32.4</v>
      </c>
      <c r="DF58" s="228">
        <v>32.44</v>
      </c>
      <c r="DG58" s="228">
        <v>-4.2699999999999996</v>
      </c>
      <c r="DH58" s="228">
        <v>-0.04</v>
      </c>
      <c r="DI58" s="228">
        <v>29.77</v>
      </c>
      <c r="DJ58" s="228">
        <v>28.33</v>
      </c>
      <c r="DK58" s="228">
        <v>1.44</v>
      </c>
      <c r="DL58" s="228">
        <v>1.44</v>
      </c>
      <c r="DM58" s="228">
        <v>26.06</v>
      </c>
      <c r="DN58" s="228">
        <v>24.95</v>
      </c>
      <c r="DO58" s="228">
        <v>1.1100000000000001</v>
      </c>
      <c r="DP58" s="228">
        <v>1.1100000000000001</v>
      </c>
      <c r="DQ58" s="228">
        <v>0.63</v>
      </c>
      <c r="DR58" s="228">
        <v>0.61</v>
      </c>
      <c r="DS58" s="228">
        <v>0.02</v>
      </c>
      <c r="DT58" s="229">
        <v>3.2800000000000003E-2</v>
      </c>
      <c r="DU58" s="231">
        <v>7000</v>
      </c>
      <c r="DV58" s="231">
        <v>5800</v>
      </c>
      <c r="DW58" s="228">
        <v>0.79</v>
      </c>
      <c r="DX58" s="228">
        <v>0.42</v>
      </c>
      <c r="DY58" s="228">
        <v>0.37</v>
      </c>
      <c r="DZ58" s="229">
        <v>0.88100000000000001</v>
      </c>
      <c r="EA58" s="229">
        <v>8.2600000000000007E-2</v>
      </c>
      <c r="EB58" s="230">
        <v>145800</v>
      </c>
      <c r="EC58" s="229">
        <v>5.1999999999999998E-3</v>
      </c>
      <c r="ED58" s="229">
        <v>8.2600000000000007E-2</v>
      </c>
      <c r="EE58" s="228">
        <v>34.590000000000003</v>
      </c>
      <c r="EF58" s="229">
        <v>5.7000000000000002E-3</v>
      </c>
      <c r="EG58" s="230">
        <v>386147</v>
      </c>
      <c r="EH58" s="230">
        <v>175012</v>
      </c>
      <c r="EI58" s="229">
        <v>1.2063999999999999</v>
      </c>
      <c r="EJ58" s="229">
        <v>0.67359999999999998</v>
      </c>
      <c r="EK58" s="231">
        <v>1664.43</v>
      </c>
      <c r="EL58" s="231">
        <v>1244.5</v>
      </c>
      <c r="EM58" s="228">
        <v>321.83</v>
      </c>
      <c r="EN58" s="228">
        <v>0</v>
      </c>
      <c r="EO58" s="231">
        <v>3230.76</v>
      </c>
      <c r="EP58" s="231">
        <v>1238.53</v>
      </c>
      <c r="EQ58" s="231">
        <v>1992.24</v>
      </c>
      <c r="ER58" s="229">
        <v>1.6086</v>
      </c>
      <c r="ES58" s="231">
        <v>1042</v>
      </c>
      <c r="ET58" s="228">
        <v>590</v>
      </c>
      <c r="EU58" s="231">
        <v>1793.47</v>
      </c>
      <c r="EV58" s="231">
        <v>25544698</v>
      </c>
      <c r="EW58" s="231">
        <v>3425.47</v>
      </c>
      <c r="EX58" s="231">
        <v>3315.8</v>
      </c>
      <c r="EY58" s="228">
        <v>109.67</v>
      </c>
      <c r="EZ58" s="229">
        <v>3.3099999999999997E-2</v>
      </c>
      <c r="FA58" s="229">
        <v>0.218</v>
      </c>
      <c r="FB58" s="227" t="s">
        <v>567</v>
      </c>
      <c r="FC58">
        <f t="shared" si="0"/>
        <v>148</v>
      </c>
    </row>
    <row r="59" spans="1:159" ht="17.25" thickBot="1" x14ac:dyDescent="0.3">
      <c r="A59" s="226">
        <v>45889</v>
      </c>
      <c r="B59" s="227" t="s">
        <v>184</v>
      </c>
      <c r="C59" s="227" t="s">
        <v>512</v>
      </c>
      <c r="D59" s="228">
        <v>50</v>
      </c>
      <c r="E59" s="228">
        <v>8</v>
      </c>
      <c r="F59" s="231">
        <v>16917</v>
      </c>
      <c r="G59" s="231">
        <v>16971</v>
      </c>
      <c r="H59" s="228">
        <v>-54</v>
      </c>
      <c r="I59" s="229">
        <v>-3.2000000000000002E-3</v>
      </c>
      <c r="J59" s="231">
        <v>16876</v>
      </c>
      <c r="K59" s="231">
        <v>16905</v>
      </c>
      <c r="L59" s="228">
        <v>-29</v>
      </c>
      <c r="M59" s="229">
        <v>-1.6999999999999999E-3</v>
      </c>
      <c r="N59" s="231">
        <v>16917</v>
      </c>
      <c r="O59" s="231">
        <v>16971</v>
      </c>
      <c r="P59" s="228">
        <v>-54</v>
      </c>
      <c r="Q59" s="229">
        <v>-3.2000000000000002E-3</v>
      </c>
      <c r="R59" s="231">
        <v>17007</v>
      </c>
      <c r="S59" s="231">
        <v>17052</v>
      </c>
      <c r="T59" s="228">
        <v>-45</v>
      </c>
      <c r="U59" s="229">
        <v>-2.5999999999999999E-3</v>
      </c>
      <c r="V59" s="231">
        <v>17092</v>
      </c>
      <c r="W59" s="231">
        <v>17133</v>
      </c>
      <c r="X59" s="228">
        <v>-41</v>
      </c>
      <c r="Y59" s="229">
        <v>-2.3999999999999998E-3</v>
      </c>
      <c r="Z59" s="228">
        <v>41</v>
      </c>
      <c r="AA59" s="228">
        <v>66</v>
      </c>
      <c r="AB59" s="228">
        <v>-25</v>
      </c>
      <c r="AC59" s="229">
        <v>2.3999999999999998E-3</v>
      </c>
      <c r="AD59" s="228">
        <v>41</v>
      </c>
      <c r="AE59" s="228">
        <v>66</v>
      </c>
      <c r="AF59" s="228">
        <v>-25</v>
      </c>
      <c r="AG59" s="229">
        <v>2.3999999999999998E-3</v>
      </c>
      <c r="AH59" s="228">
        <v>131</v>
      </c>
      <c r="AI59" s="228">
        <v>147</v>
      </c>
      <c r="AJ59" s="228">
        <v>-16</v>
      </c>
      <c r="AK59" s="229">
        <v>7.7999999999999996E-3</v>
      </c>
      <c r="AL59" s="228">
        <v>216</v>
      </c>
      <c r="AM59" s="228">
        <v>228</v>
      </c>
      <c r="AN59" s="228">
        <v>-12</v>
      </c>
      <c r="AO59" s="229">
        <v>1.2800000000000001E-2</v>
      </c>
      <c r="AP59" s="231">
        <v>17018.71</v>
      </c>
      <c r="AQ59" s="231">
        <v>17108.37</v>
      </c>
      <c r="AR59" s="228">
        <v>0</v>
      </c>
      <c r="AS59" s="228">
        <v>552</v>
      </c>
      <c r="AT59" s="228">
        <v>608</v>
      </c>
      <c r="AU59" s="228">
        <v>-56</v>
      </c>
      <c r="AV59" s="229">
        <v>-9.2200000000000004E-2</v>
      </c>
      <c r="AW59" s="228">
        <v>438</v>
      </c>
      <c r="AX59" s="228">
        <v>470</v>
      </c>
      <c r="AY59" s="228">
        <v>-32</v>
      </c>
      <c r="AZ59" s="229">
        <v>-6.9099999999999995E-2</v>
      </c>
      <c r="BA59" s="228">
        <v>107</v>
      </c>
      <c r="BB59" s="228">
        <v>131</v>
      </c>
      <c r="BC59" s="228">
        <v>-24</v>
      </c>
      <c r="BD59" s="229">
        <v>-0.18579999999999999</v>
      </c>
      <c r="BE59" s="228">
        <v>8</v>
      </c>
      <c r="BF59" s="228">
        <v>7</v>
      </c>
      <c r="BG59" s="228">
        <v>1</v>
      </c>
      <c r="BH59" s="229">
        <v>0.1071</v>
      </c>
      <c r="BI59" s="230">
        <v>4947</v>
      </c>
      <c r="BJ59" s="230">
        <v>3528</v>
      </c>
      <c r="BK59" s="230">
        <v>1419</v>
      </c>
      <c r="BL59" s="229">
        <v>0.40210000000000001</v>
      </c>
      <c r="BM59" s="230">
        <v>2195</v>
      </c>
      <c r="BN59" s="230">
        <v>1961</v>
      </c>
      <c r="BO59" s="228">
        <v>234</v>
      </c>
      <c r="BP59" s="229">
        <v>0.1193</v>
      </c>
      <c r="BQ59" s="230">
        <v>7694</v>
      </c>
      <c r="BR59" s="230">
        <v>6097</v>
      </c>
      <c r="BS59" s="230">
        <v>1597</v>
      </c>
      <c r="BT59" s="229">
        <v>0.26190000000000002</v>
      </c>
      <c r="BU59" s="230">
        <v>249555</v>
      </c>
      <c r="BV59" s="230">
        <v>213396</v>
      </c>
      <c r="BW59" s="230">
        <v>36159</v>
      </c>
      <c r="BX59" s="229">
        <v>0.1694</v>
      </c>
      <c r="BY59" s="230">
        <v>2556</v>
      </c>
      <c r="BZ59" s="230">
        <v>2552</v>
      </c>
      <c r="CA59" s="228">
        <v>4</v>
      </c>
      <c r="CB59" s="229">
        <v>1.8E-3</v>
      </c>
      <c r="CC59" s="230">
        <v>2341</v>
      </c>
      <c r="CD59" s="230">
        <v>2380</v>
      </c>
      <c r="CE59" s="228">
        <v>-40</v>
      </c>
      <c r="CF59" s="229">
        <v>-1.67E-2</v>
      </c>
      <c r="CG59" s="228">
        <v>195</v>
      </c>
      <c r="CH59" s="228">
        <v>154</v>
      </c>
      <c r="CI59" s="228">
        <v>42</v>
      </c>
      <c r="CJ59" s="229">
        <v>0.2722</v>
      </c>
      <c r="CK59" s="228">
        <v>20</v>
      </c>
      <c r="CL59" s="228">
        <v>18</v>
      </c>
      <c r="CM59" s="228">
        <v>2</v>
      </c>
      <c r="CN59" s="229">
        <v>0.1308</v>
      </c>
      <c r="CO59" s="230">
        <v>1920</v>
      </c>
      <c r="CP59" s="230">
        <v>1693</v>
      </c>
      <c r="CQ59" s="228">
        <v>227</v>
      </c>
      <c r="CR59" s="229">
        <v>0.13439999999999999</v>
      </c>
      <c r="CS59" s="230">
        <v>1348</v>
      </c>
      <c r="CT59" s="230">
        <v>1300</v>
      </c>
      <c r="CU59" s="228">
        <v>48</v>
      </c>
      <c r="CV59" s="229">
        <v>3.6799999999999999E-2</v>
      </c>
      <c r="CW59" s="230">
        <v>5824</v>
      </c>
      <c r="CX59" s="230">
        <v>5544</v>
      </c>
      <c r="CY59" s="228">
        <v>280</v>
      </c>
      <c r="CZ59" s="229">
        <v>5.0500000000000003E-2</v>
      </c>
      <c r="DA59" s="228">
        <v>33.08</v>
      </c>
      <c r="DB59" s="228">
        <v>32.61</v>
      </c>
      <c r="DC59" s="228">
        <v>0.47</v>
      </c>
      <c r="DD59" s="228">
        <v>0.47</v>
      </c>
      <c r="DE59" s="228">
        <v>47.23</v>
      </c>
      <c r="DF59" s="228">
        <v>47.35</v>
      </c>
      <c r="DG59" s="228">
        <v>-14.15</v>
      </c>
      <c r="DH59" s="228">
        <v>-0.12</v>
      </c>
      <c r="DI59" s="228">
        <v>32.619999999999997</v>
      </c>
      <c r="DJ59" s="228">
        <v>31.45</v>
      </c>
      <c r="DK59" s="228">
        <v>1.17</v>
      </c>
      <c r="DL59" s="228">
        <v>1.17</v>
      </c>
      <c r="DM59" s="228">
        <v>34.11</v>
      </c>
      <c r="DN59" s="228">
        <v>34.68</v>
      </c>
      <c r="DO59" s="228">
        <v>-0.56999999999999995</v>
      </c>
      <c r="DP59" s="228">
        <v>-0.56999999999999995</v>
      </c>
      <c r="DQ59" s="228">
        <v>0.7</v>
      </c>
      <c r="DR59" s="228">
        <v>0.77</v>
      </c>
      <c r="DS59" s="228">
        <v>-7.0000000000000007E-2</v>
      </c>
      <c r="DT59" s="229">
        <v>-9.0899999999999995E-2</v>
      </c>
      <c r="DU59" s="231">
        <v>17000</v>
      </c>
      <c r="DV59" s="231">
        <v>15000</v>
      </c>
      <c r="DW59" s="228">
        <v>0.44</v>
      </c>
      <c r="DX59" s="228">
        <v>0.56000000000000005</v>
      </c>
      <c r="DY59" s="228">
        <v>-0.12</v>
      </c>
      <c r="DZ59" s="229">
        <v>-0.21429999999999999</v>
      </c>
      <c r="EA59" s="229">
        <v>8.4400000000000003E-2</v>
      </c>
      <c r="EB59" s="230">
        <v>101450</v>
      </c>
      <c r="EC59" s="229">
        <v>5.3E-3</v>
      </c>
      <c r="ED59" s="229">
        <v>8.4400000000000003E-2</v>
      </c>
      <c r="EE59" s="228">
        <v>89.66</v>
      </c>
      <c r="EF59" s="229">
        <v>5.3E-3</v>
      </c>
      <c r="EG59" s="230">
        <v>100825</v>
      </c>
      <c r="EH59" s="230">
        <v>67724</v>
      </c>
      <c r="EI59" s="229">
        <v>0.48880000000000001</v>
      </c>
      <c r="EJ59" s="229">
        <v>0.40400000000000003</v>
      </c>
      <c r="EK59" s="231">
        <v>5172.41</v>
      </c>
      <c r="EL59" s="231">
        <v>2138.36</v>
      </c>
      <c r="EM59" s="228">
        <v>556.14</v>
      </c>
      <c r="EN59" s="228">
        <v>0</v>
      </c>
      <c r="EO59" s="231">
        <v>7866.9</v>
      </c>
      <c r="EP59" s="231">
        <v>6175.96</v>
      </c>
      <c r="EQ59" s="231">
        <v>1690.94</v>
      </c>
      <c r="ER59" s="229">
        <v>0.27379999999999999</v>
      </c>
      <c r="ES59" s="231">
        <v>1973.42</v>
      </c>
      <c r="ET59" s="231">
        <v>1254.58</v>
      </c>
      <c r="EU59" s="231">
        <v>2557.58</v>
      </c>
      <c r="EV59" s="231">
        <v>8593923</v>
      </c>
      <c r="EW59" s="231">
        <v>5785.58</v>
      </c>
      <c r="EX59" s="231">
        <v>5506.47</v>
      </c>
      <c r="EY59" s="228">
        <v>279.11</v>
      </c>
      <c r="EZ59" s="229">
        <v>5.0700000000000002E-2</v>
      </c>
      <c r="FA59" s="229">
        <v>0.40060000000000001</v>
      </c>
      <c r="FB59" s="227" t="s">
        <v>567</v>
      </c>
      <c r="FC59">
        <f t="shared" si="0"/>
        <v>215</v>
      </c>
    </row>
    <row r="60" spans="1:159" ht="17.25" thickBot="1" x14ac:dyDescent="0.3">
      <c r="A60" s="226">
        <v>45889</v>
      </c>
      <c r="B60" s="227" t="s">
        <v>206</v>
      </c>
      <c r="C60" s="227" t="s">
        <v>207</v>
      </c>
      <c r="D60" s="228">
        <v>825</v>
      </c>
      <c r="E60" s="228">
        <v>8</v>
      </c>
      <c r="F60" s="228">
        <v>772.25</v>
      </c>
      <c r="G60" s="228">
        <v>777.85</v>
      </c>
      <c r="H60" s="228">
        <v>-5.6</v>
      </c>
      <c r="I60" s="229">
        <v>-7.1999999999999998E-3</v>
      </c>
      <c r="J60" s="228">
        <v>770.5</v>
      </c>
      <c r="K60" s="228">
        <v>776.1</v>
      </c>
      <c r="L60" s="228">
        <v>-5.6</v>
      </c>
      <c r="M60" s="229">
        <v>-7.1999999999999998E-3</v>
      </c>
      <c r="N60" s="228">
        <v>772.25</v>
      </c>
      <c r="O60" s="228">
        <v>777.85</v>
      </c>
      <c r="P60" s="228">
        <v>-5.6</v>
      </c>
      <c r="Q60" s="229">
        <v>-7.1999999999999998E-3</v>
      </c>
      <c r="R60" s="228">
        <v>776.65</v>
      </c>
      <c r="S60" s="228">
        <v>782.45</v>
      </c>
      <c r="T60" s="228">
        <v>-5.8</v>
      </c>
      <c r="U60" s="229">
        <v>-7.4000000000000003E-3</v>
      </c>
      <c r="V60" s="228">
        <v>780.5</v>
      </c>
      <c r="W60" s="228">
        <v>786.3</v>
      </c>
      <c r="X60" s="228">
        <v>-5.8</v>
      </c>
      <c r="Y60" s="229">
        <v>-7.4000000000000003E-3</v>
      </c>
      <c r="Z60" s="228">
        <v>1.75</v>
      </c>
      <c r="AA60" s="228">
        <v>1.75</v>
      </c>
      <c r="AB60" s="228">
        <v>0</v>
      </c>
      <c r="AC60" s="229">
        <v>2.3E-3</v>
      </c>
      <c r="AD60" s="228">
        <v>1.75</v>
      </c>
      <c r="AE60" s="228">
        <v>1.75</v>
      </c>
      <c r="AF60" s="228">
        <v>0</v>
      </c>
      <c r="AG60" s="229">
        <v>2.3E-3</v>
      </c>
      <c r="AH60" s="228">
        <v>6.15</v>
      </c>
      <c r="AI60" s="228">
        <v>6.35</v>
      </c>
      <c r="AJ60" s="228">
        <v>-0.2</v>
      </c>
      <c r="AK60" s="229">
        <v>8.0000000000000002E-3</v>
      </c>
      <c r="AL60" s="228">
        <v>10</v>
      </c>
      <c r="AM60" s="228">
        <v>10.199999999999999</v>
      </c>
      <c r="AN60" s="228">
        <v>-0.2</v>
      </c>
      <c r="AO60" s="229">
        <v>1.2999999999999999E-2</v>
      </c>
      <c r="AP60" s="228">
        <v>775.23</v>
      </c>
      <c r="AQ60" s="228">
        <v>779.6</v>
      </c>
      <c r="AR60" s="228">
        <v>0</v>
      </c>
      <c r="AS60" s="228">
        <v>467</v>
      </c>
      <c r="AT60" s="228">
        <v>440</v>
      </c>
      <c r="AU60" s="228">
        <v>27</v>
      </c>
      <c r="AV60" s="229">
        <v>6.1100000000000002E-2</v>
      </c>
      <c r="AW60" s="228">
        <v>370</v>
      </c>
      <c r="AX60" s="228">
        <v>374</v>
      </c>
      <c r="AY60" s="228">
        <v>-5</v>
      </c>
      <c r="AZ60" s="229">
        <v>-1.23E-2</v>
      </c>
      <c r="BA60" s="228">
        <v>92</v>
      </c>
      <c r="BB60" s="228">
        <v>60</v>
      </c>
      <c r="BC60" s="228">
        <v>32</v>
      </c>
      <c r="BD60" s="229">
        <v>0.52490000000000003</v>
      </c>
      <c r="BE60" s="228">
        <v>5</v>
      </c>
      <c r="BF60" s="228">
        <v>5</v>
      </c>
      <c r="BG60" s="228">
        <v>0</v>
      </c>
      <c r="BH60" s="229">
        <v>-2.47E-2</v>
      </c>
      <c r="BI60" s="230">
        <v>1394</v>
      </c>
      <c r="BJ60" s="230">
        <v>1606</v>
      </c>
      <c r="BK60" s="228">
        <v>-212</v>
      </c>
      <c r="BL60" s="229">
        <v>-0.13200000000000001</v>
      </c>
      <c r="BM60" s="228">
        <v>624</v>
      </c>
      <c r="BN60" s="228">
        <v>626</v>
      </c>
      <c r="BO60" s="228">
        <v>-3</v>
      </c>
      <c r="BP60" s="229">
        <v>-4.4000000000000003E-3</v>
      </c>
      <c r="BQ60" s="230">
        <v>2484</v>
      </c>
      <c r="BR60" s="230">
        <v>2672</v>
      </c>
      <c r="BS60" s="228">
        <v>-188</v>
      </c>
      <c r="BT60" s="229">
        <v>-7.0300000000000001E-2</v>
      </c>
      <c r="BU60" s="230">
        <v>1780573</v>
      </c>
      <c r="BV60" s="230">
        <v>1943508</v>
      </c>
      <c r="BW60" s="230">
        <v>-162935</v>
      </c>
      <c r="BX60" s="229">
        <v>-8.3799999999999999E-2</v>
      </c>
      <c r="BY60" s="230">
        <v>2986</v>
      </c>
      <c r="BZ60" s="230">
        <v>2960</v>
      </c>
      <c r="CA60" s="228">
        <v>27</v>
      </c>
      <c r="CB60" s="229">
        <v>8.9999999999999993E-3</v>
      </c>
      <c r="CC60" s="230">
        <v>2770</v>
      </c>
      <c r="CD60" s="230">
        <v>2794</v>
      </c>
      <c r="CE60" s="228">
        <v>-24</v>
      </c>
      <c r="CF60" s="229">
        <v>-8.6E-3</v>
      </c>
      <c r="CG60" s="228">
        <v>201</v>
      </c>
      <c r="CH60" s="228">
        <v>152</v>
      </c>
      <c r="CI60" s="228">
        <v>49</v>
      </c>
      <c r="CJ60" s="229">
        <v>0.32119999999999999</v>
      </c>
      <c r="CK60" s="228">
        <v>15</v>
      </c>
      <c r="CL60" s="228">
        <v>13</v>
      </c>
      <c r="CM60" s="228">
        <v>2</v>
      </c>
      <c r="CN60" s="229">
        <v>0.11849999999999999</v>
      </c>
      <c r="CO60" s="230">
        <v>1397</v>
      </c>
      <c r="CP60" s="230">
        <v>1366</v>
      </c>
      <c r="CQ60" s="228">
        <v>31</v>
      </c>
      <c r="CR60" s="229">
        <v>2.3E-2</v>
      </c>
      <c r="CS60" s="228">
        <v>775</v>
      </c>
      <c r="CT60" s="228">
        <v>762</v>
      </c>
      <c r="CU60" s="228">
        <v>12</v>
      </c>
      <c r="CV60" s="229">
        <v>1.6400000000000001E-2</v>
      </c>
      <c r="CW60" s="230">
        <v>5158</v>
      </c>
      <c r="CX60" s="230">
        <v>5087</v>
      </c>
      <c r="CY60" s="228">
        <v>70</v>
      </c>
      <c r="CZ60" s="229">
        <v>1.38E-2</v>
      </c>
      <c r="DA60" s="228">
        <v>28.92</v>
      </c>
      <c r="DB60" s="228">
        <v>27.57</v>
      </c>
      <c r="DC60" s="228">
        <v>1.35</v>
      </c>
      <c r="DD60" s="228">
        <v>1.35</v>
      </c>
      <c r="DE60" s="228">
        <v>39.200000000000003</v>
      </c>
      <c r="DF60" s="228">
        <v>39.29</v>
      </c>
      <c r="DG60" s="228">
        <v>-10.28</v>
      </c>
      <c r="DH60" s="228">
        <v>-0.09</v>
      </c>
      <c r="DI60" s="228">
        <v>29.43</v>
      </c>
      <c r="DJ60" s="228">
        <v>27.46</v>
      </c>
      <c r="DK60" s="228">
        <v>1.97</v>
      </c>
      <c r="DL60" s="228">
        <v>1.97</v>
      </c>
      <c r="DM60" s="228">
        <v>27.77</v>
      </c>
      <c r="DN60" s="228">
        <v>27.85</v>
      </c>
      <c r="DO60" s="228">
        <v>-0.08</v>
      </c>
      <c r="DP60" s="228">
        <v>-0.08</v>
      </c>
      <c r="DQ60" s="228">
        <v>0.55000000000000004</v>
      </c>
      <c r="DR60" s="228">
        <v>0.56000000000000005</v>
      </c>
      <c r="DS60" s="228">
        <v>-0.01</v>
      </c>
      <c r="DT60" s="229">
        <v>-1.7899999999999999E-2</v>
      </c>
      <c r="DU60" s="228">
        <v>800</v>
      </c>
      <c r="DV60" s="228">
        <v>760</v>
      </c>
      <c r="DW60" s="228">
        <v>0.45</v>
      </c>
      <c r="DX60" s="228">
        <v>0.39</v>
      </c>
      <c r="DY60" s="228">
        <v>0.06</v>
      </c>
      <c r="DZ60" s="229">
        <v>0.15379999999999999</v>
      </c>
      <c r="EA60" s="229">
        <v>7.2300000000000003E-2</v>
      </c>
      <c r="EB60" s="230">
        <v>2144175</v>
      </c>
      <c r="EC60" s="229">
        <v>5.7000000000000002E-3</v>
      </c>
      <c r="ED60" s="229">
        <v>7.2300000000000003E-2</v>
      </c>
      <c r="EE60" s="228">
        <v>4.37</v>
      </c>
      <c r="EF60" s="229">
        <v>5.5999999999999999E-3</v>
      </c>
      <c r="EG60" s="230">
        <v>814235</v>
      </c>
      <c r="EH60" s="230">
        <v>845285</v>
      </c>
      <c r="EI60" s="229">
        <v>-3.6700000000000003E-2</v>
      </c>
      <c r="EJ60" s="229">
        <v>0.45729999999999998</v>
      </c>
      <c r="EK60" s="231">
        <v>1449.16</v>
      </c>
      <c r="EL60" s="228">
        <v>622.36</v>
      </c>
      <c r="EM60" s="228">
        <v>468.99</v>
      </c>
      <c r="EN60" s="228">
        <v>0</v>
      </c>
      <c r="EO60" s="231">
        <v>2540.5</v>
      </c>
      <c r="EP60" s="231">
        <v>2726.94</v>
      </c>
      <c r="EQ60" s="228">
        <v>-186.44</v>
      </c>
      <c r="ER60" s="229">
        <v>-6.8400000000000002E-2</v>
      </c>
      <c r="ES60" s="231">
        <v>1468.52</v>
      </c>
      <c r="ET60" s="228">
        <v>773.25</v>
      </c>
      <c r="EU60" s="231">
        <v>2987.49</v>
      </c>
      <c r="EV60" s="231">
        <v>128335064</v>
      </c>
      <c r="EW60" s="231">
        <v>5229.26</v>
      </c>
      <c r="EX60" s="231">
        <v>5179.92</v>
      </c>
      <c r="EY60" s="228">
        <v>49.34</v>
      </c>
      <c r="EZ60" s="229">
        <v>9.4999999999999998E-3</v>
      </c>
      <c r="FA60" s="229">
        <v>0.52039999999999997</v>
      </c>
      <c r="FB60" s="227" t="s">
        <v>567</v>
      </c>
      <c r="FC60">
        <f t="shared" si="0"/>
        <v>216</v>
      </c>
    </row>
    <row r="61" spans="1:159" ht="17.25" thickBot="1" x14ac:dyDescent="0.3">
      <c r="A61" s="226">
        <v>45889</v>
      </c>
      <c r="B61" s="227" t="s">
        <v>616</v>
      </c>
      <c r="C61" s="227" t="s">
        <v>584</v>
      </c>
      <c r="D61" s="228">
        <v>150</v>
      </c>
      <c r="E61" s="228">
        <v>8</v>
      </c>
      <c r="F61" s="231">
        <v>4708.7</v>
      </c>
      <c r="G61" s="231">
        <v>4630.8</v>
      </c>
      <c r="H61" s="228">
        <v>77.900000000000006</v>
      </c>
      <c r="I61" s="229">
        <v>1.6799999999999999E-2</v>
      </c>
      <c r="J61" s="231">
        <v>4737.8999999999996</v>
      </c>
      <c r="K61" s="231">
        <v>4653.2</v>
      </c>
      <c r="L61" s="228">
        <v>84.7</v>
      </c>
      <c r="M61" s="229">
        <v>1.8200000000000001E-2</v>
      </c>
      <c r="N61" s="231">
        <v>4708.7</v>
      </c>
      <c r="O61" s="231">
        <v>4630.8</v>
      </c>
      <c r="P61" s="228">
        <v>77.900000000000006</v>
      </c>
      <c r="Q61" s="229">
        <v>1.6799999999999999E-2</v>
      </c>
      <c r="R61" s="231">
        <v>4678.1000000000004</v>
      </c>
      <c r="S61" s="231">
        <v>4608.8999999999996</v>
      </c>
      <c r="T61" s="228">
        <v>69.2</v>
      </c>
      <c r="U61" s="229">
        <v>1.4999999999999999E-2</v>
      </c>
      <c r="V61" s="231">
        <v>4659.6000000000004</v>
      </c>
      <c r="W61" s="231">
        <v>4592.7</v>
      </c>
      <c r="X61" s="228">
        <v>66.900000000000006</v>
      </c>
      <c r="Y61" s="229">
        <v>1.46E-2</v>
      </c>
      <c r="Z61" s="228">
        <v>-29.2</v>
      </c>
      <c r="AA61" s="228">
        <v>-22.4</v>
      </c>
      <c r="AB61" s="228">
        <v>-6.8</v>
      </c>
      <c r="AC61" s="229">
        <v>-6.1999999999999998E-3</v>
      </c>
      <c r="AD61" s="228">
        <v>-29.2</v>
      </c>
      <c r="AE61" s="228">
        <v>-22.4</v>
      </c>
      <c r="AF61" s="228">
        <v>-6.8</v>
      </c>
      <c r="AG61" s="229">
        <v>-6.1999999999999998E-3</v>
      </c>
      <c r="AH61" s="228">
        <v>-59.8</v>
      </c>
      <c r="AI61" s="228">
        <v>-44.3</v>
      </c>
      <c r="AJ61" s="228">
        <v>-15.5</v>
      </c>
      <c r="AK61" s="229">
        <v>-1.26E-2</v>
      </c>
      <c r="AL61" s="228">
        <v>-78.3</v>
      </c>
      <c r="AM61" s="228">
        <v>-60.5</v>
      </c>
      <c r="AN61" s="228">
        <v>-17.8</v>
      </c>
      <c r="AO61" s="229">
        <v>-1.6500000000000001E-2</v>
      </c>
      <c r="AP61" s="231">
        <v>4699.34</v>
      </c>
      <c r="AQ61" s="231">
        <v>4672.9399999999996</v>
      </c>
      <c r="AR61" s="228">
        <v>0</v>
      </c>
      <c r="AS61" s="228">
        <v>602</v>
      </c>
      <c r="AT61" s="228">
        <v>722</v>
      </c>
      <c r="AU61" s="228">
        <v>-120</v>
      </c>
      <c r="AV61" s="229">
        <v>-0.16650000000000001</v>
      </c>
      <c r="AW61" s="228">
        <v>468</v>
      </c>
      <c r="AX61" s="228">
        <v>591</v>
      </c>
      <c r="AY61" s="228">
        <v>-122</v>
      </c>
      <c r="AZ61" s="229">
        <v>-0.20669999999999999</v>
      </c>
      <c r="BA61" s="228">
        <v>128</v>
      </c>
      <c r="BB61" s="228">
        <v>127</v>
      </c>
      <c r="BC61" s="228">
        <v>0</v>
      </c>
      <c r="BD61" s="229">
        <v>2.8E-3</v>
      </c>
      <c r="BE61" s="228">
        <v>6</v>
      </c>
      <c r="BF61" s="228">
        <v>4</v>
      </c>
      <c r="BG61" s="228">
        <v>1</v>
      </c>
      <c r="BH61" s="229">
        <v>0.36209999999999998</v>
      </c>
      <c r="BI61" s="230">
        <v>4907</v>
      </c>
      <c r="BJ61" s="230">
        <v>5577</v>
      </c>
      <c r="BK61" s="228">
        <v>-669</v>
      </c>
      <c r="BL61" s="229">
        <v>-0.12</v>
      </c>
      <c r="BM61" s="230">
        <v>1709</v>
      </c>
      <c r="BN61" s="230">
        <v>1871</v>
      </c>
      <c r="BO61" s="228">
        <v>-162</v>
      </c>
      <c r="BP61" s="229">
        <v>-8.6599999999999996E-2</v>
      </c>
      <c r="BQ61" s="230">
        <v>7218</v>
      </c>
      <c r="BR61" s="230">
        <v>8170</v>
      </c>
      <c r="BS61" s="228">
        <v>-952</v>
      </c>
      <c r="BT61" s="229">
        <v>-0.11650000000000001</v>
      </c>
      <c r="BU61" s="230">
        <v>1346292</v>
      </c>
      <c r="BV61" s="230">
        <v>908470</v>
      </c>
      <c r="BW61" s="230">
        <v>437822</v>
      </c>
      <c r="BX61" s="229">
        <v>0.4819</v>
      </c>
      <c r="BY61" s="230">
        <v>2751</v>
      </c>
      <c r="BZ61" s="230">
        <v>2691</v>
      </c>
      <c r="CA61" s="228">
        <v>60</v>
      </c>
      <c r="CB61" s="229">
        <v>2.2200000000000001E-2</v>
      </c>
      <c r="CC61" s="230">
        <v>2365</v>
      </c>
      <c r="CD61" s="230">
        <v>2344</v>
      </c>
      <c r="CE61" s="228">
        <v>22</v>
      </c>
      <c r="CF61" s="229">
        <v>9.1999999999999998E-3</v>
      </c>
      <c r="CG61" s="228">
        <v>379</v>
      </c>
      <c r="CH61" s="228">
        <v>342</v>
      </c>
      <c r="CI61" s="228">
        <v>37</v>
      </c>
      <c r="CJ61" s="229">
        <v>0.10929999999999999</v>
      </c>
      <c r="CK61" s="228">
        <v>6</v>
      </c>
      <c r="CL61" s="228">
        <v>6</v>
      </c>
      <c r="CM61" s="228">
        <v>1</v>
      </c>
      <c r="CN61" s="229">
        <v>0.13750000000000001</v>
      </c>
      <c r="CO61" s="228">
        <v>774</v>
      </c>
      <c r="CP61" s="228">
        <v>765</v>
      </c>
      <c r="CQ61" s="228">
        <v>9</v>
      </c>
      <c r="CR61" s="229">
        <v>1.17E-2</v>
      </c>
      <c r="CS61" s="228">
        <v>703</v>
      </c>
      <c r="CT61" s="228">
        <v>611</v>
      </c>
      <c r="CU61" s="228">
        <v>92</v>
      </c>
      <c r="CV61" s="229">
        <v>0.1507</v>
      </c>
      <c r="CW61" s="230">
        <v>4228</v>
      </c>
      <c r="CX61" s="230">
        <v>4067</v>
      </c>
      <c r="CY61" s="228">
        <v>161</v>
      </c>
      <c r="CZ61" s="229">
        <v>3.95E-2</v>
      </c>
      <c r="DA61" s="228">
        <v>28.37</v>
      </c>
      <c r="DB61" s="228">
        <v>27.67</v>
      </c>
      <c r="DC61" s="228">
        <v>0.7</v>
      </c>
      <c r="DD61" s="228">
        <v>0.7</v>
      </c>
      <c r="DE61" s="228">
        <v>34.630000000000003</v>
      </c>
      <c r="DF61" s="228">
        <v>34.630000000000003</v>
      </c>
      <c r="DG61" s="228">
        <v>-6.26</v>
      </c>
      <c r="DH61" s="228">
        <v>0</v>
      </c>
      <c r="DI61" s="228">
        <v>27.6</v>
      </c>
      <c r="DJ61" s="228">
        <v>27.2</v>
      </c>
      <c r="DK61" s="228">
        <v>0.4</v>
      </c>
      <c r="DL61" s="228">
        <v>0.4</v>
      </c>
      <c r="DM61" s="228">
        <v>30.58</v>
      </c>
      <c r="DN61" s="228">
        <v>29.06</v>
      </c>
      <c r="DO61" s="228">
        <v>1.52</v>
      </c>
      <c r="DP61" s="228">
        <v>1.52</v>
      </c>
      <c r="DQ61" s="228">
        <v>0.91</v>
      </c>
      <c r="DR61" s="228">
        <v>0.8</v>
      </c>
      <c r="DS61" s="228">
        <v>0.11</v>
      </c>
      <c r="DT61" s="229">
        <v>0.13750000000000001</v>
      </c>
      <c r="DU61" s="231">
        <v>4600</v>
      </c>
      <c r="DV61" s="231">
        <v>4500</v>
      </c>
      <c r="DW61" s="228">
        <v>0.35</v>
      </c>
      <c r="DX61" s="228">
        <v>0.34</v>
      </c>
      <c r="DY61" s="228">
        <v>0.01</v>
      </c>
      <c r="DZ61" s="229">
        <v>2.9399999999999999E-2</v>
      </c>
      <c r="EA61" s="229">
        <v>0.14019999999999999</v>
      </c>
      <c r="EB61" s="230">
        <v>738150</v>
      </c>
      <c r="EC61" s="229">
        <v>-6.4999999999999997E-3</v>
      </c>
      <c r="ED61" s="229">
        <v>0.14019999999999999</v>
      </c>
      <c r="EE61" s="228">
        <v>-26.4</v>
      </c>
      <c r="EF61" s="229">
        <v>-5.5999999999999999E-3</v>
      </c>
      <c r="EG61" s="230">
        <v>827988</v>
      </c>
      <c r="EH61" s="230">
        <v>374773</v>
      </c>
      <c r="EI61" s="229">
        <v>1.2093</v>
      </c>
      <c r="EJ61" s="229">
        <v>0.61499999999999999</v>
      </c>
      <c r="EK61" s="231">
        <v>5047.62</v>
      </c>
      <c r="EL61" s="231">
        <v>1655.34</v>
      </c>
      <c r="EM61" s="228">
        <v>599.74</v>
      </c>
      <c r="EN61" s="228">
        <v>0</v>
      </c>
      <c r="EO61" s="231">
        <v>7302.69</v>
      </c>
      <c r="EP61" s="231">
        <v>8105.04</v>
      </c>
      <c r="EQ61" s="228">
        <v>-802.34</v>
      </c>
      <c r="ER61" s="229">
        <v>-9.9000000000000005E-2</v>
      </c>
      <c r="ES61" s="228">
        <v>769.84</v>
      </c>
      <c r="ET61" s="228">
        <v>641.19000000000005</v>
      </c>
      <c r="EU61" s="231">
        <v>2748.46</v>
      </c>
      <c r="EV61" s="231">
        <v>32987182</v>
      </c>
      <c r="EW61" s="231">
        <v>4159.49</v>
      </c>
      <c r="EX61" s="231">
        <v>3947.75</v>
      </c>
      <c r="EY61" s="228">
        <v>211.74</v>
      </c>
      <c r="EZ61" s="229">
        <v>5.3600000000000002E-2</v>
      </c>
      <c r="FA61" s="229">
        <v>0.2722</v>
      </c>
      <c r="FB61" s="227" t="s">
        <v>555</v>
      </c>
      <c r="FC61">
        <f t="shared" si="0"/>
        <v>386</v>
      </c>
    </row>
    <row r="62" spans="1:159" ht="17.25" thickBot="1" x14ac:dyDescent="0.3">
      <c r="A62" s="226">
        <v>45889</v>
      </c>
      <c r="B62" s="227" t="s">
        <v>170</v>
      </c>
      <c r="C62" s="227" t="s">
        <v>208</v>
      </c>
      <c r="D62" s="228">
        <v>625</v>
      </c>
      <c r="E62" s="228">
        <v>8</v>
      </c>
      <c r="F62" s="231">
        <v>1241.2</v>
      </c>
      <c r="G62" s="231">
        <v>1244.5999999999999</v>
      </c>
      <c r="H62" s="228">
        <v>-3.4</v>
      </c>
      <c r="I62" s="229">
        <v>-2.7000000000000001E-3</v>
      </c>
      <c r="J62" s="231">
        <v>1245.4000000000001</v>
      </c>
      <c r="K62" s="231">
        <v>1244.2</v>
      </c>
      <c r="L62" s="228">
        <v>1.2</v>
      </c>
      <c r="M62" s="229">
        <v>1E-3</v>
      </c>
      <c r="N62" s="231">
        <v>1241.2</v>
      </c>
      <c r="O62" s="231">
        <v>1244.5999999999999</v>
      </c>
      <c r="P62" s="228">
        <v>-3.4</v>
      </c>
      <c r="Q62" s="229">
        <v>-2.7000000000000001E-3</v>
      </c>
      <c r="R62" s="231">
        <v>1242.5</v>
      </c>
      <c r="S62" s="231">
        <v>1246</v>
      </c>
      <c r="T62" s="228">
        <v>-3.5</v>
      </c>
      <c r="U62" s="229">
        <v>-2.8E-3</v>
      </c>
      <c r="V62" s="231">
        <v>1245.9000000000001</v>
      </c>
      <c r="W62" s="231">
        <v>1248.5</v>
      </c>
      <c r="X62" s="228">
        <v>-2.6</v>
      </c>
      <c r="Y62" s="229">
        <v>-2.0999999999999999E-3</v>
      </c>
      <c r="Z62" s="228">
        <v>-4.2</v>
      </c>
      <c r="AA62" s="228">
        <v>0.4</v>
      </c>
      <c r="AB62" s="228">
        <v>-4.5999999999999996</v>
      </c>
      <c r="AC62" s="229">
        <v>-3.3999999999999998E-3</v>
      </c>
      <c r="AD62" s="228">
        <v>-4.2</v>
      </c>
      <c r="AE62" s="228">
        <v>0.4</v>
      </c>
      <c r="AF62" s="228">
        <v>-4.5999999999999996</v>
      </c>
      <c r="AG62" s="229">
        <v>-3.3999999999999998E-3</v>
      </c>
      <c r="AH62" s="228">
        <v>-2.9</v>
      </c>
      <c r="AI62" s="228">
        <v>1.8</v>
      </c>
      <c r="AJ62" s="228">
        <v>-4.7</v>
      </c>
      <c r="AK62" s="229">
        <v>-2.3E-3</v>
      </c>
      <c r="AL62" s="228">
        <v>0.5</v>
      </c>
      <c r="AM62" s="228">
        <v>4.3</v>
      </c>
      <c r="AN62" s="228">
        <v>-3.8</v>
      </c>
      <c r="AO62" s="229">
        <v>4.0000000000000002E-4</v>
      </c>
      <c r="AP62" s="231">
        <v>1242.92</v>
      </c>
      <c r="AQ62" s="231">
        <v>1245.82</v>
      </c>
      <c r="AR62" s="228">
        <v>0</v>
      </c>
      <c r="AS62" s="228">
        <v>223</v>
      </c>
      <c r="AT62" s="228">
        <v>228</v>
      </c>
      <c r="AU62" s="228">
        <v>-5</v>
      </c>
      <c r="AV62" s="229">
        <v>-2.18E-2</v>
      </c>
      <c r="AW62" s="228">
        <v>170</v>
      </c>
      <c r="AX62" s="228">
        <v>183</v>
      </c>
      <c r="AY62" s="228">
        <v>-12</v>
      </c>
      <c r="AZ62" s="229">
        <v>-6.83E-2</v>
      </c>
      <c r="BA62" s="228">
        <v>52</v>
      </c>
      <c r="BB62" s="228">
        <v>44</v>
      </c>
      <c r="BC62" s="228">
        <v>8</v>
      </c>
      <c r="BD62" s="229">
        <v>0.17080000000000001</v>
      </c>
      <c r="BE62" s="228">
        <v>1</v>
      </c>
      <c r="BF62" s="228">
        <v>1</v>
      </c>
      <c r="BG62" s="228">
        <v>0</v>
      </c>
      <c r="BH62" s="229">
        <v>0</v>
      </c>
      <c r="BI62" s="228">
        <v>463</v>
      </c>
      <c r="BJ62" s="228">
        <v>478</v>
      </c>
      <c r="BK62" s="228">
        <v>-15</v>
      </c>
      <c r="BL62" s="229">
        <v>-3.04E-2</v>
      </c>
      <c r="BM62" s="228">
        <v>308</v>
      </c>
      <c r="BN62" s="228">
        <v>408</v>
      </c>
      <c r="BO62" s="228">
        <v>-100</v>
      </c>
      <c r="BP62" s="229">
        <v>-0.245</v>
      </c>
      <c r="BQ62" s="228">
        <v>995</v>
      </c>
      <c r="BR62" s="230">
        <v>1114</v>
      </c>
      <c r="BS62" s="228">
        <v>-119</v>
      </c>
      <c r="BT62" s="229">
        <v>-0.1072</v>
      </c>
      <c r="BU62" s="230">
        <v>750398</v>
      </c>
      <c r="BV62" s="230">
        <v>1091699</v>
      </c>
      <c r="BW62" s="230">
        <v>-341301</v>
      </c>
      <c r="BX62" s="229">
        <v>-0.31259999999999999</v>
      </c>
      <c r="BY62" s="230">
        <v>1667</v>
      </c>
      <c r="BZ62" s="230">
        <v>1652</v>
      </c>
      <c r="CA62" s="228">
        <v>15</v>
      </c>
      <c r="CB62" s="229">
        <v>9.2999999999999992E-3</v>
      </c>
      <c r="CC62" s="230">
        <v>1488</v>
      </c>
      <c r="CD62" s="230">
        <v>1504</v>
      </c>
      <c r="CE62" s="228">
        <v>-16</v>
      </c>
      <c r="CF62" s="229">
        <v>-1.0500000000000001E-2</v>
      </c>
      <c r="CG62" s="228">
        <v>174</v>
      </c>
      <c r="CH62" s="228">
        <v>144</v>
      </c>
      <c r="CI62" s="228">
        <v>30</v>
      </c>
      <c r="CJ62" s="229">
        <v>0.2122</v>
      </c>
      <c r="CK62" s="228">
        <v>4</v>
      </c>
      <c r="CL62" s="228">
        <v>4</v>
      </c>
      <c r="CM62" s="228">
        <v>1</v>
      </c>
      <c r="CN62" s="229">
        <v>0.1837</v>
      </c>
      <c r="CO62" s="228">
        <v>818</v>
      </c>
      <c r="CP62" s="228">
        <v>820</v>
      </c>
      <c r="CQ62" s="228">
        <v>-1</v>
      </c>
      <c r="CR62" s="229">
        <v>-1.5E-3</v>
      </c>
      <c r="CS62" s="228">
        <v>653</v>
      </c>
      <c r="CT62" s="228">
        <v>639</v>
      </c>
      <c r="CU62" s="228">
        <v>14</v>
      </c>
      <c r="CV62" s="229">
        <v>2.2200000000000001E-2</v>
      </c>
      <c r="CW62" s="230">
        <v>3138</v>
      </c>
      <c r="CX62" s="230">
        <v>3110</v>
      </c>
      <c r="CY62" s="228">
        <v>28</v>
      </c>
      <c r="CZ62" s="229">
        <v>9.1000000000000004E-3</v>
      </c>
      <c r="DA62" s="228">
        <v>22.69</v>
      </c>
      <c r="DB62" s="228">
        <v>22.97</v>
      </c>
      <c r="DC62" s="228">
        <v>-0.28000000000000003</v>
      </c>
      <c r="DD62" s="228">
        <v>-0.28000000000000003</v>
      </c>
      <c r="DE62" s="228">
        <v>25.41</v>
      </c>
      <c r="DF62" s="228">
        <v>25.48</v>
      </c>
      <c r="DG62" s="228">
        <v>-2.72</v>
      </c>
      <c r="DH62" s="228">
        <v>-7.0000000000000007E-2</v>
      </c>
      <c r="DI62" s="228">
        <v>21.82</v>
      </c>
      <c r="DJ62" s="228">
        <v>22.18</v>
      </c>
      <c r="DK62" s="228">
        <v>-0.36</v>
      </c>
      <c r="DL62" s="228">
        <v>-0.36</v>
      </c>
      <c r="DM62" s="228">
        <v>24.01</v>
      </c>
      <c r="DN62" s="228">
        <v>23.89</v>
      </c>
      <c r="DO62" s="228">
        <v>0.12</v>
      </c>
      <c r="DP62" s="228">
        <v>0.12</v>
      </c>
      <c r="DQ62" s="228">
        <v>0.8</v>
      </c>
      <c r="DR62" s="228">
        <v>0.78</v>
      </c>
      <c r="DS62" s="228">
        <v>0.02</v>
      </c>
      <c r="DT62" s="229">
        <v>2.5600000000000001E-2</v>
      </c>
      <c r="DU62" s="231">
        <v>1300</v>
      </c>
      <c r="DV62" s="231">
        <v>1200</v>
      </c>
      <c r="DW62" s="228">
        <v>0.66</v>
      </c>
      <c r="DX62" s="228">
        <v>0.85</v>
      </c>
      <c r="DY62" s="228">
        <v>-0.19</v>
      </c>
      <c r="DZ62" s="229">
        <v>-0.2235</v>
      </c>
      <c r="EA62" s="229">
        <v>0.1072</v>
      </c>
      <c r="EB62" s="230">
        <v>1188125</v>
      </c>
      <c r="EC62" s="229">
        <v>1E-3</v>
      </c>
      <c r="ED62" s="229">
        <v>0.1072</v>
      </c>
      <c r="EE62" s="228">
        <v>2.9</v>
      </c>
      <c r="EF62" s="229">
        <v>2.3E-3</v>
      </c>
      <c r="EG62" s="230">
        <v>389059</v>
      </c>
      <c r="EH62" s="230">
        <v>539900</v>
      </c>
      <c r="EI62" s="229">
        <v>-0.27939999999999998</v>
      </c>
      <c r="EJ62" s="229">
        <v>0.51849999999999996</v>
      </c>
      <c r="EK62" s="228">
        <v>478.73</v>
      </c>
      <c r="EL62" s="228">
        <v>303.8</v>
      </c>
      <c r="EM62" s="228">
        <v>223.38</v>
      </c>
      <c r="EN62" s="228">
        <v>0</v>
      </c>
      <c r="EO62" s="231">
        <v>1005.91</v>
      </c>
      <c r="EP62" s="231">
        <v>1120.74</v>
      </c>
      <c r="EQ62" s="228">
        <v>-114.82</v>
      </c>
      <c r="ER62" s="229">
        <v>-0.10249999999999999</v>
      </c>
      <c r="ES62" s="228">
        <v>855.12</v>
      </c>
      <c r="ET62" s="228">
        <v>614.07000000000005</v>
      </c>
      <c r="EU62" s="231">
        <v>1667.21</v>
      </c>
      <c r="EV62" s="231">
        <v>122013042</v>
      </c>
      <c r="EW62" s="231">
        <v>3136.39</v>
      </c>
      <c r="EX62" s="231">
        <v>3112.31</v>
      </c>
      <c r="EY62" s="228">
        <v>24.08</v>
      </c>
      <c r="EZ62" s="229">
        <v>7.7000000000000002E-3</v>
      </c>
      <c r="FA62" s="229">
        <v>0.2072</v>
      </c>
      <c r="FB62" s="227" t="s">
        <v>567</v>
      </c>
      <c r="FC62">
        <f t="shared" si="0"/>
        <v>179</v>
      </c>
    </row>
    <row r="63" spans="1:159" ht="17.25" thickBot="1" x14ac:dyDescent="0.3">
      <c r="A63" s="226">
        <v>45889</v>
      </c>
      <c r="B63" s="227" t="s">
        <v>162</v>
      </c>
      <c r="C63" s="227" t="s">
        <v>209</v>
      </c>
      <c r="D63" s="228">
        <v>175</v>
      </c>
      <c r="E63" s="228">
        <v>8</v>
      </c>
      <c r="F63" s="231">
        <v>5948.5</v>
      </c>
      <c r="G63" s="231">
        <v>5958.5</v>
      </c>
      <c r="H63" s="228">
        <v>-10</v>
      </c>
      <c r="I63" s="229">
        <v>-1.6999999999999999E-3</v>
      </c>
      <c r="J63" s="231">
        <v>5937.5</v>
      </c>
      <c r="K63" s="231">
        <v>5938.5</v>
      </c>
      <c r="L63" s="228">
        <v>-1</v>
      </c>
      <c r="M63" s="229">
        <v>-2.0000000000000001E-4</v>
      </c>
      <c r="N63" s="231">
        <v>5948.5</v>
      </c>
      <c r="O63" s="231">
        <v>5958.5</v>
      </c>
      <c r="P63" s="228">
        <v>-10</v>
      </c>
      <c r="Q63" s="229">
        <v>-1.6999999999999999E-3</v>
      </c>
      <c r="R63" s="231">
        <v>5983</v>
      </c>
      <c r="S63" s="231">
        <v>5992.5</v>
      </c>
      <c r="T63" s="228">
        <v>-9.5</v>
      </c>
      <c r="U63" s="229">
        <v>-1.6000000000000001E-3</v>
      </c>
      <c r="V63" s="231">
        <v>6020</v>
      </c>
      <c r="W63" s="231">
        <v>6030</v>
      </c>
      <c r="X63" s="228">
        <v>-10</v>
      </c>
      <c r="Y63" s="229">
        <v>-1.6999999999999999E-3</v>
      </c>
      <c r="Z63" s="228">
        <v>11</v>
      </c>
      <c r="AA63" s="228">
        <v>20</v>
      </c>
      <c r="AB63" s="228">
        <v>-9</v>
      </c>
      <c r="AC63" s="229">
        <v>1.9E-3</v>
      </c>
      <c r="AD63" s="228">
        <v>11</v>
      </c>
      <c r="AE63" s="228">
        <v>20</v>
      </c>
      <c r="AF63" s="228">
        <v>-9</v>
      </c>
      <c r="AG63" s="229">
        <v>1.9E-3</v>
      </c>
      <c r="AH63" s="228">
        <v>45.5</v>
      </c>
      <c r="AI63" s="228">
        <v>54</v>
      </c>
      <c r="AJ63" s="228">
        <v>-8.5</v>
      </c>
      <c r="AK63" s="229">
        <v>7.7000000000000002E-3</v>
      </c>
      <c r="AL63" s="228">
        <v>82.5</v>
      </c>
      <c r="AM63" s="228">
        <v>91.5</v>
      </c>
      <c r="AN63" s="228">
        <v>-9</v>
      </c>
      <c r="AO63" s="229">
        <v>1.3899999999999999E-2</v>
      </c>
      <c r="AP63" s="231">
        <v>5941.34</v>
      </c>
      <c r="AQ63" s="231">
        <v>5977.49</v>
      </c>
      <c r="AR63" s="228">
        <v>0</v>
      </c>
      <c r="AS63" s="228">
        <v>261</v>
      </c>
      <c r="AT63" s="228">
        <v>538</v>
      </c>
      <c r="AU63" s="228">
        <v>-277</v>
      </c>
      <c r="AV63" s="229">
        <v>-0.51539999999999997</v>
      </c>
      <c r="AW63" s="228">
        <v>226</v>
      </c>
      <c r="AX63" s="228">
        <v>455</v>
      </c>
      <c r="AY63" s="228">
        <v>-229</v>
      </c>
      <c r="AZ63" s="229">
        <v>-0.50290000000000001</v>
      </c>
      <c r="BA63" s="228">
        <v>33</v>
      </c>
      <c r="BB63" s="228">
        <v>81</v>
      </c>
      <c r="BC63" s="228">
        <v>-48</v>
      </c>
      <c r="BD63" s="229">
        <v>-0.59409999999999996</v>
      </c>
      <c r="BE63" s="228">
        <v>2</v>
      </c>
      <c r="BF63" s="228">
        <v>2</v>
      </c>
      <c r="BG63" s="228">
        <v>0</v>
      </c>
      <c r="BH63" s="229">
        <v>-0.1905</v>
      </c>
      <c r="BI63" s="230">
        <v>1352</v>
      </c>
      <c r="BJ63" s="230">
        <v>3282</v>
      </c>
      <c r="BK63" s="230">
        <v>-1931</v>
      </c>
      <c r="BL63" s="229">
        <v>-0.58819999999999995</v>
      </c>
      <c r="BM63" s="228">
        <v>819</v>
      </c>
      <c r="BN63" s="230">
        <v>1586</v>
      </c>
      <c r="BO63" s="228">
        <v>-767</v>
      </c>
      <c r="BP63" s="229">
        <v>-0.48359999999999997</v>
      </c>
      <c r="BQ63" s="230">
        <v>2431</v>
      </c>
      <c r="BR63" s="230">
        <v>5406</v>
      </c>
      <c r="BS63" s="230">
        <v>-2975</v>
      </c>
      <c r="BT63" s="229">
        <v>-0.55030000000000001</v>
      </c>
      <c r="BU63" s="230">
        <v>518522</v>
      </c>
      <c r="BV63" s="230">
        <v>857243</v>
      </c>
      <c r="BW63" s="230">
        <v>-338721</v>
      </c>
      <c r="BX63" s="229">
        <v>-0.39510000000000001</v>
      </c>
      <c r="BY63" s="230">
        <v>2479</v>
      </c>
      <c r="BZ63" s="230">
        <v>2454</v>
      </c>
      <c r="CA63" s="228">
        <v>25</v>
      </c>
      <c r="CB63" s="229">
        <v>1.01E-2</v>
      </c>
      <c r="CC63" s="230">
        <v>2233</v>
      </c>
      <c r="CD63" s="230">
        <v>2221</v>
      </c>
      <c r="CE63" s="228">
        <v>12</v>
      </c>
      <c r="CF63" s="229">
        <v>5.4000000000000003E-3</v>
      </c>
      <c r="CG63" s="228">
        <v>131</v>
      </c>
      <c r="CH63" s="228">
        <v>119</v>
      </c>
      <c r="CI63" s="228">
        <v>12</v>
      </c>
      <c r="CJ63" s="229">
        <v>0.1023</v>
      </c>
      <c r="CK63" s="228">
        <v>115</v>
      </c>
      <c r="CL63" s="228">
        <v>114</v>
      </c>
      <c r="CM63" s="228">
        <v>0</v>
      </c>
      <c r="CN63" s="229">
        <v>3.5999999999999999E-3</v>
      </c>
      <c r="CO63" s="230">
        <v>1377</v>
      </c>
      <c r="CP63" s="230">
        <v>1397</v>
      </c>
      <c r="CQ63" s="228">
        <v>-20</v>
      </c>
      <c r="CR63" s="229">
        <v>-1.43E-2</v>
      </c>
      <c r="CS63" s="230">
        <v>1022</v>
      </c>
      <c r="CT63" s="230">
        <v>1063</v>
      </c>
      <c r="CU63" s="228">
        <v>-41</v>
      </c>
      <c r="CV63" s="229">
        <v>-3.8699999999999998E-2</v>
      </c>
      <c r="CW63" s="230">
        <v>4878</v>
      </c>
      <c r="CX63" s="230">
        <v>4915</v>
      </c>
      <c r="CY63" s="228">
        <v>-36</v>
      </c>
      <c r="CZ63" s="229">
        <v>-7.4000000000000003E-3</v>
      </c>
      <c r="DA63" s="228">
        <v>20.48</v>
      </c>
      <c r="DB63" s="228">
        <v>20.56</v>
      </c>
      <c r="DC63" s="228">
        <v>-0.08</v>
      </c>
      <c r="DD63" s="228">
        <v>-0.08</v>
      </c>
      <c r="DE63" s="228">
        <v>28.97</v>
      </c>
      <c r="DF63" s="228">
        <v>29.04</v>
      </c>
      <c r="DG63" s="228">
        <v>-8.49</v>
      </c>
      <c r="DH63" s="228">
        <v>-7.0000000000000007E-2</v>
      </c>
      <c r="DI63" s="228">
        <v>20.09</v>
      </c>
      <c r="DJ63" s="228">
        <v>20.25</v>
      </c>
      <c r="DK63" s="228">
        <v>-0.16</v>
      </c>
      <c r="DL63" s="228">
        <v>-0.16</v>
      </c>
      <c r="DM63" s="228">
        <v>21.13</v>
      </c>
      <c r="DN63" s="228">
        <v>21.22</v>
      </c>
      <c r="DO63" s="228">
        <v>-0.09</v>
      </c>
      <c r="DP63" s="228">
        <v>-0.09</v>
      </c>
      <c r="DQ63" s="228">
        <v>0.74</v>
      </c>
      <c r="DR63" s="228">
        <v>0.76</v>
      </c>
      <c r="DS63" s="228">
        <v>-0.02</v>
      </c>
      <c r="DT63" s="229">
        <v>-2.63E-2</v>
      </c>
      <c r="DU63" s="231">
        <v>6000</v>
      </c>
      <c r="DV63" s="231">
        <v>5600</v>
      </c>
      <c r="DW63" s="228">
        <v>0.61</v>
      </c>
      <c r="DX63" s="228">
        <v>0.48</v>
      </c>
      <c r="DY63" s="228">
        <v>0.13</v>
      </c>
      <c r="DZ63" s="229">
        <v>0.27079999999999999</v>
      </c>
      <c r="EA63" s="229">
        <v>9.9099999999999994E-2</v>
      </c>
      <c r="EB63" s="230">
        <v>392000</v>
      </c>
      <c r="EC63" s="229">
        <v>5.7999999999999996E-3</v>
      </c>
      <c r="ED63" s="229">
        <v>9.9099999999999994E-2</v>
      </c>
      <c r="EE63" s="228">
        <v>36.15</v>
      </c>
      <c r="EF63" s="229">
        <v>6.1000000000000004E-3</v>
      </c>
      <c r="EG63" s="230">
        <v>374421</v>
      </c>
      <c r="EH63" s="230">
        <v>543147</v>
      </c>
      <c r="EI63" s="229">
        <v>-0.31059999999999999</v>
      </c>
      <c r="EJ63" s="229">
        <v>0.72209999999999996</v>
      </c>
      <c r="EK63" s="231">
        <v>1386.49</v>
      </c>
      <c r="EL63" s="228">
        <v>797.91</v>
      </c>
      <c r="EM63" s="228">
        <v>260.67</v>
      </c>
      <c r="EN63" s="228">
        <v>0</v>
      </c>
      <c r="EO63" s="231">
        <v>2445.0700000000002</v>
      </c>
      <c r="EP63" s="231">
        <v>5475.94</v>
      </c>
      <c r="EQ63" s="231">
        <v>-3030.87</v>
      </c>
      <c r="ER63" s="229">
        <v>-0.55349999999999999</v>
      </c>
      <c r="ES63" s="231">
        <v>1382.53</v>
      </c>
      <c r="ET63" s="228">
        <v>965.43</v>
      </c>
      <c r="EU63" s="231">
        <v>2481.25</v>
      </c>
      <c r="EV63" s="231">
        <v>27937459</v>
      </c>
      <c r="EW63" s="231">
        <v>4829.21</v>
      </c>
      <c r="EX63" s="231">
        <v>4868.4799999999996</v>
      </c>
      <c r="EY63" s="228">
        <v>-39.270000000000003</v>
      </c>
      <c r="EZ63" s="229">
        <v>-8.0999999999999996E-3</v>
      </c>
      <c r="FA63" s="229">
        <v>0.29349999999999998</v>
      </c>
      <c r="FB63" s="227" t="s">
        <v>567</v>
      </c>
      <c r="FC63">
        <f t="shared" si="0"/>
        <v>246</v>
      </c>
    </row>
    <row r="64" spans="1:159" ht="17.25" thickBot="1" x14ac:dyDescent="0.3">
      <c r="A64" s="226">
        <v>45889</v>
      </c>
      <c r="B64" s="227" t="s">
        <v>616</v>
      </c>
      <c r="C64" s="227" t="s">
        <v>669</v>
      </c>
      <c r="D64" s="228">
        <v>2425</v>
      </c>
      <c r="E64" s="228">
        <v>8</v>
      </c>
      <c r="F64" s="228">
        <v>326.3</v>
      </c>
      <c r="G64" s="228">
        <v>321.7</v>
      </c>
      <c r="H64" s="228">
        <v>4.5999999999999996</v>
      </c>
      <c r="I64" s="229">
        <v>1.43E-2</v>
      </c>
      <c r="J64" s="228">
        <v>326.55</v>
      </c>
      <c r="K64" s="228">
        <v>321.45</v>
      </c>
      <c r="L64" s="228">
        <v>5.0999999999999996</v>
      </c>
      <c r="M64" s="229">
        <v>1.5900000000000001E-2</v>
      </c>
      <c r="N64" s="228">
        <v>326.3</v>
      </c>
      <c r="O64" s="228">
        <v>321.7</v>
      </c>
      <c r="P64" s="228">
        <v>4.5999999999999996</v>
      </c>
      <c r="Q64" s="229">
        <v>1.43E-2</v>
      </c>
      <c r="R64" s="228">
        <v>328.1</v>
      </c>
      <c r="S64" s="228">
        <v>323.64999999999998</v>
      </c>
      <c r="T64" s="228">
        <v>4.45</v>
      </c>
      <c r="U64" s="229">
        <v>1.37E-2</v>
      </c>
      <c r="V64" s="228">
        <v>329.75</v>
      </c>
      <c r="W64" s="228">
        <v>325</v>
      </c>
      <c r="X64" s="228">
        <v>4.75</v>
      </c>
      <c r="Y64" s="229">
        <v>1.46E-2</v>
      </c>
      <c r="Z64" s="228">
        <v>-0.25</v>
      </c>
      <c r="AA64" s="228">
        <v>0.25</v>
      </c>
      <c r="AB64" s="228">
        <v>-0.5</v>
      </c>
      <c r="AC64" s="229">
        <v>-8.0000000000000004E-4</v>
      </c>
      <c r="AD64" s="228">
        <v>-0.25</v>
      </c>
      <c r="AE64" s="228">
        <v>0.25</v>
      </c>
      <c r="AF64" s="228">
        <v>-0.5</v>
      </c>
      <c r="AG64" s="229">
        <v>-8.0000000000000004E-4</v>
      </c>
      <c r="AH64" s="228">
        <v>1.55</v>
      </c>
      <c r="AI64" s="228">
        <v>2.2000000000000002</v>
      </c>
      <c r="AJ64" s="228">
        <v>-0.65</v>
      </c>
      <c r="AK64" s="229">
        <v>4.7000000000000002E-3</v>
      </c>
      <c r="AL64" s="228">
        <v>3.2</v>
      </c>
      <c r="AM64" s="228">
        <v>3.55</v>
      </c>
      <c r="AN64" s="228">
        <v>-0.35</v>
      </c>
      <c r="AO64" s="229">
        <v>9.7999999999999997E-3</v>
      </c>
      <c r="AP64" s="228">
        <v>327.06</v>
      </c>
      <c r="AQ64" s="228">
        <v>329.15</v>
      </c>
      <c r="AR64" s="228">
        <v>0</v>
      </c>
      <c r="AS64" s="230">
        <v>2188</v>
      </c>
      <c r="AT64" s="230">
        <v>1614</v>
      </c>
      <c r="AU64" s="228">
        <v>574</v>
      </c>
      <c r="AV64" s="229">
        <v>0.35549999999999998</v>
      </c>
      <c r="AW64" s="230">
        <v>1872</v>
      </c>
      <c r="AX64" s="230">
        <v>1285</v>
      </c>
      <c r="AY64" s="228">
        <v>587</v>
      </c>
      <c r="AZ64" s="229">
        <v>0.45679999999999998</v>
      </c>
      <c r="BA64" s="228">
        <v>292</v>
      </c>
      <c r="BB64" s="228">
        <v>307</v>
      </c>
      <c r="BC64" s="228">
        <v>-15</v>
      </c>
      <c r="BD64" s="229">
        <v>-4.8000000000000001E-2</v>
      </c>
      <c r="BE64" s="228">
        <v>24</v>
      </c>
      <c r="BF64" s="228">
        <v>22</v>
      </c>
      <c r="BG64" s="228">
        <v>2</v>
      </c>
      <c r="BH64" s="229">
        <v>6.7400000000000002E-2</v>
      </c>
      <c r="BI64" s="230">
        <v>8902</v>
      </c>
      <c r="BJ64" s="230">
        <v>4819</v>
      </c>
      <c r="BK64" s="230">
        <v>4083</v>
      </c>
      <c r="BL64" s="229">
        <v>0.84719999999999995</v>
      </c>
      <c r="BM64" s="230">
        <v>4138</v>
      </c>
      <c r="BN64" s="230">
        <v>2643</v>
      </c>
      <c r="BO64" s="230">
        <v>1495</v>
      </c>
      <c r="BP64" s="229">
        <v>0.5655</v>
      </c>
      <c r="BQ64" s="230">
        <v>15229</v>
      </c>
      <c r="BR64" s="230">
        <v>9077</v>
      </c>
      <c r="BS64" s="230">
        <v>6152</v>
      </c>
      <c r="BT64" s="229">
        <v>0.67769999999999997</v>
      </c>
      <c r="BU64" s="230">
        <v>58189898</v>
      </c>
      <c r="BV64" s="230">
        <v>37527865</v>
      </c>
      <c r="BW64" s="230">
        <v>20662033</v>
      </c>
      <c r="BX64" s="229">
        <v>0.55059999999999998</v>
      </c>
      <c r="BY64" s="230">
        <v>7643</v>
      </c>
      <c r="BZ64" s="230">
        <v>7819</v>
      </c>
      <c r="CA64" s="228">
        <v>-176</v>
      </c>
      <c r="CB64" s="229">
        <v>-2.2499999999999999E-2</v>
      </c>
      <c r="CC64" s="230">
        <v>7217</v>
      </c>
      <c r="CD64" s="230">
        <v>7476</v>
      </c>
      <c r="CE64" s="228">
        <v>-258</v>
      </c>
      <c r="CF64" s="229">
        <v>-3.4599999999999999E-2</v>
      </c>
      <c r="CG64" s="228">
        <v>387</v>
      </c>
      <c r="CH64" s="228">
        <v>307</v>
      </c>
      <c r="CI64" s="228">
        <v>80</v>
      </c>
      <c r="CJ64" s="229">
        <v>0.26169999999999999</v>
      </c>
      <c r="CK64" s="228">
        <v>39</v>
      </c>
      <c r="CL64" s="228">
        <v>37</v>
      </c>
      <c r="CM64" s="228">
        <v>2</v>
      </c>
      <c r="CN64" s="229">
        <v>6.2399999999999997E-2</v>
      </c>
      <c r="CO64" s="230">
        <v>2369</v>
      </c>
      <c r="CP64" s="230">
        <v>2030</v>
      </c>
      <c r="CQ64" s="228">
        <v>339</v>
      </c>
      <c r="CR64" s="229">
        <v>0.16700000000000001</v>
      </c>
      <c r="CS64" s="230">
        <v>1918</v>
      </c>
      <c r="CT64" s="230">
        <v>1764</v>
      </c>
      <c r="CU64" s="228">
        <v>153</v>
      </c>
      <c r="CV64" s="229">
        <v>8.6800000000000002E-2</v>
      </c>
      <c r="CW64" s="230">
        <v>11930</v>
      </c>
      <c r="CX64" s="230">
        <v>11614</v>
      </c>
      <c r="CY64" s="228">
        <v>316</v>
      </c>
      <c r="CZ64" s="229">
        <v>2.7199999999999998E-2</v>
      </c>
      <c r="DA64" s="228">
        <v>34.35</v>
      </c>
      <c r="DB64" s="228">
        <v>32.21</v>
      </c>
      <c r="DC64" s="228">
        <v>2.14</v>
      </c>
      <c r="DD64" s="228">
        <v>2.14</v>
      </c>
      <c r="DE64" s="228">
        <v>49.1</v>
      </c>
      <c r="DF64" s="228">
        <v>49.17</v>
      </c>
      <c r="DG64" s="228">
        <v>-14.75</v>
      </c>
      <c r="DH64" s="228">
        <v>-7.0000000000000007E-2</v>
      </c>
      <c r="DI64" s="228">
        <v>33.659999999999997</v>
      </c>
      <c r="DJ64" s="228">
        <v>30.63</v>
      </c>
      <c r="DK64" s="228">
        <v>3.03</v>
      </c>
      <c r="DL64" s="228">
        <v>3.03</v>
      </c>
      <c r="DM64" s="228">
        <v>35.83</v>
      </c>
      <c r="DN64" s="228">
        <v>35.07</v>
      </c>
      <c r="DO64" s="228">
        <v>0.76</v>
      </c>
      <c r="DP64" s="228">
        <v>0.76</v>
      </c>
      <c r="DQ64" s="228">
        <v>0.81</v>
      </c>
      <c r="DR64" s="228">
        <v>0.87</v>
      </c>
      <c r="DS64" s="228">
        <v>-0.06</v>
      </c>
      <c r="DT64" s="229">
        <v>-6.9000000000000006E-2</v>
      </c>
      <c r="DU64" s="228">
        <v>320</v>
      </c>
      <c r="DV64" s="228">
        <v>300</v>
      </c>
      <c r="DW64" s="228">
        <v>0.46</v>
      </c>
      <c r="DX64" s="228">
        <v>0.55000000000000004</v>
      </c>
      <c r="DY64" s="228">
        <v>-0.09</v>
      </c>
      <c r="DZ64" s="229">
        <v>-0.1636</v>
      </c>
      <c r="EA64" s="229">
        <v>5.5800000000000002E-2</v>
      </c>
      <c r="EB64" s="230">
        <v>10531775</v>
      </c>
      <c r="EC64" s="229">
        <v>5.4999999999999997E-3</v>
      </c>
      <c r="ED64" s="229">
        <v>5.5800000000000002E-2</v>
      </c>
      <c r="EE64" s="228">
        <v>2.09</v>
      </c>
      <c r="EF64" s="229">
        <v>6.4000000000000003E-3</v>
      </c>
      <c r="EG64" s="230">
        <v>31742582</v>
      </c>
      <c r="EH64" s="230">
        <v>21729789</v>
      </c>
      <c r="EI64" s="229">
        <v>0.46079999999999999</v>
      </c>
      <c r="EJ64" s="229">
        <v>0.54549999999999998</v>
      </c>
      <c r="EK64" s="231">
        <v>9212.59</v>
      </c>
      <c r="EL64" s="231">
        <v>4046.13</v>
      </c>
      <c r="EM64" s="231">
        <v>2195.4299999999998</v>
      </c>
      <c r="EN64" s="228">
        <v>0</v>
      </c>
      <c r="EO64" s="231">
        <v>15454.15</v>
      </c>
      <c r="EP64" s="231">
        <v>8952.18</v>
      </c>
      <c r="EQ64" s="231">
        <v>6501.97</v>
      </c>
      <c r="ER64" s="229">
        <v>0.72629999999999995</v>
      </c>
      <c r="ES64" s="231">
        <v>2337.5</v>
      </c>
      <c r="ET64" s="231">
        <v>1750.06</v>
      </c>
      <c r="EU64" s="231">
        <v>7645.97</v>
      </c>
      <c r="EV64" s="231">
        <v>1815984389</v>
      </c>
      <c r="EW64" s="231">
        <v>11733.53</v>
      </c>
      <c r="EX64" s="231">
        <v>11275.43</v>
      </c>
      <c r="EY64" s="228">
        <v>458.1</v>
      </c>
      <c r="EZ64" s="229">
        <v>4.0599999999999997E-2</v>
      </c>
      <c r="FA64" s="229">
        <v>0.20130000000000001</v>
      </c>
      <c r="FB64" s="227" t="s">
        <v>556</v>
      </c>
      <c r="FC64">
        <f t="shared" si="0"/>
        <v>426</v>
      </c>
    </row>
    <row r="65" spans="1:159" ht="17.25" thickBot="1" x14ac:dyDescent="0.3">
      <c r="A65" s="226">
        <v>45889</v>
      </c>
      <c r="B65" s="227" t="s">
        <v>162</v>
      </c>
      <c r="C65" s="227" t="s">
        <v>211</v>
      </c>
      <c r="D65" s="228">
        <v>1800</v>
      </c>
      <c r="E65" s="228">
        <v>8</v>
      </c>
      <c r="F65" s="228">
        <v>397.3</v>
      </c>
      <c r="G65" s="228">
        <v>394.6</v>
      </c>
      <c r="H65" s="228">
        <v>2.7</v>
      </c>
      <c r="I65" s="229">
        <v>6.7999999999999996E-3</v>
      </c>
      <c r="J65" s="228">
        <v>396.3</v>
      </c>
      <c r="K65" s="228">
        <v>392.8</v>
      </c>
      <c r="L65" s="228">
        <v>3.5</v>
      </c>
      <c r="M65" s="229">
        <v>8.8999999999999999E-3</v>
      </c>
      <c r="N65" s="228">
        <v>397.3</v>
      </c>
      <c r="O65" s="228">
        <v>394.6</v>
      </c>
      <c r="P65" s="228">
        <v>2.7</v>
      </c>
      <c r="Q65" s="229">
        <v>6.7999999999999996E-3</v>
      </c>
      <c r="R65" s="228">
        <v>399.15</v>
      </c>
      <c r="S65" s="228">
        <v>396.45</v>
      </c>
      <c r="T65" s="228">
        <v>2.7</v>
      </c>
      <c r="U65" s="229">
        <v>6.7999999999999996E-3</v>
      </c>
      <c r="V65" s="228">
        <v>401.35</v>
      </c>
      <c r="W65" s="228">
        <v>398.3</v>
      </c>
      <c r="X65" s="228">
        <v>3.05</v>
      </c>
      <c r="Y65" s="229">
        <v>7.7000000000000002E-3</v>
      </c>
      <c r="Z65" s="228">
        <v>1</v>
      </c>
      <c r="AA65" s="228">
        <v>1.8</v>
      </c>
      <c r="AB65" s="228">
        <v>-0.8</v>
      </c>
      <c r="AC65" s="229">
        <v>2.5000000000000001E-3</v>
      </c>
      <c r="AD65" s="228">
        <v>1</v>
      </c>
      <c r="AE65" s="228">
        <v>1.8</v>
      </c>
      <c r="AF65" s="228">
        <v>-0.8</v>
      </c>
      <c r="AG65" s="229">
        <v>2.5000000000000001E-3</v>
      </c>
      <c r="AH65" s="228">
        <v>2.85</v>
      </c>
      <c r="AI65" s="228">
        <v>3.65</v>
      </c>
      <c r="AJ65" s="228">
        <v>-0.8</v>
      </c>
      <c r="AK65" s="229">
        <v>7.1999999999999998E-3</v>
      </c>
      <c r="AL65" s="228">
        <v>5.05</v>
      </c>
      <c r="AM65" s="228">
        <v>5.5</v>
      </c>
      <c r="AN65" s="228">
        <v>-0.45</v>
      </c>
      <c r="AO65" s="229">
        <v>1.2699999999999999E-2</v>
      </c>
      <c r="AP65" s="228">
        <v>395.9</v>
      </c>
      <c r="AQ65" s="228">
        <v>397.52</v>
      </c>
      <c r="AR65" s="228">
        <v>0</v>
      </c>
      <c r="AS65" s="228">
        <v>427</v>
      </c>
      <c r="AT65" s="230">
        <v>1232</v>
      </c>
      <c r="AU65" s="228">
        <v>-804</v>
      </c>
      <c r="AV65" s="229">
        <v>-0.65300000000000002</v>
      </c>
      <c r="AW65" s="228">
        <v>338</v>
      </c>
      <c r="AX65" s="230">
        <v>1047</v>
      </c>
      <c r="AY65" s="228">
        <v>-709</v>
      </c>
      <c r="AZ65" s="229">
        <v>-0.67730000000000001</v>
      </c>
      <c r="BA65" s="228">
        <v>83</v>
      </c>
      <c r="BB65" s="228">
        <v>162</v>
      </c>
      <c r="BC65" s="228">
        <v>-79</v>
      </c>
      <c r="BD65" s="229">
        <v>-0.4864</v>
      </c>
      <c r="BE65" s="228">
        <v>6</v>
      </c>
      <c r="BF65" s="228">
        <v>22</v>
      </c>
      <c r="BG65" s="228">
        <v>-16</v>
      </c>
      <c r="BH65" s="229">
        <v>-0.72399999999999998</v>
      </c>
      <c r="BI65" s="230">
        <v>1877</v>
      </c>
      <c r="BJ65" s="230">
        <v>3104</v>
      </c>
      <c r="BK65" s="230">
        <v>-1227</v>
      </c>
      <c r="BL65" s="229">
        <v>-0.39529999999999998</v>
      </c>
      <c r="BM65" s="228">
        <v>473</v>
      </c>
      <c r="BN65" s="230">
        <v>1031</v>
      </c>
      <c r="BO65" s="228">
        <v>-558</v>
      </c>
      <c r="BP65" s="229">
        <v>-0.54090000000000005</v>
      </c>
      <c r="BQ65" s="230">
        <v>2778</v>
      </c>
      <c r="BR65" s="230">
        <v>5367</v>
      </c>
      <c r="BS65" s="230">
        <v>-2589</v>
      </c>
      <c r="BT65" s="229">
        <v>-0.4824</v>
      </c>
      <c r="BU65" s="230">
        <v>4492821</v>
      </c>
      <c r="BV65" s="230">
        <v>24929372</v>
      </c>
      <c r="BW65" s="230">
        <v>-20436551</v>
      </c>
      <c r="BX65" s="229">
        <v>-0.81979999999999997</v>
      </c>
      <c r="BY65" s="230">
        <v>1276</v>
      </c>
      <c r="BZ65" s="230">
        <v>1283</v>
      </c>
      <c r="CA65" s="228">
        <v>-7</v>
      </c>
      <c r="CB65" s="229">
        <v>-5.4999999999999997E-3</v>
      </c>
      <c r="CC65" s="230">
        <v>1125</v>
      </c>
      <c r="CD65" s="230">
        <v>1141</v>
      </c>
      <c r="CE65" s="228">
        <v>-16</v>
      </c>
      <c r="CF65" s="229">
        <v>-1.4E-2</v>
      </c>
      <c r="CG65" s="228">
        <v>138</v>
      </c>
      <c r="CH65" s="228">
        <v>129</v>
      </c>
      <c r="CI65" s="228">
        <v>9</v>
      </c>
      <c r="CJ65" s="229">
        <v>6.9800000000000001E-2</v>
      </c>
      <c r="CK65" s="228">
        <v>12</v>
      </c>
      <c r="CL65" s="228">
        <v>12</v>
      </c>
      <c r="CM65" s="228">
        <v>0</v>
      </c>
      <c r="CN65" s="229">
        <v>-5.7000000000000002E-3</v>
      </c>
      <c r="CO65" s="228">
        <v>747</v>
      </c>
      <c r="CP65" s="228">
        <v>755</v>
      </c>
      <c r="CQ65" s="228">
        <v>-8</v>
      </c>
      <c r="CR65" s="229">
        <v>-1.0500000000000001E-2</v>
      </c>
      <c r="CS65" s="228">
        <v>439</v>
      </c>
      <c r="CT65" s="228">
        <v>424</v>
      </c>
      <c r="CU65" s="228">
        <v>16</v>
      </c>
      <c r="CV65" s="229">
        <v>3.6799999999999999E-2</v>
      </c>
      <c r="CW65" s="230">
        <v>2462</v>
      </c>
      <c r="CX65" s="230">
        <v>2462</v>
      </c>
      <c r="CY65" s="228">
        <v>1</v>
      </c>
      <c r="CZ65" s="229">
        <v>2.9999999999999997E-4</v>
      </c>
      <c r="DA65" s="228">
        <v>29.56</v>
      </c>
      <c r="DB65" s="228">
        <v>31.43</v>
      </c>
      <c r="DC65" s="228">
        <v>-1.87</v>
      </c>
      <c r="DD65" s="228">
        <v>-1.87</v>
      </c>
      <c r="DE65" s="228">
        <v>37.14</v>
      </c>
      <c r="DF65" s="228">
        <v>37.22</v>
      </c>
      <c r="DG65" s="228">
        <v>-7.58</v>
      </c>
      <c r="DH65" s="228">
        <v>-0.08</v>
      </c>
      <c r="DI65" s="228">
        <v>29.48</v>
      </c>
      <c r="DJ65" s="228">
        <v>31.51</v>
      </c>
      <c r="DK65" s="228">
        <v>-2.0299999999999998</v>
      </c>
      <c r="DL65" s="228">
        <v>-2.0299999999999998</v>
      </c>
      <c r="DM65" s="228">
        <v>29.86</v>
      </c>
      <c r="DN65" s="228">
        <v>31.21</v>
      </c>
      <c r="DO65" s="228">
        <v>-1.35</v>
      </c>
      <c r="DP65" s="228">
        <v>-1.35</v>
      </c>
      <c r="DQ65" s="228">
        <v>0.59</v>
      </c>
      <c r="DR65" s="228">
        <v>0.56000000000000005</v>
      </c>
      <c r="DS65" s="228">
        <v>0.03</v>
      </c>
      <c r="DT65" s="229">
        <v>5.3600000000000002E-2</v>
      </c>
      <c r="DU65" s="228">
        <v>400</v>
      </c>
      <c r="DV65" s="228">
        <v>370</v>
      </c>
      <c r="DW65" s="228">
        <v>0.25</v>
      </c>
      <c r="DX65" s="228">
        <v>0.33</v>
      </c>
      <c r="DY65" s="228">
        <v>-0.08</v>
      </c>
      <c r="DZ65" s="229">
        <v>-0.2424</v>
      </c>
      <c r="EA65" s="229">
        <v>0.11799999999999999</v>
      </c>
      <c r="EB65" s="230">
        <v>3564000</v>
      </c>
      <c r="EC65" s="229">
        <v>4.7000000000000002E-3</v>
      </c>
      <c r="ED65" s="229">
        <v>0.11799999999999999</v>
      </c>
      <c r="EE65" s="228">
        <v>1.62</v>
      </c>
      <c r="EF65" s="229">
        <v>4.1000000000000003E-3</v>
      </c>
      <c r="EG65" s="230">
        <v>1486162</v>
      </c>
      <c r="EH65" s="230">
        <v>18581157</v>
      </c>
      <c r="EI65" s="229">
        <v>-0.92</v>
      </c>
      <c r="EJ65" s="229">
        <v>0.33079999999999998</v>
      </c>
      <c r="EK65" s="231">
        <v>1937.45</v>
      </c>
      <c r="EL65" s="228">
        <v>467.92</v>
      </c>
      <c r="EM65" s="228">
        <v>426.34</v>
      </c>
      <c r="EN65" s="228">
        <v>0</v>
      </c>
      <c r="EO65" s="231">
        <v>2831.71</v>
      </c>
      <c r="EP65" s="231">
        <v>5341.29</v>
      </c>
      <c r="EQ65" s="231">
        <v>-2509.58</v>
      </c>
      <c r="ER65" s="229">
        <v>-0.4698</v>
      </c>
      <c r="ES65" s="228">
        <v>765.23</v>
      </c>
      <c r="ET65" s="228">
        <v>419.53</v>
      </c>
      <c r="EU65" s="231">
        <v>1276.58</v>
      </c>
      <c r="EV65" s="231">
        <v>91809066</v>
      </c>
      <c r="EW65" s="231">
        <v>2461.33</v>
      </c>
      <c r="EX65" s="231">
        <v>2451.48</v>
      </c>
      <c r="EY65" s="228">
        <v>9.85</v>
      </c>
      <c r="EZ65" s="229">
        <v>4.0000000000000001E-3</v>
      </c>
      <c r="FA65" s="229">
        <v>0.67500000000000004</v>
      </c>
      <c r="FB65" s="227" t="s">
        <v>556</v>
      </c>
      <c r="FC65">
        <f t="shared" si="0"/>
        <v>151</v>
      </c>
    </row>
    <row r="66" spans="1:159" ht="17.25" thickBot="1" x14ac:dyDescent="0.3">
      <c r="A66" s="226">
        <v>45889</v>
      </c>
      <c r="B66" s="227" t="s">
        <v>172</v>
      </c>
      <c r="C66" s="227" t="s">
        <v>212</v>
      </c>
      <c r="D66" s="228">
        <v>5000</v>
      </c>
      <c r="E66" s="228">
        <v>8</v>
      </c>
      <c r="F66" s="228">
        <v>199.1</v>
      </c>
      <c r="G66" s="228">
        <v>199.25</v>
      </c>
      <c r="H66" s="228">
        <v>-0.15</v>
      </c>
      <c r="I66" s="229">
        <v>-8.0000000000000004E-4</v>
      </c>
      <c r="J66" s="228">
        <v>199.71</v>
      </c>
      <c r="K66" s="228">
        <v>200.05</v>
      </c>
      <c r="L66" s="228">
        <v>-0.34</v>
      </c>
      <c r="M66" s="229">
        <v>-1.6999999999999999E-3</v>
      </c>
      <c r="N66" s="228">
        <v>199.1</v>
      </c>
      <c r="O66" s="228">
        <v>199.25</v>
      </c>
      <c r="P66" s="228">
        <v>-0.15</v>
      </c>
      <c r="Q66" s="229">
        <v>-8.0000000000000004E-4</v>
      </c>
      <c r="R66" s="228">
        <v>200.06</v>
      </c>
      <c r="S66" s="228">
        <v>200.25</v>
      </c>
      <c r="T66" s="228">
        <v>-0.19</v>
      </c>
      <c r="U66" s="229">
        <v>-8.9999999999999998E-4</v>
      </c>
      <c r="V66" s="228">
        <v>200.63</v>
      </c>
      <c r="W66" s="228">
        <v>201.02</v>
      </c>
      <c r="X66" s="228">
        <v>-0.39</v>
      </c>
      <c r="Y66" s="229">
        <v>-1.9E-3</v>
      </c>
      <c r="Z66" s="228">
        <v>-0.61</v>
      </c>
      <c r="AA66" s="228">
        <v>-0.8</v>
      </c>
      <c r="AB66" s="228">
        <v>0.19</v>
      </c>
      <c r="AC66" s="229">
        <v>-3.0999999999999999E-3</v>
      </c>
      <c r="AD66" s="228">
        <v>-0.61</v>
      </c>
      <c r="AE66" s="228">
        <v>-0.8</v>
      </c>
      <c r="AF66" s="228">
        <v>0.19</v>
      </c>
      <c r="AG66" s="229">
        <v>-3.0999999999999999E-3</v>
      </c>
      <c r="AH66" s="228">
        <v>0.35</v>
      </c>
      <c r="AI66" s="228">
        <v>0.2</v>
      </c>
      <c r="AJ66" s="228">
        <v>0.15</v>
      </c>
      <c r="AK66" s="229">
        <v>1.8E-3</v>
      </c>
      <c r="AL66" s="228">
        <v>0.92</v>
      </c>
      <c r="AM66" s="228">
        <v>0.97</v>
      </c>
      <c r="AN66" s="228">
        <v>-0.05</v>
      </c>
      <c r="AO66" s="229">
        <v>4.5999999999999999E-3</v>
      </c>
      <c r="AP66" s="228">
        <v>199.58</v>
      </c>
      <c r="AQ66" s="228">
        <v>200.52</v>
      </c>
      <c r="AR66" s="228">
        <v>0</v>
      </c>
      <c r="AS66" s="228">
        <v>253</v>
      </c>
      <c r="AT66" s="228">
        <v>415</v>
      </c>
      <c r="AU66" s="228">
        <v>-163</v>
      </c>
      <c r="AV66" s="229">
        <v>-0.39150000000000001</v>
      </c>
      <c r="AW66" s="228">
        <v>204</v>
      </c>
      <c r="AX66" s="228">
        <v>371</v>
      </c>
      <c r="AY66" s="228">
        <v>-168</v>
      </c>
      <c r="AZ66" s="229">
        <v>-0.45190000000000002</v>
      </c>
      <c r="BA66" s="228">
        <v>46</v>
      </c>
      <c r="BB66" s="228">
        <v>39</v>
      </c>
      <c r="BC66" s="228">
        <v>7</v>
      </c>
      <c r="BD66" s="229">
        <v>0.17219999999999999</v>
      </c>
      <c r="BE66" s="228">
        <v>3</v>
      </c>
      <c r="BF66" s="228">
        <v>4</v>
      </c>
      <c r="BG66" s="228">
        <v>-1</v>
      </c>
      <c r="BH66" s="229">
        <v>-0.33329999999999999</v>
      </c>
      <c r="BI66" s="228">
        <v>934</v>
      </c>
      <c r="BJ66" s="230">
        <v>1050</v>
      </c>
      <c r="BK66" s="228">
        <v>-116</v>
      </c>
      <c r="BL66" s="229">
        <v>-0.1106</v>
      </c>
      <c r="BM66" s="228">
        <v>533</v>
      </c>
      <c r="BN66" s="228">
        <v>578</v>
      </c>
      <c r="BO66" s="228">
        <v>-45</v>
      </c>
      <c r="BP66" s="229">
        <v>-7.8E-2</v>
      </c>
      <c r="BQ66" s="230">
        <v>1719</v>
      </c>
      <c r="BR66" s="230">
        <v>2043</v>
      </c>
      <c r="BS66" s="228">
        <v>-324</v>
      </c>
      <c r="BT66" s="229">
        <v>-0.1585</v>
      </c>
      <c r="BU66" s="230">
        <v>5955696</v>
      </c>
      <c r="BV66" s="230">
        <v>5282898</v>
      </c>
      <c r="BW66" s="230">
        <v>672798</v>
      </c>
      <c r="BX66" s="229">
        <v>0.12740000000000001</v>
      </c>
      <c r="BY66" s="230">
        <v>1993</v>
      </c>
      <c r="BZ66" s="230">
        <v>1948</v>
      </c>
      <c r="CA66" s="228">
        <v>45</v>
      </c>
      <c r="CB66" s="229">
        <v>2.3400000000000001E-2</v>
      </c>
      <c r="CC66" s="230">
        <v>1879</v>
      </c>
      <c r="CD66" s="230">
        <v>1852</v>
      </c>
      <c r="CE66" s="228">
        <v>26</v>
      </c>
      <c r="CF66" s="229">
        <v>1.4200000000000001E-2</v>
      </c>
      <c r="CG66" s="228">
        <v>108</v>
      </c>
      <c r="CH66" s="228">
        <v>89</v>
      </c>
      <c r="CI66" s="228">
        <v>19</v>
      </c>
      <c r="CJ66" s="229">
        <v>0.217</v>
      </c>
      <c r="CK66" s="228">
        <v>6</v>
      </c>
      <c r="CL66" s="228">
        <v>6</v>
      </c>
      <c r="CM66" s="228">
        <v>0</v>
      </c>
      <c r="CN66" s="229">
        <v>-1.61E-2</v>
      </c>
      <c r="CO66" s="230">
        <v>1043</v>
      </c>
      <c r="CP66" s="230">
        <v>1064</v>
      </c>
      <c r="CQ66" s="228">
        <v>-21</v>
      </c>
      <c r="CR66" s="229">
        <v>-1.9400000000000001E-2</v>
      </c>
      <c r="CS66" s="228">
        <v>782</v>
      </c>
      <c r="CT66" s="228">
        <v>766</v>
      </c>
      <c r="CU66" s="228">
        <v>16</v>
      </c>
      <c r="CV66" s="229">
        <v>2.0799999999999999E-2</v>
      </c>
      <c r="CW66" s="230">
        <v>3819</v>
      </c>
      <c r="CX66" s="230">
        <v>3778</v>
      </c>
      <c r="CY66" s="228">
        <v>41</v>
      </c>
      <c r="CZ66" s="229">
        <v>1.0800000000000001E-2</v>
      </c>
      <c r="DA66" s="228">
        <v>21.16</v>
      </c>
      <c r="DB66" s="228">
        <v>22.27</v>
      </c>
      <c r="DC66" s="228">
        <v>-1.1100000000000001</v>
      </c>
      <c r="DD66" s="228">
        <v>-1.1100000000000001</v>
      </c>
      <c r="DE66" s="228">
        <v>29.96</v>
      </c>
      <c r="DF66" s="228">
        <v>30.04</v>
      </c>
      <c r="DG66" s="228">
        <v>-8.8000000000000007</v>
      </c>
      <c r="DH66" s="228">
        <v>-0.08</v>
      </c>
      <c r="DI66" s="228">
        <v>21.18</v>
      </c>
      <c r="DJ66" s="228">
        <v>21.97</v>
      </c>
      <c r="DK66" s="228">
        <v>-0.79</v>
      </c>
      <c r="DL66" s="228">
        <v>-0.79</v>
      </c>
      <c r="DM66" s="228">
        <v>21.13</v>
      </c>
      <c r="DN66" s="228">
        <v>22.81</v>
      </c>
      <c r="DO66" s="228">
        <v>-1.68</v>
      </c>
      <c r="DP66" s="228">
        <v>-1.68</v>
      </c>
      <c r="DQ66" s="228">
        <v>0.75</v>
      </c>
      <c r="DR66" s="228">
        <v>0.72</v>
      </c>
      <c r="DS66" s="228">
        <v>0.03</v>
      </c>
      <c r="DT66" s="229">
        <v>4.1700000000000001E-2</v>
      </c>
      <c r="DU66" s="228">
        <v>220</v>
      </c>
      <c r="DV66" s="228">
        <v>190</v>
      </c>
      <c r="DW66" s="228">
        <v>0.56999999999999995</v>
      </c>
      <c r="DX66" s="228">
        <v>0.55000000000000004</v>
      </c>
      <c r="DY66" s="228">
        <v>0.02</v>
      </c>
      <c r="DZ66" s="229">
        <v>3.6400000000000002E-2</v>
      </c>
      <c r="EA66" s="229">
        <v>5.74E-2</v>
      </c>
      <c r="EB66" s="230">
        <v>4780000</v>
      </c>
      <c r="EC66" s="229">
        <v>4.7999999999999996E-3</v>
      </c>
      <c r="ED66" s="229">
        <v>5.74E-2</v>
      </c>
      <c r="EE66" s="228">
        <v>0.94</v>
      </c>
      <c r="EF66" s="229">
        <v>4.7000000000000002E-3</v>
      </c>
      <c r="EG66" s="230">
        <v>3695521</v>
      </c>
      <c r="EH66" s="230">
        <v>3205364</v>
      </c>
      <c r="EI66" s="229">
        <v>0.15290000000000001</v>
      </c>
      <c r="EJ66" s="229">
        <v>0.62050000000000005</v>
      </c>
      <c r="EK66" s="228">
        <v>960.15</v>
      </c>
      <c r="EL66" s="228">
        <v>534.94000000000005</v>
      </c>
      <c r="EM66" s="228">
        <v>253.51</v>
      </c>
      <c r="EN66" s="228">
        <v>0</v>
      </c>
      <c r="EO66" s="231">
        <v>1748.6</v>
      </c>
      <c r="EP66" s="231">
        <v>2055.9299999999998</v>
      </c>
      <c r="EQ66" s="228">
        <v>-307.33</v>
      </c>
      <c r="ER66" s="229">
        <v>-0.14949999999999999</v>
      </c>
      <c r="ES66" s="231">
        <v>1098.33</v>
      </c>
      <c r="ET66" s="228">
        <v>763.92</v>
      </c>
      <c r="EU66" s="231">
        <v>1993.66</v>
      </c>
      <c r="EV66" s="231">
        <v>486567856</v>
      </c>
      <c r="EW66" s="231">
        <v>3855.91</v>
      </c>
      <c r="EX66" s="231">
        <v>3816.12</v>
      </c>
      <c r="EY66" s="228">
        <v>39.79</v>
      </c>
      <c r="EZ66" s="229">
        <v>1.04E-2</v>
      </c>
      <c r="FA66" s="229">
        <v>0.39419999999999999</v>
      </c>
      <c r="FB66" s="227" t="s">
        <v>567</v>
      </c>
      <c r="FC66">
        <f t="shared" si="0"/>
        <v>114</v>
      </c>
    </row>
    <row r="67" spans="1:159" ht="17.25" thickBot="1" x14ac:dyDescent="0.3">
      <c r="A67" s="226">
        <v>45889</v>
      </c>
      <c r="B67" s="227" t="s">
        <v>181</v>
      </c>
      <c r="C67" s="227" t="s">
        <v>480</v>
      </c>
      <c r="D67" s="228">
        <v>65</v>
      </c>
      <c r="E67" s="228">
        <v>8</v>
      </c>
      <c r="F67" s="231">
        <v>26549.5</v>
      </c>
      <c r="G67" s="231">
        <v>26658.400000000001</v>
      </c>
      <c r="H67" s="228">
        <v>-108.9</v>
      </c>
      <c r="I67" s="229">
        <v>-4.1000000000000003E-3</v>
      </c>
      <c r="J67" s="231">
        <v>26487.8</v>
      </c>
      <c r="K67" s="231">
        <v>26592.3</v>
      </c>
      <c r="L67" s="228">
        <v>-104.5</v>
      </c>
      <c r="M67" s="229">
        <v>-3.8999999999999998E-3</v>
      </c>
      <c r="N67" s="231">
        <v>26549.5</v>
      </c>
      <c r="O67" s="231">
        <v>26658.400000000001</v>
      </c>
      <c r="P67" s="228">
        <v>-108.9</v>
      </c>
      <c r="Q67" s="229">
        <v>-4.1000000000000003E-3</v>
      </c>
      <c r="R67" s="231">
        <v>26657.599999999999</v>
      </c>
      <c r="S67" s="231">
        <v>26752.5</v>
      </c>
      <c r="T67" s="228">
        <v>-94.9</v>
      </c>
      <c r="U67" s="229">
        <v>-3.5000000000000001E-3</v>
      </c>
      <c r="V67" s="228">
        <v>0</v>
      </c>
      <c r="W67" s="228">
        <v>0</v>
      </c>
      <c r="X67" s="228">
        <v>0</v>
      </c>
      <c r="Y67" s="229">
        <v>0</v>
      </c>
      <c r="Z67" s="228">
        <v>61.7</v>
      </c>
      <c r="AA67" s="228">
        <v>66.099999999999994</v>
      </c>
      <c r="AB67" s="228">
        <v>-4.4000000000000004</v>
      </c>
      <c r="AC67" s="229">
        <v>2.3E-3</v>
      </c>
      <c r="AD67" s="228">
        <v>61.7</v>
      </c>
      <c r="AE67" s="228">
        <v>66.099999999999994</v>
      </c>
      <c r="AF67" s="228">
        <v>-4.4000000000000004</v>
      </c>
      <c r="AG67" s="229">
        <v>2.3E-3</v>
      </c>
      <c r="AH67" s="228">
        <v>169.8</v>
      </c>
      <c r="AI67" s="228">
        <v>160.19999999999999</v>
      </c>
      <c r="AJ67" s="228">
        <v>9.6</v>
      </c>
      <c r="AK67" s="229">
        <v>6.4000000000000003E-3</v>
      </c>
      <c r="AL67" s="228">
        <v>0</v>
      </c>
      <c r="AM67" s="228">
        <v>0</v>
      </c>
      <c r="AN67" s="228">
        <v>0</v>
      </c>
      <c r="AO67" s="229">
        <v>0</v>
      </c>
      <c r="AP67" s="231">
        <v>26535.19</v>
      </c>
      <c r="AQ67" s="231">
        <v>26643.360000000001</v>
      </c>
      <c r="AR67" s="228">
        <v>0</v>
      </c>
      <c r="AS67" s="228">
        <v>59</v>
      </c>
      <c r="AT67" s="228">
        <v>43</v>
      </c>
      <c r="AU67" s="228">
        <v>16</v>
      </c>
      <c r="AV67" s="229">
        <v>0.3765</v>
      </c>
      <c r="AW67" s="228">
        <v>51</v>
      </c>
      <c r="AX67" s="228">
        <v>38</v>
      </c>
      <c r="AY67" s="228">
        <v>13</v>
      </c>
      <c r="AZ67" s="229">
        <v>0.33939999999999998</v>
      </c>
      <c r="BA67" s="228">
        <v>8</v>
      </c>
      <c r="BB67" s="228">
        <v>4</v>
      </c>
      <c r="BC67" s="228">
        <v>3</v>
      </c>
      <c r="BD67" s="229">
        <v>0.69230000000000003</v>
      </c>
      <c r="BE67" s="228">
        <v>0</v>
      </c>
      <c r="BF67" s="228">
        <v>0</v>
      </c>
      <c r="BG67" s="228">
        <v>0</v>
      </c>
      <c r="BH67" s="229">
        <v>0</v>
      </c>
      <c r="BI67" s="230">
        <v>12252</v>
      </c>
      <c r="BJ67" s="230">
        <v>10792</v>
      </c>
      <c r="BK67" s="230">
        <v>1460</v>
      </c>
      <c r="BL67" s="229">
        <v>0.13519999999999999</v>
      </c>
      <c r="BM67" s="230">
        <v>10265</v>
      </c>
      <c r="BN67" s="230">
        <v>9757</v>
      </c>
      <c r="BO67" s="228">
        <v>507</v>
      </c>
      <c r="BP67" s="229">
        <v>5.1999999999999998E-2</v>
      </c>
      <c r="BQ67" s="230">
        <v>22575</v>
      </c>
      <c r="BR67" s="230">
        <v>20592</v>
      </c>
      <c r="BS67" s="230">
        <v>1983</v>
      </c>
      <c r="BT67" s="229">
        <v>9.6299999999999997E-2</v>
      </c>
      <c r="BU67" s="228">
        <v>0</v>
      </c>
      <c r="BV67" s="228">
        <v>0</v>
      </c>
      <c r="BW67" s="228">
        <v>0</v>
      </c>
      <c r="BX67" s="229">
        <v>0</v>
      </c>
      <c r="BY67" s="228">
        <v>237</v>
      </c>
      <c r="BZ67" s="228">
        <v>230</v>
      </c>
      <c r="CA67" s="228">
        <v>8</v>
      </c>
      <c r="CB67" s="229">
        <v>3.3099999999999997E-2</v>
      </c>
      <c r="CC67" s="228">
        <v>227</v>
      </c>
      <c r="CD67" s="228">
        <v>222</v>
      </c>
      <c r="CE67" s="228">
        <v>5</v>
      </c>
      <c r="CF67" s="229">
        <v>2.2499999999999999E-2</v>
      </c>
      <c r="CG67" s="228">
        <v>10</v>
      </c>
      <c r="CH67" s="228">
        <v>7</v>
      </c>
      <c r="CI67" s="228">
        <v>3</v>
      </c>
      <c r="CJ67" s="229">
        <v>0.3659</v>
      </c>
      <c r="CK67" s="228">
        <v>0</v>
      </c>
      <c r="CL67" s="228">
        <v>0</v>
      </c>
      <c r="CM67" s="228">
        <v>0</v>
      </c>
      <c r="CN67" s="229">
        <v>0</v>
      </c>
      <c r="CO67" s="230">
        <v>3745</v>
      </c>
      <c r="CP67" s="230">
        <v>3303</v>
      </c>
      <c r="CQ67" s="228">
        <v>442</v>
      </c>
      <c r="CR67" s="229">
        <v>0.1338</v>
      </c>
      <c r="CS67" s="230">
        <v>2854</v>
      </c>
      <c r="CT67" s="230">
        <v>2780</v>
      </c>
      <c r="CU67" s="228">
        <v>74</v>
      </c>
      <c r="CV67" s="229">
        <v>2.6599999999999999E-2</v>
      </c>
      <c r="CW67" s="230">
        <v>6836</v>
      </c>
      <c r="CX67" s="230">
        <v>6313</v>
      </c>
      <c r="CY67" s="228">
        <v>523</v>
      </c>
      <c r="CZ67" s="229">
        <v>8.2900000000000001E-2</v>
      </c>
      <c r="DA67" s="228">
        <v>11.66</v>
      </c>
      <c r="DB67" s="228">
        <v>11.42</v>
      </c>
      <c r="DC67" s="228">
        <v>0.24</v>
      </c>
      <c r="DD67" s="228">
        <v>0.24</v>
      </c>
      <c r="DE67" s="228">
        <v>18.71</v>
      </c>
      <c r="DF67" s="228">
        <v>18.75</v>
      </c>
      <c r="DG67" s="228">
        <v>-7.05</v>
      </c>
      <c r="DH67" s="228">
        <v>-0.04</v>
      </c>
      <c r="DI67" s="228">
        <v>11.27</v>
      </c>
      <c r="DJ67" s="228">
        <v>10.86</v>
      </c>
      <c r="DK67" s="228">
        <v>0.41</v>
      </c>
      <c r="DL67" s="228">
        <v>0.41</v>
      </c>
      <c r="DM67" s="228">
        <v>12.12</v>
      </c>
      <c r="DN67" s="228">
        <v>12.04</v>
      </c>
      <c r="DO67" s="228">
        <v>0.08</v>
      </c>
      <c r="DP67" s="228">
        <v>0.08</v>
      </c>
      <c r="DQ67" s="228">
        <v>0.76</v>
      </c>
      <c r="DR67" s="228">
        <v>0.84</v>
      </c>
      <c r="DS67" s="228">
        <v>-0.08</v>
      </c>
      <c r="DT67" s="229">
        <v>-9.5200000000000007E-2</v>
      </c>
      <c r="DU67" s="231">
        <v>27000</v>
      </c>
      <c r="DV67" s="231">
        <v>26500</v>
      </c>
      <c r="DW67" s="228">
        <v>0.84</v>
      </c>
      <c r="DX67" s="228">
        <v>0.9</v>
      </c>
      <c r="DY67" s="228">
        <v>-0.06</v>
      </c>
      <c r="DZ67" s="229">
        <v>-6.6699999999999995E-2</v>
      </c>
      <c r="EA67" s="229">
        <v>4.0800000000000003E-2</v>
      </c>
      <c r="EB67" s="230">
        <v>2665</v>
      </c>
      <c r="EC67" s="229">
        <v>4.1000000000000003E-3</v>
      </c>
      <c r="ED67" s="229">
        <v>4.0800000000000003E-2</v>
      </c>
      <c r="EE67" s="228">
        <v>108.17</v>
      </c>
      <c r="EF67" s="229">
        <v>4.1000000000000003E-3</v>
      </c>
      <c r="EG67" s="228">
        <v>0</v>
      </c>
      <c r="EH67" s="228">
        <v>0</v>
      </c>
      <c r="EI67" s="229">
        <v>0</v>
      </c>
      <c r="EJ67" s="229">
        <v>0</v>
      </c>
      <c r="EK67" s="231">
        <v>12439.85</v>
      </c>
      <c r="EL67" s="231">
        <v>10150.469999999999</v>
      </c>
      <c r="EM67" s="228">
        <v>58.67</v>
      </c>
      <c r="EN67" s="228">
        <v>0</v>
      </c>
      <c r="EO67" s="231">
        <v>22648.99</v>
      </c>
      <c r="EP67" s="231">
        <v>20731.23</v>
      </c>
      <c r="EQ67" s="231">
        <v>1917.76</v>
      </c>
      <c r="ER67" s="229">
        <v>9.2499999999999999E-2</v>
      </c>
      <c r="ES67" s="231">
        <v>3832.76</v>
      </c>
      <c r="ET67" s="231">
        <v>2773.26</v>
      </c>
      <c r="EU67" s="228">
        <v>237.15</v>
      </c>
      <c r="EV67" s="228">
        <v>0</v>
      </c>
      <c r="EW67" s="231">
        <v>6843.18</v>
      </c>
      <c r="EX67" s="231">
        <v>6307.34</v>
      </c>
      <c r="EY67" s="228">
        <v>535.84</v>
      </c>
      <c r="EZ67" s="229">
        <v>8.5000000000000006E-2</v>
      </c>
      <c r="FA67" s="229">
        <v>0</v>
      </c>
      <c r="FB67" s="227" t="s">
        <v>567</v>
      </c>
      <c r="FC67">
        <f t="shared" ref="FC67:FC130" si="1">BY67-CC67</f>
        <v>10</v>
      </c>
    </row>
    <row r="68" spans="1:159" ht="17.25" thickBot="1" x14ac:dyDescent="0.3">
      <c r="A68" s="226">
        <v>45889</v>
      </c>
      <c r="B68" s="227" t="s">
        <v>170</v>
      </c>
      <c r="C68" s="227" t="s">
        <v>679</v>
      </c>
      <c r="D68" s="228">
        <v>775</v>
      </c>
      <c r="E68" s="228">
        <v>8</v>
      </c>
      <c r="F68" s="228">
        <v>964.7</v>
      </c>
      <c r="G68" s="228">
        <v>949.7</v>
      </c>
      <c r="H68" s="228">
        <v>15</v>
      </c>
      <c r="I68" s="229">
        <v>1.5800000000000002E-2</v>
      </c>
      <c r="J68" s="228">
        <v>963.95</v>
      </c>
      <c r="K68" s="228">
        <v>948.9</v>
      </c>
      <c r="L68" s="228">
        <v>15.05</v>
      </c>
      <c r="M68" s="229">
        <v>1.5900000000000001E-2</v>
      </c>
      <c r="N68" s="228">
        <v>964.7</v>
      </c>
      <c r="O68" s="228">
        <v>949.7</v>
      </c>
      <c r="P68" s="228">
        <v>15</v>
      </c>
      <c r="Q68" s="229">
        <v>1.5800000000000002E-2</v>
      </c>
      <c r="R68" s="228">
        <v>966.85</v>
      </c>
      <c r="S68" s="228">
        <v>953.25</v>
      </c>
      <c r="T68" s="228">
        <v>13.6</v>
      </c>
      <c r="U68" s="229">
        <v>1.43E-2</v>
      </c>
      <c r="V68" s="228">
        <v>964.05</v>
      </c>
      <c r="W68" s="228">
        <v>946.6</v>
      </c>
      <c r="X68" s="228">
        <v>17.45</v>
      </c>
      <c r="Y68" s="229">
        <v>1.84E-2</v>
      </c>
      <c r="Z68" s="228">
        <v>0.75</v>
      </c>
      <c r="AA68" s="228">
        <v>0.8</v>
      </c>
      <c r="AB68" s="228">
        <v>-0.05</v>
      </c>
      <c r="AC68" s="229">
        <v>8.0000000000000004E-4</v>
      </c>
      <c r="AD68" s="228">
        <v>0.75</v>
      </c>
      <c r="AE68" s="228">
        <v>0.8</v>
      </c>
      <c r="AF68" s="228">
        <v>-0.05</v>
      </c>
      <c r="AG68" s="229">
        <v>8.0000000000000004E-4</v>
      </c>
      <c r="AH68" s="228">
        <v>2.9</v>
      </c>
      <c r="AI68" s="228">
        <v>4.3499999999999996</v>
      </c>
      <c r="AJ68" s="228">
        <v>-1.45</v>
      </c>
      <c r="AK68" s="229">
        <v>3.0000000000000001E-3</v>
      </c>
      <c r="AL68" s="228">
        <v>0.1</v>
      </c>
      <c r="AM68" s="228">
        <v>-2.2999999999999998</v>
      </c>
      <c r="AN68" s="228">
        <v>2.4</v>
      </c>
      <c r="AO68" s="229">
        <v>1E-4</v>
      </c>
      <c r="AP68" s="228">
        <v>959.82</v>
      </c>
      <c r="AQ68" s="228">
        <v>963.63</v>
      </c>
      <c r="AR68" s="228">
        <v>0</v>
      </c>
      <c r="AS68" s="228">
        <v>236</v>
      </c>
      <c r="AT68" s="228">
        <v>132</v>
      </c>
      <c r="AU68" s="228">
        <v>105</v>
      </c>
      <c r="AV68" s="229">
        <v>0.79649999999999999</v>
      </c>
      <c r="AW68" s="228">
        <v>196</v>
      </c>
      <c r="AX68" s="228">
        <v>111</v>
      </c>
      <c r="AY68" s="228">
        <v>85</v>
      </c>
      <c r="AZ68" s="229">
        <v>0.77010000000000001</v>
      </c>
      <c r="BA68" s="228">
        <v>39</v>
      </c>
      <c r="BB68" s="228">
        <v>21</v>
      </c>
      <c r="BC68" s="228">
        <v>19</v>
      </c>
      <c r="BD68" s="229">
        <v>0.90249999999999997</v>
      </c>
      <c r="BE68" s="228">
        <v>1</v>
      </c>
      <c r="BF68" s="228">
        <v>0</v>
      </c>
      <c r="BG68" s="228">
        <v>1</v>
      </c>
      <c r="BH68" s="229">
        <v>4</v>
      </c>
      <c r="BI68" s="228">
        <v>904</v>
      </c>
      <c r="BJ68" s="228">
        <v>391</v>
      </c>
      <c r="BK68" s="228">
        <v>513</v>
      </c>
      <c r="BL68" s="229">
        <v>1.3110999999999999</v>
      </c>
      <c r="BM68" s="228">
        <v>354</v>
      </c>
      <c r="BN68" s="228">
        <v>257</v>
      </c>
      <c r="BO68" s="228">
        <v>98</v>
      </c>
      <c r="BP68" s="229">
        <v>0.38040000000000002</v>
      </c>
      <c r="BQ68" s="230">
        <v>1494</v>
      </c>
      <c r="BR68" s="228">
        <v>779</v>
      </c>
      <c r="BS68" s="228">
        <v>715</v>
      </c>
      <c r="BT68" s="229">
        <v>0.91779999999999995</v>
      </c>
      <c r="BU68" s="230">
        <v>2128104</v>
      </c>
      <c r="BV68" s="230">
        <v>1497970</v>
      </c>
      <c r="BW68" s="230">
        <v>630134</v>
      </c>
      <c r="BX68" s="229">
        <v>0.42070000000000002</v>
      </c>
      <c r="BY68" s="230">
        <v>1004</v>
      </c>
      <c r="BZ68" s="228">
        <v>977</v>
      </c>
      <c r="CA68" s="228">
        <v>26</v>
      </c>
      <c r="CB68" s="229">
        <v>2.7E-2</v>
      </c>
      <c r="CC68" s="228">
        <v>931</v>
      </c>
      <c r="CD68" s="228">
        <v>915</v>
      </c>
      <c r="CE68" s="228">
        <v>17</v>
      </c>
      <c r="CF68" s="229">
        <v>1.83E-2</v>
      </c>
      <c r="CG68" s="228">
        <v>65</v>
      </c>
      <c r="CH68" s="228">
        <v>56</v>
      </c>
      <c r="CI68" s="228">
        <v>9</v>
      </c>
      <c r="CJ68" s="229">
        <v>0.15529999999999999</v>
      </c>
      <c r="CK68" s="228">
        <v>8</v>
      </c>
      <c r="CL68" s="228">
        <v>7</v>
      </c>
      <c r="CM68" s="228">
        <v>1</v>
      </c>
      <c r="CN68" s="229">
        <v>0.1444</v>
      </c>
      <c r="CO68" s="228">
        <v>374</v>
      </c>
      <c r="CP68" s="228">
        <v>384</v>
      </c>
      <c r="CQ68" s="228">
        <v>-10</v>
      </c>
      <c r="CR68" s="229">
        <v>-2.5100000000000001E-2</v>
      </c>
      <c r="CS68" s="228">
        <v>340</v>
      </c>
      <c r="CT68" s="228">
        <v>326</v>
      </c>
      <c r="CU68" s="228">
        <v>14</v>
      </c>
      <c r="CV68" s="229">
        <v>4.2200000000000001E-2</v>
      </c>
      <c r="CW68" s="230">
        <v>1718</v>
      </c>
      <c r="CX68" s="230">
        <v>1687</v>
      </c>
      <c r="CY68" s="228">
        <v>31</v>
      </c>
      <c r="CZ68" s="229">
        <v>1.8100000000000002E-2</v>
      </c>
      <c r="DA68" s="228">
        <v>24.65</v>
      </c>
      <c r="DB68" s="228">
        <v>25.13</v>
      </c>
      <c r="DC68" s="228">
        <v>-0.48</v>
      </c>
      <c r="DD68" s="228">
        <v>-0.48</v>
      </c>
      <c r="DE68" s="228">
        <v>37.25</v>
      </c>
      <c r="DF68" s="228">
        <v>37.28</v>
      </c>
      <c r="DG68" s="228">
        <v>-12.6</v>
      </c>
      <c r="DH68" s="228">
        <v>-0.03</v>
      </c>
      <c r="DI68" s="228">
        <v>23.72</v>
      </c>
      <c r="DJ68" s="228">
        <v>23.63</v>
      </c>
      <c r="DK68" s="228">
        <v>0.09</v>
      </c>
      <c r="DL68" s="228">
        <v>0.09</v>
      </c>
      <c r="DM68" s="228">
        <v>27.04</v>
      </c>
      <c r="DN68" s="228">
        <v>27.41</v>
      </c>
      <c r="DO68" s="228">
        <v>-0.37</v>
      </c>
      <c r="DP68" s="228">
        <v>-0.37</v>
      </c>
      <c r="DQ68" s="228">
        <v>0.91</v>
      </c>
      <c r="DR68" s="228">
        <v>0.85</v>
      </c>
      <c r="DS68" s="228">
        <v>0.06</v>
      </c>
      <c r="DT68" s="229">
        <v>7.0599999999999996E-2</v>
      </c>
      <c r="DU68" s="228">
        <v>980</v>
      </c>
      <c r="DV68" s="228">
        <v>900</v>
      </c>
      <c r="DW68" s="228">
        <v>0.39</v>
      </c>
      <c r="DX68" s="228">
        <v>0.66</v>
      </c>
      <c r="DY68" s="228">
        <v>-0.27</v>
      </c>
      <c r="DZ68" s="229">
        <v>-0.40910000000000002</v>
      </c>
      <c r="EA68" s="229">
        <v>7.1999999999999995E-2</v>
      </c>
      <c r="EB68" s="230">
        <v>648675</v>
      </c>
      <c r="EC68" s="229">
        <v>2.2000000000000001E-3</v>
      </c>
      <c r="ED68" s="229">
        <v>7.1999999999999995E-2</v>
      </c>
      <c r="EE68" s="228">
        <v>3.81</v>
      </c>
      <c r="EF68" s="229">
        <v>4.0000000000000001E-3</v>
      </c>
      <c r="EG68" s="230">
        <v>1016708</v>
      </c>
      <c r="EH68" s="230">
        <v>891446</v>
      </c>
      <c r="EI68" s="229">
        <v>0.14050000000000001</v>
      </c>
      <c r="EJ68" s="229">
        <v>0.4778</v>
      </c>
      <c r="EK68" s="228">
        <v>919.33</v>
      </c>
      <c r="EL68" s="228">
        <v>343.44</v>
      </c>
      <c r="EM68" s="228">
        <v>235.22</v>
      </c>
      <c r="EN68" s="228">
        <v>0</v>
      </c>
      <c r="EO68" s="231">
        <v>1497.99</v>
      </c>
      <c r="EP68" s="228">
        <v>767.79</v>
      </c>
      <c r="EQ68" s="228">
        <v>730.2</v>
      </c>
      <c r="ER68" s="229">
        <v>0.95099999999999996</v>
      </c>
      <c r="ES68" s="228">
        <v>366.89</v>
      </c>
      <c r="ET68" s="228">
        <v>313.54000000000002</v>
      </c>
      <c r="EU68" s="231">
        <v>1003.85</v>
      </c>
      <c r="EV68" s="231">
        <v>103932806</v>
      </c>
      <c r="EW68" s="231">
        <v>1684.28</v>
      </c>
      <c r="EX68" s="231">
        <v>1636.8</v>
      </c>
      <c r="EY68" s="228">
        <v>47.48</v>
      </c>
      <c r="EZ68" s="229">
        <v>2.9000000000000001E-2</v>
      </c>
      <c r="FA68" s="229">
        <v>0.17130000000000001</v>
      </c>
      <c r="FB68" s="227" t="s">
        <v>555</v>
      </c>
      <c r="FC68">
        <f t="shared" si="1"/>
        <v>73</v>
      </c>
    </row>
    <row r="69" spans="1:159" ht="17.25" thickBot="1" x14ac:dyDescent="0.3">
      <c r="A69" s="226">
        <v>45889</v>
      </c>
      <c r="B69" s="227" t="s">
        <v>193</v>
      </c>
      <c r="C69" s="227" t="s">
        <v>213</v>
      </c>
      <c r="D69" s="228">
        <v>3150</v>
      </c>
      <c r="E69" s="228">
        <v>8</v>
      </c>
      <c r="F69" s="228">
        <v>178.17</v>
      </c>
      <c r="G69" s="228">
        <v>175.53</v>
      </c>
      <c r="H69" s="228">
        <v>2.64</v>
      </c>
      <c r="I69" s="229">
        <v>1.4999999999999999E-2</v>
      </c>
      <c r="J69" s="228">
        <v>178.12</v>
      </c>
      <c r="K69" s="228">
        <v>174.89</v>
      </c>
      <c r="L69" s="228">
        <v>3.23</v>
      </c>
      <c r="M69" s="229">
        <v>1.8499999999999999E-2</v>
      </c>
      <c r="N69" s="228">
        <v>178.17</v>
      </c>
      <c r="O69" s="228">
        <v>175.53</v>
      </c>
      <c r="P69" s="228">
        <v>2.64</v>
      </c>
      <c r="Q69" s="229">
        <v>1.4999999999999999E-2</v>
      </c>
      <c r="R69" s="228">
        <v>179.3</v>
      </c>
      <c r="S69" s="228">
        <v>176.45</v>
      </c>
      <c r="T69" s="228">
        <v>2.85</v>
      </c>
      <c r="U69" s="229">
        <v>1.6199999999999999E-2</v>
      </c>
      <c r="V69" s="228">
        <v>180.22</v>
      </c>
      <c r="W69" s="228">
        <v>177.32</v>
      </c>
      <c r="X69" s="228">
        <v>2.9</v>
      </c>
      <c r="Y69" s="229">
        <v>1.6400000000000001E-2</v>
      </c>
      <c r="Z69" s="228">
        <v>0.05</v>
      </c>
      <c r="AA69" s="228">
        <v>0.64</v>
      </c>
      <c r="AB69" s="228">
        <v>-0.59</v>
      </c>
      <c r="AC69" s="229">
        <v>2.9999999999999997E-4</v>
      </c>
      <c r="AD69" s="228">
        <v>0.05</v>
      </c>
      <c r="AE69" s="228">
        <v>0.64</v>
      </c>
      <c r="AF69" s="228">
        <v>-0.59</v>
      </c>
      <c r="AG69" s="229">
        <v>2.9999999999999997E-4</v>
      </c>
      <c r="AH69" s="228">
        <v>1.18</v>
      </c>
      <c r="AI69" s="228">
        <v>1.56</v>
      </c>
      <c r="AJ69" s="228">
        <v>-0.38</v>
      </c>
      <c r="AK69" s="229">
        <v>6.6E-3</v>
      </c>
      <c r="AL69" s="228">
        <v>2.1</v>
      </c>
      <c r="AM69" s="228">
        <v>2.4300000000000002</v>
      </c>
      <c r="AN69" s="228">
        <v>-0.33</v>
      </c>
      <c r="AO69" s="229">
        <v>1.18E-2</v>
      </c>
      <c r="AP69" s="228">
        <v>178.3</v>
      </c>
      <c r="AQ69" s="228">
        <v>179.26</v>
      </c>
      <c r="AR69" s="228">
        <v>0</v>
      </c>
      <c r="AS69" s="228">
        <v>361</v>
      </c>
      <c r="AT69" s="228">
        <v>233</v>
      </c>
      <c r="AU69" s="228">
        <v>129</v>
      </c>
      <c r="AV69" s="229">
        <v>0.55349999999999999</v>
      </c>
      <c r="AW69" s="228">
        <v>274</v>
      </c>
      <c r="AX69" s="228">
        <v>176</v>
      </c>
      <c r="AY69" s="228">
        <v>98</v>
      </c>
      <c r="AZ69" s="229">
        <v>0.55430000000000001</v>
      </c>
      <c r="BA69" s="228">
        <v>80</v>
      </c>
      <c r="BB69" s="228">
        <v>53</v>
      </c>
      <c r="BC69" s="228">
        <v>27</v>
      </c>
      <c r="BD69" s="229">
        <v>0.50839999999999996</v>
      </c>
      <c r="BE69" s="228">
        <v>7</v>
      </c>
      <c r="BF69" s="228">
        <v>3</v>
      </c>
      <c r="BG69" s="228">
        <v>4</v>
      </c>
      <c r="BH69" s="229">
        <v>1.2679</v>
      </c>
      <c r="BI69" s="230">
        <v>1295</v>
      </c>
      <c r="BJ69" s="228">
        <v>699</v>
      </c>
      <c r="BK69" s="228">
        <v>596</v>
      </c>
      <c r="BL69" s="229">
        <v>0.85229999999999995</v>
      </c>
      <c r="BM69" s="228">
        <v>497</v>
      </c>
      <c r="BN69" s="228">
        <v>293</v>
      </c>
      <c r="BO69" s="228">
        <v>204</v>
      </c>
      <c r="BP69" s="229">
        <v>0.69540000000000002</v>
      </c>
      <c r="BQ69" s="230">
        <v>2153</v>
      </c>
      <c r="BR69" s="230">
        <v>1225</v>
      </c>
      <c r="BS69" s="228">
        <v>928</v>
      </c>
      <c r="BT69" s="229">
        <v>0.75800000000000001</v>
      </c>
      <c r="BU69" s="230">
        <v>11603494</v>
      </c>
      <c r="BV69" s="230">
        <v>7021854</v>
      </c>
      <c r="BW69" s="230">
        <v>4581640</v>
      </c>
      <c r="BX69" s="229">
        <v>0.65249999999999997</v>
      </c>
      <c r="BY69" s="230">
        <v>1951</v>
      </c>
      <c r="BZ69" s="230">
        <v>1894</v>
      </c>
      <c r="CA69" s="228">
        <v>57</v>
      </c>
      <c r="CB69" s="229">
        <v>3.0099999999999998E-2</v>
      </c>
      <c r="CC69" s="230">
        <v>1795</v>
      </c>
      <c r="CD69" s="230">
        <v>1774</v>
      </c>
      <c r="CE69" s="228">
        <v>21</v>
      </c>
      <c r="CF69" s="229">
        <v>1.17E-2</v>
      </c>
      <c r="CG69" s="228">
        <v>145</v>
      </c>
      <c r="CH69" s="228">
        <v>112</v>
      </c>
      <c r="CI69" s="228">
        <v>33</v>
      </c>
      <c r="CJ69" s="229">
        <v>0.2969</v>
      </c>
      <c r="CK69" s="228">
        <v>11</v>
      </c>
      <c r="CL69" s="228">
        <v>8</v>
      </c>
      <c r="CM69" s="228">
        <v>3</v>
      </c>
      <c r="CN69" s="229">
        <v>0.40439999999999998</v>
      </c>
      <c r="CO69" s="228">
        <v>686</v>
      </c>
      <c r="CP69" s="228">
        <v>674</v>
      </c>
      <c r="CQ69" s="228">
        <v>12</v>
      </c>
      <c r="CR69" s="229">
        <v>1.7999999999999999E-2</v>
      </c>
      <c r="CS69" s="228">
        <v>514</v>
      </c>
      <c r="CT69" s="228">
        <v>522</v>
      </c>
      <c r="CU69" s="228">
        <v>-7</v>
      </c>
      <c r="CV69" s="229">
        <v>-1.41E-2</v>
      </c>
      <c r="CW69" s="230">
        <v>3151</v>
      </c>
      <c r="CX69" s="230">
        <v>3089</v>
      </c>
      <c r="CY69" s="228">
        <v>62</v>
      </c>
      <c r="CZ69" s="229">
        <v>0.02</v>
      </c>
      <c r="DA69" s="228">
        <v>23.5</v>
      </c>
      <c r="DB69" s="228">
        <v>23.31</v>
      </c>
      <c r="DC69" s="228">
        <v>0.19</v>
      </c>
      <c r="DD69" s="228">
        <v>0.19</v>
      </c>
      <c r="DE69" s="228">
        <v>38.54</v>
      </c>
      <c r="DF69" s="228">
        <v>38.57</v>
      </c>
      <c r="DG69" s="228">
        <v>-15.04</v>
      </c>
      <c r="DH69" s="228">
        <v>-0.03</v>
      </c>
      <c r="DI69" s="228">
        <v>23.49</v>
      </c>
      <c r="DJ69" s="228">
        <v>23.41</v>
      </c>
      <c r="DK69" s="228">
        <v>0.08</v>
      </c>
      <c r="DL69" s="228">
        <v>0.08</v>
      </c>
      <c r="DM69" s="228">
        <v>23.52</v>
      </c>
      <c r="DN69" s="228">
        <v>23.07</v>
      </c>
      <c r="DO69" s="228">
        <v>0.45</v>
      </c>
      <c r="DP69" s="228">
        <v>0.45</v>
      </c>
      <c r="DQ69" s="228">
        <v>0.75</v>
      </c>
      <c r="DR69" s="228">
        <v>0.77</v>
      </c>
      <c r="DS69" s="228">
        <v>-0.02</v>
      </c>
      <c r="DT69" s="229">
        <v>-2.5999999999999999E-2</v>
      </c>
      <c r="DU69" s="228">
        <v>180</v>
      </c>
      <c r="DV69" s="228">
        <v>180</v>
      </c>
      <c r="DW69" s="228">
        <v>0.38</v>
      </c>
      <c r="DX69" s="228">
        <v>0.42</v>
      </c>
      <c r="DY69" s="228">
        <v>-0.04</v>
      </c>
      <c r="DZ69" s="229">
        <v>-9.5200000000000007E-2</v>
      </c>
      <c r="EA69" s="229">
        <v>7.9600000000000004E-2</v>
      </c>
      <c r="EB69" s="230">
        <v>6687450</v>
      </c>
      <c r="EC69" s="229">
        <v>6.3E-3</v>
      </c>
      <c r="ED69" s="229">
        <v>7.9600000000000004E-2</v>
      </c>
      <c r="EE69" s="228">
        <v>0.96</v>
      </c>
      <c r="EF69" s="229">
        <v>5.4000000000000003E-3</v>
      </c>
      <c r="EG69" s="230">
        <v>5271729</v>
      </c>
      <c r="EH69" s="230">
        <v>3810970</v>
      </c>
      <c r="EI69" s="229">
        <v>0.38329999999999997</v>
      </c>
      <c r="EJ69" s="229">
        <v>0.45429999999999998</v>
      </c>
      <c r="EK69" s="231">
        <v>1335.44</v>
      </c>
      <c r="EL69" s="228">
        <v>498.6</v>
      </c>
      <c r="EM69" s="228">
        <v>361.99</v>
      </c>
      <c r="EN69" s="228">
        <v>0</v>
      </c>
      <c r="EO69" s="231">
        <v>2196.02</v>
      </c>
      <c r="EP69" s="231">
        <v>1227.31</v>
      </c>
      <c r="EQ69" s="228">
        <v>968.72</v>
      </c>
      <c r="ER69" s="229">
        <v>0.7893</v>
      </c>
      <c r="ES69" s="228">
        <v>715.53</v>
      </c>
      <c r="ET69" s="228">
        <v>519.04</v>
      </c>
      <c r="EU69" s="231">
        <v>1951.56</v>
      </c>
      <c r="EV69" s="231">
        <v>628470345</v>
      </c>
      <c r="EW69" s="231">
        <v>3186.13</v>
      </c>
      <c r="EX69" s="231">
        <v>3092.28</v>
      </c>
      <c r="EY69" s="228">
        <v>93.85</v>
      </c>
      <c r="EZ69" s="229">
        <v>3.0300000000000001E-2</v>
      </c>
      <c r="FA69" s="229">
        <v>0.28139999999999998</v>
      </c>
      <c r="FB69" s="227" t="s">
        <v>555</v>
      </c>
      <c r="FC69">
        <f t="shared" si="1"/>
        <v>156</v>
      </c>
    </row>
    <row r="70" spans="1:159" ht="17.25" thickBot="1" x14ac:dyDescent="0.3">
      <c r="A70" s="226">
        <v>45889</v>
      </c>
      <c r="B70" s="227" t="s">
        <v>170</v>
      </c>
      <c r="C70" s="227" t="s">
        <v>214</v>
      </c>
      <c r="D70" s="228">
        <v>375</v>
      </c>
      <c r="E70" s="228">
        <v>8</v>
      </c>
      <c r="F70" s="231">
        <v>1929.5</v>
      </c>
      <c r="G70" s="231">
        <v>1949.8</v>
      </c>
      <c r="H70" s="228">
        <v>-20.3</v>
      </c>
      <c r="I70" s="229">
        <v>-1.04E-2</v>
      </c>
      <c r="J70" s="231">
        <v>1924</v>
      </c>
      <c r="K70" s="231">
        <v>1945.8</v>
      </c>
      <c r="L70" s="228">
        <v>-21.8</v>
      </c>
      <c r="M70" s="229">
        <v>-1.12E-2</v>
      </c>
      <c r="N70" s="231">
        <v>1929.5</v>
      </c>
      <c r="O70" s="231">
        <v>1949.8</v>
      </c>
      <c r="P70" s="228">
        <v>-20.3</v>
      </c>
      <c r="Q70" s="229">
        <v>-1.04E-2</v>
      </c>
      <c r="R70" s="231">
        <v>1939</v>
      </c>
      <c r="S70" s="231">
        <v>1959.3</v>
      </c>
      <c r="T70" s="228">
        <v>-20.3</v>
      </c>
      <c r="U70" s="229">
        <v>-1.04E-2</v>
      </c>
      <c r="V70" s="231">
        <v>1948</v>
      </c>
      <c r="W70" s="231">
        <v>1970.4</v>
      </c>
      <c r="X70" s="228">
        <v>-22.4</v>
      </c>
      <c r="Y70" s="229">
        <v>-1.14E-2</v>
      </c>
      <c r="Z70" s="228">
        <v>5.5</v>
      </c>
      <c r="AA70" s="228">
        <v>4</v>
      </c>
      <c r="AB70" s="228">
        <v>1.5</v>
      </c>
      <c r="AC70" s="229">
        <v>2.8999999999999998E-3</v>
      </c>
      <c r="AD70" s="228">
        <v>5.5</v>
      </c>
      <c r="AE70" s="228">
        <v>4</v>
      </c>
      <c r="AF70" s="228">
        <v>1.5</v>
      </c>
      <c r="AG70" s="229">
        <v>2.8999999999999998E-3</v>
      </c>
      <c r="AH70" s="228">
        <v>15</v>
      </c>
      <c r="AI70" s="228">
        <v>13.5</v>
      </c>
      <c r="AJ70" s="228">
        <v>1.5</v>
      </c>
      <c r="AK70" s="229">
        <v>7.7999999999999996E-3</v>
      </c>
      <c r="AL70" s="228">
        <v>24</v>
      </c>
      <c r="AM70" s="228">
        <v>24.6</v>
      </c>
      <c r="AN70" s="228">
        <v>-0.6</v>
      </c>
      <c r="AO70" s="229">
        <v>1.2500000000000001E-2</v>
      </c>
      <c r="AP70" s="231">
        <v>1942.4</v>
      </c>
      <c r="AQ70" s="231">
        <v>1948.6</v>
      </c>
      <c r="AR70" s="228">
        <v>0</v>
      </c>
      <c r="AS70" s="228">
        <v>210</v>
      </c>
      <c r="AT70" s="228">
        <v>472</v>
      </c>
      <c r="AU70" s="228">
        <v>-263</v>
      </c>
      <c r="AV70" s="229">
        <v>-0.55579999999999996</v>
      </c>
      <c r="AW70" s="228">
        <v>155</v>
      </c>
      <c r="AX70" s="228">
        <v>402</v>
      </c>
      <c r="AY70" s="228">
        <v>-247</v>
      </c>
      <c r="AZ70" s="229">
        <v>-0.61370000000000002</v>
      </c>
      <c r="BA70" s="228">
        <v>52</v>
      </c>
      <c r="BB70" s="228">
        <v>68</v>
      </c>
      <c r="BC70" s="228">
        <v>-16</v>
      </c>
      <c r="BD70" s="229">
        <v>-0.2346</v>
      </c>
      <c r="BE70" s="228">
        <v>2</v>
      </c>
      <c r="BF70" s="228">
        <v>2</v>
      </c>
      <c r="BG70" s="228">
        <v>0</v>
      </c>
      <c r="BH70" s="229">
        <v>0.1429</v>
      </c>
      <c r="BI70" s="228">
        <v>739</v>
      </c>
      <c r="BJ70" s="230">
        <v>1485</v>
      </c>
      <c r="BK70" s="228">
        <v>-746</v>
      </c>
      <c r="BL70" s="229">
        <v>-0.50239999999999996</v>
      </c>
      <c r="BM70" s="228">
        <v>380</v>
      </c>
      <c r="BN70" s="230">
        <v>1230</v>
      </c>
      <c r="BO70" s="228">
        <v>-850</v>
      </c>
      <c r="BP70" s="229">
        <v>-0.69120000000000004</v>
      </c>
      <c r="BQ70" s="230">
        <v>1328</v>
      </c>
      <c r="BR70" s="230">
        <v>3187</v>
      </c>
      <c r="BS70" s="230">
        <v>-1858</v>
      </c>
      <c r="BT70" s="229">
        <v>-0.58309999999999995</v>
      </c>
      <c r="BU70" s="230">
        <v>1257067</v>
      </c>
      <c r="BV70" s="230">
        <v>1007645</v>
      </c>
      <c r="BW70" s="230">
        <v>249422</v>
      </c>
      <c r="BX70" s="229">
        <v>0.2475</v>
      </c>
      <c r="BY70" s="230">
        <v>1544</v>
      </c>
      <c r="BZ70" s="230">
        <v>1540</v>
      </c>
      <c r="CA70" s="228">
        <v>4</v>
      </c>
      <c r="CB70" s="229">
        <v>2.8E-3</v>
      </c>
      <c r="CC70" s="230">
        <v>1472</v>
      </c>
      <c r="CD70" s="230">
        <v>1480</v>
      </c>
      <c r="CE70" s="228">
        <v>-8</v>
      </c>
      <c r="CF70" s="229">
        <v>-5.3E-3</v>
      </c>
      <c r="CG70" s="228">
        <v>68</v>
      </c>
      <c r="CH70" s="228">
        <v>57</v>
      </c>
      <c r="CI70" s="228">
        <v>11</v>
      </c>
      <c r="CJ70" s="229">
        <v>0.20050000000000001</v>
      </c>
      <c r="CK70" s="228">
        <v>4</v>
      </c>
      <c r="CL70" s="228">
        <v>3</v>
      </c>
      <c r="CM70" s="228">
        <v>1</v>
      </c>
      <c r="CN70" s="229">
        <v>0.23400000000000001</v>
      </c>
      <c r="CO70" s="228">
        <v>765</v>
      </c>
      <c r="CP70" s="228">
        <v>708</v>
      </c>
      <c r="CQ70" s="228">
        <v>56</v>
      </c>
      <c r="CR70" s="229">
        <v>7.9600000000000004E-2</v>
      </c>
      <c r="CS70" s="228">
        <v>356</v>
      </c>
      <c r="CT70" s="228">
        <v>401</v>
      </c>
      <c r="CU70" s="228">
        <v>-45</v>
      </c>
      <c r="CV70" s="229">
        <v>-0.11310000000000001</v>
      </c>
      <c r="CW70" s="230">
        <v>2665</v>
      </c>
      <c r="CX70" s="230">
        <v>2649</v>
      </c>
      <c r="CY70" s="228">
        <v>15</v>
      </c>
      <c r="CZ70" s="229">
        <v>5.7999999999999996E-3</v>
      </c>
      <c r="DA70" s="228">
        <v>31.56</v>
      </c>
      <c r="DB70" s="228">
        <v>31.5</v>
      </c>
      <c r="DC70" s="228">
        <v>0.06</v>
      </c>
      <c r="DD70" s="228">
        <v>0.06</v>
      </c>
      <c r="DE70" s="228">
        <v>39.96</v>
      </c>
      <c r="DF70" s="228">
        <v>40.03</v>
      </c>
      <c r="DG70" s="228">
        <v>-8.4</v>
      </c>
      <c r="DH70" s="228">
        <v>-7.0000000000000007E-2</v>
      </c>
      <c r="DI70" s="228">
        <v>32.71</v>
      </c>
      <c r="DJ70" s="228">
        <v>31.74</v>
      </c>
      <c r="DK70" s="228">
        <v>0.97</v>
      </c>
      <c r="DL70" s="228">
        <v>0.97</v>
      </c>
      <c r="DM70" s="228">
        <v>29.32</v>
      </c>
      <c r="DN70" s="228">
        <v>31.2</v>
      </c>
      <c r="DO70" s="228">
        <v>-1.88</v>
      </c>
      <c r="DP70" s="228">
        <v>-1.88</v>
      </c>
      <c r="DQ70" s="228">
        <v>0.47</v>
      </c>
      <c r="DR70" s="228">
        <v>0.56999999999999995</v>
      </c>
      <c r="DS70" s="228">
        <v>-0.1</v>
      </c>
      <c r="DT70" s="229">
        <v>-0.1754</v>
      </c>
      <c r="DU70" s="231">
        <v>2040</v>
      </c>
      <c r="DV70" s="231">
        <v>1900</v>
      </c>
      <c r="DW70" s="228">
        <v>0.51</v>
      </c>
      <c r="DX70" s="228">
        <v>0.83</v>
      </c>
      <c r="DY70" s="228">
        <v>-0.32</v>
      </c>
      <c r="DZ70" s="229">
        <v>-0.38550000000000001</v>
      </c>
      <c r="EA70" s="229">
        <v>4.6800000000000001E-2</v>
      </c>
      <c r="EB70" s="230">
        <v>311250</v>
      </c>
      <c r="EC70" s="229">
        <v>4.8999999999999998E-3</v>
      </c>
      <c r="ED70" s="229">
        <v>4.6800000000000001E-2</v>
      </c>
      <c r="EE70" s="228">
        <v>6.2</v>
      </c>
      <c r="EF70" s="229">
        <v>3.2000000000000002E-3</v>
      </c>
      <c r="EG70" s="230">
        <v>951572</v>
      </c>
      <c r="EH70" s="230">
        <v>475662</v>
      </c>
      <c r="EI70" s="229">
        <v>1.0004999999999999</v>
      </c>
      <c r="EJ70" s="229">
        <v>0.75700000000000001</v>
      </c>
      <c r="EK70" s="228">
        <v>784.36</v>
      </c>
      <c r="EL70" s="228">
        <v>384.07</v>
      </c>
      <c r="EM70" s="228">
        <v>211.42</v>
      </c>
      <c r="EN70" s="228">
        <v>0</v>
      </c>
      <c r="EO70" s="231">
        <v>1379.85</v>
      </c>
      <c r="EP70" s="231">
        <v>3310.96</v>
      </c>
      <c r="EQ70" s="231">
        <v>-1931.11</v>
      </c>
      <c r="ER70" s="229">
        <v>-0.58320000000000005</v>
      </c>
      <c r="ES70" s="228">
        <v>825.67</v>
      </c>
      <c r="ET70" s="228">
        <v>357.45</v>
      </c>
      <c r="EU70" s="231">
        <v>1544.75</v>
      </c>
      <c r="EV70" s="231">
        <v>30113574</v>
      </c>
      <c r="EW70" s="231">
        <v>2727.86</v>
      </c>
      <c r="EX70" s="231">
        <v>2729.11</v>
      </c>
      <c r="EY70" s="228">
        <v>-1.25</v>
      </c>
      <c r="EZ70" s="229">
        <v>-5.0000000000000001E-4</v>
      </c>
      <c r="FA70" s="229">
        <v>0.45860000000000001</v>
      </c>
      <c r="FB70" s="227" t="s">
        <v>567</v>
      </c>
      <c r="FC70">
        <f t="shared" si="1"/>
        <v>72</v>
      </c>
    </row>
    <row r="71" spans="1:159" ht="17.25" thickBot="1" x14ac:dyDescent="0.3">
      <c r="A71" s="226">
        <v>45889</v>
      </c>
      <c r="B71" s="227" t="s">
        <v>215</v>
      </c>
      <c r="C71" s="227" t="s">
        <v>632</v>
      </c>
      <c r="D71" s="228">
        <v>6975</v>
      </c>
      <c r="E71" s="228">
        <v>8</v>
      </c>
      <c r="F71" s="228">
        <v>91.28</v>
      </c>
      <c r="G71" s="228">
        <v>90.77</v>
      </c>
      <c r="H71" s="228">
        <v>0.51</v>
      </c>
      <c r="I71" s="229">
        <v>5.5999999999999999E-3</v>
      </c>
      <c r="J71" s="228">
        <v>91.01</v>
      </c>
      <c r="K71" s="228">
        <v>90.44</v>
      </c>
      <c r="L71" s="228">
        <v>0.56999999999999995</v>
      </c>
      <c r="M71" s="229">
        <v>6.3E-3</v>
      </c>
      <c r="N71" s="228">
        <v>91.28</v>
      </c>
      <c r="O71" s="228">
        <v>90.77</v>
      </c>
      <c r="P71" s="228">
        <v>0.51</v>
      </c>
      <c r="Q71" s="229">
        <v>5.5999999999999999E-3</v>
      </c>
      <c r="R71" s="228">
        <v>91.78</v>
      </c>
      <c r="S71" s="228">
        <v>91.25</v>
      </c>
      <c r="T71" s="228">
        <v>0.53</v>
      </c>
      <c r="U71" s="229">
        <v>5.7999999999999996E-3</v>
      </c>
      <c r="V71" s="228">
        <v>92.21</v>
      </c>
      <c r="W71" s="228">
        <v>91.71</v>
      </c>
      <c r="X71" s="228">
        <v>0.5</v>
      </c>
      <c r="Y71" s="229">
        <v>5.4999999999999997E-3</v>
      </c>
      <c r="Z71" s="228">
        <v>0.27</v>
      </c>
      <c r="AA71" s="228">
        <v>0.33</v>
      </c>
      <c r="AB71" s="228">
        <v>-0.06</v>
      </c>
      <c r="AC71" s="229">
        <v>3.0000000000000001E-3</v>
      </c>
      <c r="AD71" s="228">
        <v>0.27</v>
      </c>
      <c r="AE71" s="228">
        <v>0.33</v>
      </c>
      <c r="AF71" s="228">
        <v>-0.06</v>
      </c>
      <c r="AG71" s="229">
        <v>3.0000000000000001E-3</v>
      </c>
      <c r="AH71" s="228">
        <v>0.77</v>
      </c>
      <c r="AI71" s="228">
        <v>0.81</v>
      </c>
      <c r="AJ71" s="228">
        <v>-0.04</v>
      </c>
      <c r="AK71" s="229">
        <v>8.5000000000000006E-3</v>
      </c>
      <c r="AL71" s="228">
        <v>1.2</v>
      </c>
      <c r="AM71" s="228">
        <v>1.27</v>
      </c>
      <c r="AN71" s="228">
        <v>-7.0000000000000007E-2</v>
      </c>
      <c r="AO71" s="229">
        <v>1.32E-2</v>
      </c>
      <c r="AP71" s="228">
        <v>91.29</v>
      </c>
      <c r="AQ71" s="228">
        <v>91.79</v>
      </c>
      <c r="AR71" s="228">
        <v>0</v>
      </c>
      <c r="AS71" s="228">
        <v>213</v>
      </c>
      <c r="AT71" s="228">
        <v>145</v>
      </c>
      <c r="AU71" s="228">
        <v>67</v>
      </c>
      <c r="AV71" s="229">
        <v>0.46489999999999998</v>
      </c>
      <c r="AW71" s="228">
        <v>151</v>
      </c>
      <c r="AX71" s="228">
        <v>97</v>
      </c>
      <c r="AY71" s="228">
        <v>55</v>
      </c>
      <c r="AZ71" s="229">
        <v>0.56620000000000004</v>
      </c>
      <c r="BA71" s="228">
        <v>55</v>
      </c>
      <c r="BB71" s="228">
        <v>46</v>
      </c>
      <c r="BC71" s="228">
        <v>10</v>
      </c>
      <c r="BD71" s="229">
        <v>0.21199999999999999</v>
      </c>
      <c r="BE71" s="228">
        <v>6</v>
      </c>
      <c r="BF71" s="228">
        <v>3</v>
      </c>
      <c r="BG71" s="228">
        <v>3</v>
      </c>
      <c r="BH71" s="229">
        <v>1.0651999999999999</v>
      </c>
      <c r="BI71" s="228">
        <v>503</v>
      </c>
      <c r="BJ71" s="228">
        <v>236</v>
      </c>
      <c r="BK71" s="228">
        <v>267</v>
      </c>
      <c r="BL71" s="229">
        <v>1.1299999999999999</v>
      </c>
      <c r="BM71" s="228">
        <v>178</v>
      </c>
      <c r="BN71" s="228">
        <v>152</v>
      </c>
      <c r="BO71" s="228">
        <v>26</v>
      </c>
      <c r="BP71" s="229">
        <v>0.16869999999999999</v>
      </c>
      <c r="BQ71" s="228">
        <v>894</v>
      </c>
      <c r="BR71" s="228">
        <v>534</v>
      </c>
      <c r="BS71" s="228">
        <v>360</v>
      </c>
      <c r="BT71" s="229">
        <v>0.67449999999999999</v>
      </c>
      <c r="BU71" s="230">
        <v>6498605</v>
      </c>
      <c r="BV71" s="230">
        <v>5846344</v>
      </c>
      <c r="BW71" s="230">
        <v>652261</v>
      </c>
      <c r="BX71" s="229">
        <v>0.1116</v>
      </c>
      <c r="BY71" s="230">
        <v>1739</v>
      </c>
      <c r="BZ71" s="230">
        <v>1740</v>
      </c>
      <c r="CA71" s="228">
        <v>-1</v>
      </c>
      <c r="CB71" s="229">
        <v>-6.9999999999999999E-4</v>
      </c>
      <c r="CC71" s="230">
        <v>1600</v>
      </c>
      <c r="CD71" s="230">
        <v>1628</v>
      </c>
      <c r="CE71" s="228">
        <v>-28</v>
      </c>
      <c r="CF71" s="229">
        <v>-1.7299999999999999E-2</v>
      </c>
      <c r="CG71" s="228">
        <v>131</v>
      </c>
      <c r="CH71" s="228">
        <v>107</v>
      </c>
      <c r="CI71" s="228">
        <v>24</v>
      </c>
      <c r="CJ71" s="229">
        <v>0.22239999999999999</v>
      </c>
      <c r="CK71" s="228">
        <v>9</v>
      </c>
      <c r="CL71" s="228">
        <v>6</v>
      </c>
      <c r="CM71" s="228">
        <v>3</v>
      </c>
      <c r="CN71" s="229">
        <v>0.53849999999999998</v>
      </c>
      <c r="CO71" s="228">
        <v>626</v>
      </c>
      <c r="CP71" s="228">
        <v>620</v>
      </c>
      <c r="CQ71" s="228">
        <v>6</v>
      </c>
      <c r="CR71" s="229">
        <v>9.1000000000000004E-3</v>
      </c>
      <c r="CS71" s="228">
        <v>312</v>
      </c>
      <c r="CT71" s="228">
        <v>313</v>
      </c>
      <c r="CU71" s="228">
        <v>-1</v>
      </c>
      <c r="CV71" s="229">
        <v>-3.7000000000000002E-3</v>
      </c>
      <c r="CW71" s="230">
        <v>2677</v>
      </c>
      <c r="CX71" s="230">
        <v>2673</v>
      </c>
      <c r="CY71" s="228">
        <v>3</v>
      </c>
      <c r="CZ71" s="229">
        <v>1.1999999999999999E-3</v>
      </c>
      <c r="DA71" s="228">
        <v>24.05</v>
      </c>
      <c r="DB71" s="228">
        <v>25.15</v>
      </c>
      <c r="DC71" s="228">
        <v>-1.1000000000000001</v>
      </c>
      <c r="DD71" s="228">
        <v>-1.1000000000000001</v>
      </c>
      <c r="DE71" s="228">
        <v>39.28</v>
      </c>
      <c r="DF71" s="228">
        <v>39.380000000000003</v>
      </c>
      <c r="DG71" s="228">
        <v>-15.23</v>
      </c>
      <c r="DH71" s="228">
        <v>-0.1</v>
      </c>
      <c r="DI71" s="228">
        <v>24.52</v>
      </c>
      <c r="DJ71" s="228">
        <v>25.71</v>
      </c>
      <c r="DK71" s="228">
        <v>-1.19</v>
      </c>
      <c r="DL71" s="228">
        <v>-1.19</v>
      </c>
      <c r="DM71" s="228">
        <v>22.7</v>
      </c>
      <c r="DN71" s="228">
        <v>24.29</v>
      </c>
      <c r="DO71" s="228">
        <v>-1.59</v>
      </c>
      <c r="DP71" s="228">
        <v>-1.59</v>
      </c>
      <c r="DQ71" s="228">
        <v>0.5</v>
      </c>
      <c r="DR71" s="228">
        <v>0.5</v>
      </c>
      <c r="DS71" s="228">
        <v>0</v>
      </c>
      <c r="DT71" s="229">
        <v>0</v>
      </c>
      <c r="DU71" s="228">
        <v>95</v>
      </c>
      <c r="DV71" s="228">
        <v>90</v>
      </c>
      <c r="DW71" s="228">
        <v>0.35</v>
      </c>
      <c r="DX71" s="228">
        <v>0.65</v>
      </c>
      <c r="DY71" s="228">
        <v>-0.3</v>
      </c>
      <c r="DZ71" s="229">
        <v>-0.46150000000000002</v>
      </c>
      <c r="EA71" s="229">
        <v>8.0199999999999994E-2</v>
      </c>
      <c r="EB71" s="230">
        <v>12331800</v>
      </c>
      <c r="EC71" s="229">
        <v>5.4999999999999997E-3</v>
      </c>
      <c r="ED71" s="229">
        <v>8.0199999999999994E-2</v>
      </c>
      <c r="EE71" s="228">
        <v>0.5</v>
      </c>
      <c r="EF71" s="229">
        <v>5.4999999999999997E-3</v>
      </c>
      <c r="EG71" s="230">
        <v>3328771</v>
      </c>
      <c r="EH71" s="230">
        <v>2812165</v>
      </c>
      <c r="EI71" s="229">
        <v>0.1837</v>
      </c>
      <c r="EJ71" s="229">
        <v>0.51219999999999999</v>
      </c>
      <c r="EK71" s="228">
        <v>517.58000000000004</v>
      </c>
      <c r="EL71" s="228">
        <v>177.76</v>
      </c>
      <c r="EM71" s="228">
        <v>213.02</v>
      </c>
      <c r="EN71" s="228">
        <v>0</v>
      </c>
      <c r="EO71" s="228">
        <v>908.36</v>
      </c>
      <c r="EP71" s="228">
        <v>535.03</v>
      </c>
      <c r="EQ71" s="228">
        <v>373.33</v>
      </c>
      <c r="ER71" s="229">
        <v>0.69779999999999998</v>
      </c>
      <c r="ES71" s="228">
        <v>649.48</v>
      </c>
      <c r="ET71" s="228">
        <v>301.66000000000003</v>
      </c>
      <c r="EU71" s="231">
        <v>1739.76</v>
      </c>
      <c r="EV71" s="231">
        <v>712939229</v>
      </c>
      <c r="EW71" s="231">
        <v>2690.91</v>
      </c>
      <c r="EX71" s="231">
        <v>2677.56</v>
      </c>
      <c r="EY71" s="228">
        <v>13.35</v>
      </c>
      <c r="EZ71" s="229">
        <v>5.0000000000000001E-3</v>
      </c>
      <c r="FA71" s="229">
        <v>0.4113</v>
      </c>
      <c r="FB71" s="227" t="s">
        <v>556</v>
      </c>
      <c r="FC71">
        <f t="shared" si="1"/>
        <v>139</v>
      </c>
    </row>
    <row r="72" spans="1:159" ht="17.25" thickBot="1" x14ac:dyDescent="0.3">
      <c r="A72" s="226">
        <v>45889</v>
      </c>
      <c r="B72" s="227" t="s">
        <v>168</v>
      </c>
      <c r="C72" s="227" t="s">
        <v>217</v>
      </c>
      <c r="D72" s="228">
        <v>500</v>
      </c>
      <c r="E72" s="228">
        <v>8</v>
      </c>
      <c r="F72" s="231">
        <v>1250.5999999999999</v>
      </c>
      <c r="G72" s="231">
        <v>1223.0999999999999</v>
      </c>
      <c r="H72" s="228">
        <v>27.5</v>
      </c>
      <c r="I72" s="229">
        <v>2.2499999999999999E-2</v>
      </c>
      <c r="J72" s="231">
        <v>1246.9000000000001</v>
      </c>
      <c r="K72" s="231">
        <v>1218.7</v>
      </c>
      <c r="L72" s="228">
        <v>28.2</v>
      </c>
      <c r="M72" s="229">
        <v>2.3099999999999999E-2</v>
      </c>
      <c r="N72" s="231">
        <v>1250.5999999999999</v>
      </c>
      <c r="O72" s="231">
        <v>1223.0999999999999</v>
      </c>
      <c r="P72" s="228">
        <v>27.5</v>
      </c>
      <c r="Q72" s="229">
        <v>2.2499999999999999E-2</v>
      </c>
      <c r="R72" s="231">
        <v>1257.4000000000001</v>
      </c>
      <c r="S72" s="231">
        <v>1229.5</v>
      </c>
      <c r="T72" s="228">
        <v>27.9</v>
      </c>
      <c r="U72" s="229">
        <v>2.2700000000000001E-2</v>
      </c>
      <c r="V72" s="231">
        <v>1261</v>
      </c>
      <c r="W72" s="231">
        <v>1218.8</v>
      </c>
      <c r="X72" s="228">
        <v>42.2</v>
      </c>
      <c r="Y72" s="229">
        <v>3.4599999999999999E-2</v>
      </c>
      <c r="Z72" s="228">
        <v>3.7</v>
      </c>
      <c r="AA72" s="228">
        <v>4.4000000000000004</v>
      </c>
      <c r="AB72" s="228">
        <v>-0.7</v>
      </c>
      <c r="AC72" s="229">
        <v>3.0000000000000001E-3</v>
      </c>
      <c r="AD72" s="228">
        <v>3.7</v>
      </c>
      <c r="AE72" s="228">
        <v>4.4000000000000004</v>
      </c>
      <c r="AF72" s="228">
        <v>-0.7</v>
      </c>
      <c r="AG72" s="229">
        <v>3.0000000000000001E-3</v>
      </c>
      <c r="AH72" s="228">
        <v>10.5</v>
      </c>
      <c r="AI72" s="228">
        <v>10.8</v>
      </c>
      <c r="AJ72" s="228">
        <v>-0.3</v>
      </c>
      <c r="AK72" s="229">
        <v>8.3999999999999995E-3</v>
      </c>
      <c r="AL72" s="228">
        <v>14.1</v>
      </c>
      <c r="AM72" s="228">
        <v>0.1</v>
      </c>
      <c r="AN72" s="228">
        <v>14</v>
      </c>
      <c r="AO72" s="229">
        <v>1.1299999999999999E-2</v>
      </c>
      <c r="AP72" s="231">
        <v>1244.19</v>
      </c>
      <c r="AQ72" s="231">
        <v>1248.6600000000001</v>
      </c>
      <c r="AR72" s="228">
        <v>0</v>
      </c>
      <c r="AS72" s="228">
        <v>294</v>
      </c>
      <c r="AT72" s="228">
        <v>176</v>
      </c>
      <c r="AU72" s="228">
        <v>118</v>
      </c>
      <c r="AV72" s="229">
        <v>0.66869999999999996</v>
      </c>
      <c r="AW72" s="228">
        <v>241</v>
      </c>
      <c r="AX72" s="228">
        <v>143</v>
      </c>
      <c r="AY72" s="228">
        <v>98</v>
      </c>
      <c r="AZ72" s="229">
        <v>0.68400000000000005</v>
      </c>
      <c r="BA72" s="228">
        <v>53</v>
      </c>
      <c r="BB72" s="228">
        <v>33</v>
      </c>
      <c r="BC72" s="228">
        <v>20</v>
      </c>
      <c r="BD72" s="229">
        <v>0.59809999999999997</v>
      </c>
      <c r="BE72" s="228">
        <v>0</v>
      </c>
      <c r="BF72" s="228">
        <v>0</v>
      </c>
      <c r="BG72" s="228">
        <v>0</v>
      </c>
      <c r="BH72" s="229">
        <v>3</v>
      </c>
      <c r="BI72" s="230">
        <v>1308</v>
      </c>
      <c r="BJ72" s="228">
        <v>264</v>
      </c>
      <c r="BK72" s="230">
        <v>1044</v>
      </c>
      <c r="BL72" s="229">
        <v>3.9512</v>
      </c>
      <c r="BM72" s="228">
        <v>288</v>
      </c>
      <c r="BN72" s="228">
        <v>84</v>
      </c>
      <c r="BO72" s="228">
        <v>204</v>
      </c>
      <c r="BP72" s="229">
        <v>2.4355000000000002</v>
      </c>
      <c r="BQ72" s="230">
        <v>1891</v>
      </c>
      <c r="BR72" s="228">
        <v>525</v>
      </c>
      <c r="BS72" s="230">
        <v>1366</v>
      </c>
      <c r="BT72" s="229">
        <v>2.6046</v>
      </c>
      <c r="BU72" s="230">
        <v>1031705</v>
      </c>
      <c r="BV72" s="230">
        <v>1165152</v>
      </c>
      <c r="BW72" s="230">
        <v>-133447</v>
      </c>
      <c r="BX72" s="229">
        <v>-0.1145</v>
      </c>
      <c r="BY72" s="230">
        <v>1103</v>
      </c>
      <c r="BZ72" s="230">
        <v>1072</v>
      </c>
      <c r="CA72" s="228">
        <v>31</v>
      </c>
      <c r="CB72" s="229">
        <v>2.9100000000000001E-2</v>
      </c>
      <c r="CC72" s="230">
        <v>1003</v>
      </c>
      <c r="CD72" s="228">
        <v>992</v>
      </c>
      <c r="CE72" s="228">
        <v>12</v>
      </c>
      <c r="CF72" s="229">
        <v>1.17E-2</v>
      </c>
      <c r="CG72" s="228">
        <v>99</v>
      </c>
      <c r="CH72" s="228">
        <v>79</v>
      </c>
      <c r="CI72" s="228">
        <v>19</v>
      </c>
      <c r="CJ72" s="229">
        <v>0.2455</v>
      </c>
      <c r="CK72" s="228">
        <v>1</v>
      </c>
      <c r="CL72" s="228">
        <v>1</v>
      </c>
      <c r="CM72" s="228">
        <v>0</v>
      </c>
      <c r="CN72" s="229">
        <v>7.1400000000000005E-2</v>
      </c>
      <c r="CO72" s="228">
        <v>288</v>
      </c>
      <c r="CP72" s="228">
        <v>278</v>
      </c>
      <c r="CQ72" s="228">
        <v>10</v>
      </c>
      <c r="CR72" s="229">
        <v>3.4799999999999998E-2</v>
      </c>
      <c r="CS72" s="228">
        <v>188</v>
      </c>
      <c r="CT72" s="228">
        <v>170</v>
      </c>
      <c r="CU72" s="228">
        <v>18</v>
      </c>
      <c r="CV72" s="229">
        <v>0.1062</v>
      </c>
      <c r="CW72" s="230">
        <v>1579</v>
      </c>
      <c r="CX72" s="230">
        <v>1520</v>
      </c>
      <c r="CY72" s="228">
        <v>59</v>
      </c>
      <c r="CZ72" s="229">
        <v>3.8699999999999998E-2</v>
      </c>
      <c r="DA72" s="228">
        <v>22.97</v>
      </c>
      <c r="DB72" s="228">
        <v>22.62</v>
      </c>
      <c r="DC72" s="228">
        <v>0.35</v>
      </c>
      <c r="DD72" s="228">
        <v>0.35</v>
      </c>
      <c r="DE72" s="228">
        <v>31.2</v>
      </c>
      <c r="DF72" s="228">
        <v>31.12</v>
      </c>
      <c r="DG72" s="228">
        <v>-8.23</v>
      </c>
      <c r="DH72" s="228">
        <v>0.08</v>
      </c>
      <c r="DI72" s="228">
        <v>22.85</v>
      </c>
      <c r="DJ72" s="228">
        <v>22.59</v>
      </c>
      <c r="DK72" s="228">
        <v>0.26</v>
      </c>
      <c r="DL72" s="228">
        <v>0.26</v>
      </c>
      <c r="DM72" s="228">
        <v>23.49</v>
      </c>
      <c r="DN72" s="228">
        <v>22.72</v>
      </c>
      <c r="DO72" s="228">
        <v>0.77</v>
      </c>
      <c r="DP72" s="228">
        <v>0.77</v>
      </c>
      <c r="DQ72" s="228">
        <v>0.65</v>
      </c>
      <c r="DR72" s="228">
        <v>0.61</v>
      </c>
      <c r="DS72" s="228">
        <v>0.04</v>
      </c>
      <c r="DT72" s="229">
        <v>6.5600000000000006E-2</v>
      </c>
      <c r="DU72" s="231">
        <v>1300</v>
      </c>
      <c r="DV72" s="231">
        <v>1200</v>
      </c>
      <c r="DW72" s="228">
        <v>0.22</v>
      </c>
      <c r="DX72" s="228">
        <v>0.32</v>
      </c>
      <c r="DY72" s="228">
        <v>-0.1</v>
      </c>
      <c r="DZ72" s="229">
        <v>-0.3125</v>
      </c>
      <c r="EA72" s="229">
        <v>9.0300000000000005E-2</v>
      </c>
      <c r="EB72" s="230">
        <v>640500</v>
      </c>
      <c r="EC72" s="229">
        <v>5.4000000000000003E-3</v>
      </c>
      <c r="ED72" s="229">
        <v>9.0300000000000005E-2</v>
      </c>
      <c r="EE72" s="228">
        <v>4.47</v>
      </c>
      <c r="EF72" s="229">
        <v>3.5999999999999999E-3</v>
      </c>
      <c r="EG72" s="230">
        <v>440900</v>
      </c>
      <c r="EH72" s="230">
        <v>795900</v>
      </c>
      <c r="EI72" s="229">
        <v>-0.44600000000000001</v>
      </c>
      <c r="EJ72" s="229">
        <v>0.4274</v>
      </c>
      <c r="EK72" s="231">
        <v>1330.19</v>
      </c>
      <c r="EL72" s="228">
        <v>284.39999999999998</v>
      </c>
      <c r="EM72" s="228">
        <v>293.14</v>
      </c>
      <c r="EN72" s="228">
        <v>0</v>
      </c>
      <c r="EO72" s="231">
        <v>1907.72</v>
      </c>
      <c r="EP72" s="228">
        <v>517.4</v>
      </c>
      <c r="EQ72" s="231">
        <v>1390.32</v>
      </c>
      <c r="ER72" s="229">
        <v>2.6871999999999998</v>
      </c>
      <c r="ES72" s="228">
        <v>293.51</v>
      </c>
      <c r="ET72" s="228">
        <v>178.87</v>
      </c>
      <c r="EU72" s="231">
        <v>1103.51</v>
      </c>
      <c r="EV72" s="231">
        <v>96028079</v>
      </c>
      <c r="EW72" s="231">
        <v>1575.89</v>
      </c>
      <c r="EX72" s="231">
        <v>1492.82</v>
      </c>
      <c r="EY72" s="228">
        <v>83.07</v>
      </c>
      <c r="EZ72" s="229">
        <v>5.5599999999999997E-2</v>
      </c>
      <c r="FA72" s="229">
        <v>0.13150000000000001</v>
      </c>
      <c r="FB72" s="227" t="s">
        <v>555</v>
      </c>
      <c r="FC72">
        <f t="shared" si="1"/>
        <v>100</v>
      </c>
    </row>
    <row r="73" spans="1:159" ht="17.25" thickBot="1" x14ac:dyDescent="0.3">
      <c r="A73" s="226">
        <v>45889</v>
      </c>
      <c r="B73" s="227" t="s">
        <v>206</v>
      </c>
      <c r="C73" s="227" t="s">
        <v>218</v>
      </c>
      <c r="D73" s="228">
        <v>275</v>
      </c>
      <c r="E73" s="228">
        <v>8</v>
      </c>
      <c r="F73" s="231">
        <v>2041.6</v>
      </c>
      <c r="G73" s="231">
        <v>2017</v>
      </c>
      <c r="H73" s="228">
        <v>24.6</v>
      </c>
      <c r="I73" s="229">
        <v>1.2200000000000001E-2</v>
      </c>
      <c r="J73" s="231">
        <v>2041.8</v>
      </c>
      <c r="K73" s="231">
        <v>2010</v>
      </c>
      <c r="L73" s="228">
        <v>31.8</v>
      </c>
      <c r="M73" s="229">
        <v>1.5800000000000002E-2</v>
      </c>
      <c r="N73" s="231">
        <v>2041.6</v>
      </c>
      <c r="O73" s="231">
        <v>2017</v>
      </c>
      <c r="P73" s="228">
        <v>24.6</v>
      </c>
      <c r="Q73" s="229">
        <v>1.2200000000000001E-2</v>
      </c>
      <c r="R73" s="231">
        <v>2053.1999999999998</v>
      </c>
      <c r="S73" s="231">
        <v>2028.3</v>
      </c>
      <c r="T73" s="228">
        <v>24.9</v>
      </c>
      <c r="U73" s="229">
        <v>1.23E-2</v>
      </c>
      <c r="V73" s="231">
        <v>2062.4</v>
      </c>
      <c r="W73" s="231">
        <v>2038.4</v>
      </c>
      <c r="X73" s="228">
        <v>24</v>
      </c>
      <c r="Y73" s="229">
        <v>1.18E-2</v>
      </c>
      <c r="Z73" s="228">
        <v>-0.2</v>
      </c>
      <c r="AA73" s="228">
        <v>7</v>
      </c>
      <c r="AB73" s="228">
        <v>-7.2</v>
      </c>
      <c r="AC73" s="229">
        <v>-1E-4</v>
      </c>
      <c r="AD73" s="228">
        <v>-0.2</v>
      </c>
      <c r="AE73" s="228">
        <v>7</v>
      </c>
      <c r="AF73" s="228">
        <v>-7.2</v>
      </c>
      <c r="AG73" s="229">
        <v>-1E-4</v>
      </c>
      <c r="AH73" s="228">
        <v>11.4</v>
      </c>
      <c r="AI73" s="228">
        <v>18.3</v>
      </c>
      <c r="AJ73" s="228">
        <v>-6.9</v>
      </c>
      <c r="AK73" s="229">
        <v>5.5999999999999999E-3</v>
      </c>
      <c r="AL73" s="228">
        <v>20.6</v>
      </c>
      <c r="AM73" s="228">
        <v>28.4</v>
      </c>
      <c r="AN73" s="228">
        <v>-7.8</v>
      </c>
      <c r="AO73" s="229">
        <v>1.01E-2</v>
      </c>
      <c r="AP73" s="231">
        <v>2032.02</v>
      </c>
      <c r="AQ73" s="231">
        <v>2041.5</v>
      </c>
      <c r="AR73" s="228">
        <v>0</v>
      </c>
      <c r="AS73" s="228">
        <v>191</v>
      </c>
      <c r="AT73" s="228">
        <v>235</v>
      </c>
      <c r="AU73" s="228">
        <v>-45</v>
      </c>
      <c r="AV73" s="229">
        <v>-0.18959999999999999</v>
      </c>
      <c r="AW73" s="228">
        <v>150</v>
      </c>
      <c r="AX73" s="228">
        <v>173</v>
      </c>
      <c r="AY73" s="228">
        <v>-23</v>
      </c>
      <c r="AZ73" s="229">
        <v>-0.1313</v>
      </c>
      <c r="BA73" s="228">
        <v>36</v>
      </c>
      <c r="BB73" s="228">
        <v>52</v>
      </c>
      <c r="BC73" s="228">
        <v>-16</v>
      </c>
      <c r="BD73" s="229">
        <v>-0.3085</v>
      </c>
      <c r="BE73" s="228">
        <v>4</v>
      </c>
      <c r="BF73" s="228">
        <v>10</v>
      </c>
      <c r="BG73" s="228">
        <v>-6</v>
      </c>
      <c r="BH73" s="229">
        <v>-0.58520000000000005</v>
      </c>
      <c r="BI73" s="228">
        <v>822</v>
      </c>
      <c r="BJ73" s="228">
        <v>635</v>
      </c>
      <c r="BK73" s="228">
        <v>187</v>
      </c>
      <c r="BL73" s="229">
        <v>0.29459999999999997</v>
      </c>
      <c r="BM73" s="228">
        <v>327</v>
      </c>
      <c r="BN73" s="228">
        <v>280</v>
      </c>
      <c r="BO73" s="228">
        <v>47</v>
      </c>
      <c r="BP73" s="229">
        <v>0.16789999999999999</v>
      </c>
      <c r="BQ73" s="230">
        <v>1339</v>
      </c>
      <c r="BR73" s="230">
        <v>1150</v>
      </c>
      <c r="BS73" s="228">
        <v>189</v>
      </c>
      <c r="BT73" s="229">
        <v>0.16470000000000001</v>
      </c>
      <c r="BU73" s="230">
        <v>604425</v>
      </c>
      <c r="BV73" s="230">
        <v>695066</v>
      </c>
      <c r="BW73" s="230">
        <v>-90641</v>
      </c>
      <c r="BX73" s="229">
        <v>-0.13039999999999999</v>
      </c>
      <c r="BY73" s="230">
        <v>1701</v>
      </c>
      <c r="BZ73" s="230">
        <v>1718</v>
      </c>
      <c r="CA73" s="228">
        <v>-17</v>
      </c>
      <c r="CB73" s="229">
        <v>-1.0200000000000001E-2</v>
      </c>
      <c r="CC73" s="230">
        <v>1577</v>
      </c>
      <c r="CD73" s="230">
        <v>1607</v>
      </c>
      <c r="CE73" s="228">
        <v>-30</v>
      </c>
      <c r="CF73" s="229">
        <v>-1.8499999999999999E-2</v>
      </c>
      <c r="CG73" s="228">
        <v>102</v>
      </c>
      <c r="CH73" s="228">
        <v>90</v>
      </c>
      <c r="CI73" s="228">
        <v>11</v>
      </c>
      <c r="CJ73" s="229">
        <v>0.1244</v>
      </c>
      <c r="CK73" s="228">
        <v>22</v>
      </c>
      <c r="CL73" s="228">
        <v>21</v>
      </c>
      <c r="CM73" s="228">
        <v>1</v>
      </c>
      <c r="CN73" s="229">
        <v>5.0099999999999999E-2</v>
      </c>
      <c r="CO73" s="228">
        <v>671</v>
      </c>
      <c r="CP73" s="228">
        <v>664</v>
      </c>
      <c r="CQ73" s="228">
        <v>7</v>
      </c>
      <c r="CR73" s="229">
        <v>0.01</v>
      </c>
      <c r="CS73" s="228">
        <v>415</v>
      </c>
      <c r="CT73" s="228">
        <v>379</v>
      </c>
      <c r="CU73" s="228">
        <v>36</v>
      </c>
      <c r="CV73" s="229">
        <v>9.4700000000000006E-2</v>
      </c>
      <c r="CW73" s="230">
        <v>2787</v>
      </c>
      <c r="CX73" s="230">
        <v>2762</v>
      </c>
      <c r="CY73" s="228">
        <v>25</v>
      </c>
      <c r="CZ73" s="229">
        <v>9.1000000000000004E-3</v>
      </c>
      <c r="DA73" s="228">
        <v>32.46</v>
      </c>
      <c r="DB73" s="228">
        <v>32.94</v>
      </c>
      <c r="DC73" s="228">
        <v>-0.48</v>
      </c>
      <c r="DD73" s="228">
        <v>-0.48</v>
      </c>
      <c r="DE73" s="228">
        <v>46.22</v>
      </c>
      <c r="DF73" s="228">
        <v>46.31</v>
      </c>
      <c r="DG73" s="228">
        <v>-13.76</v>
      </c>
      <c r="DH73" s="228">
        <v>-0.09</v>
      </c>
      <c r="DI73" s="228">
        <v>32.74</v>
      </c>
      <c r="DJ73" s="228">
        <v>33.28</v>
      </c>
      <c r="DK73" s="228">
        <v>-0.54</v>
      </c>
      <c r="DL73" s="228">
        <v>-0.54</v>
      </c>
      <c r="DM73" s="228">
        <v>31.77</v>
      </c>
      <c r="DN73" s="228">
        <v>32.17</v>
      </c>
      <c r="DO73" s="228">
        <v>-0.4</v>
      </c>
      <c r="DP73" s="228">
        <v>-0.4</v>
      </c>
      <c r="DQ73" s="228">
        <v>0.62</v>
      </c>
      <c r="DR73" s="228">
        <v>0.56999999999999995</v>
      </c>
      <c r="DS73" s="228">
        <v>0.05</v>
      </c>
      <c r="DT73" s="229">
        <v>8.77E-2</v>
      </c>
      <c r="DU73" s="231">
        <v>2100</v>
      </c>
      <c r="DV73" s="231">
        <v>2000</v>
      </c>
      <c r="DW73" s="228">
        <v>0.4</v>
      </c>
      <c r="DX73" s="228">
        <v>0.44</v>
      </c>
      <c r="DY73" s="228">
        <v>-0.04</v>
      </c>
      <c r="DZ73" s="229">
        <v>-9.0899999999999995E-2</v>
      </c>
      <c r="EA73" s="229">
        <v>7.2800000000000004E-2</v>
      </c>
      <c r="EB73" s="230">
        <v>546425</v>
      </c>
      <c r="EC73" s="229">
        <v>5.7000000000000002E-3</v>
      </c>
      <c r="ED73" s="229">
        <v>7.2800000000000004E-2</v>
      </c>
      <c r="EE73" s="228">
        <v>9.48</v>
      </c>
      <c r="EF73" s="229">
        <v>4.7000000000000002E-3</v>
      </c>
      <c r="EG73" s="230">
        <v>342509</v>
      </c>
      <c r="EH73" s="230">
        <v>394176</v>
      </c>
      <c r="EI73" s="229">
        <v>-0.13109999999999999</v>
      </c>
      <c r="EJ73" s="229">
        <v>0.56669999999999998</v>
      </c>
      <c r="EK73" s="228">
        <v>857.59</v>
      </c>
      <c r="EL73" s="228">
        <v>322.27999999999997</v>
      </c>
      <c r="EM73" s="228">
        <v>189.87</v>
      </c>
      <c r="EN73" s="228">
        <v>0</v>
      </c>
      <c r="EO73" s="231">
        <v>1369.75</v>
      </c>
      <c r="EP73" s="231">
        <v>1159.7</v>
      </c>
      <c r="EQ73" s="228">
        <v>210.04</v>
      </c>
      <c r="ER73" s="229">
        <v>0.18110000000000001</v>
      </c>
      <c r="ES73" s="228">
        <v>716.41</v>
      </c>
      <c r="ET73" s="228">
        <v>414.01</v>
      </c>
      <c r="EU73" s="231">
        <v>1701.52</v>
      </c>
      <c r="EV73" s="231">
        <v>32110506</v>
      </c>
      <c r="EW73" s="231">
        <v>2831.94</v>
      </c>
      <c r="EX73" s="231">
        <v>2785.57</v>
      </c>
      <c r="EY73" s="228">
        <v>46.37</v>
      </c>
      <c r="EZ73" s="229">
        <v>1.66E-2</v>
      </c>
      <c r="FA73" s="229">
        <v>0.42509999999999998</v>
      </c>
      <c r="FB73" s="227" t="s">
        <v>556</v>
      </c>
      <c r="FC73">
        <f t="shared" si="1"/>
        <v>124</v>
      </c>
    </row>
    <row r="74" spans="1:159" ht="17.25" thickBot="1" x14ac:dyDescent="0.3">
      <c r="A74" s="226">
        <v>45889</v>
      </c>
      <c r="B74" s="227" t="s">
        <v>170</v>
      </c>
      <c r="C74" s="227" t="s">
        <v>492</v>
      </c>
      <c r="D74" s="228">
        <v>1075</v>
      </c>
      <c r="E74" s="228">
        <v>8</v>
      </c>
      <c r="F74" s="228">
        <v>461.4</v>
      </c>
      <c r="G74" s="228">
        <v>459.3</v>
      </c>
      <c r="H74" s="228">
        <v>2.1</v>
      </c>
      <c r="I74" s="229">
        <v>4.5999999999999999E-3</v>
      </c>
      <c r="J74" s="228">
        <v>461.35</v>
      </c>
      <c r="K74" s="228">
        <v>458.05</v>
      </c>
      <c r="L74" s="228">
        <v>3.3</v>
      </c>
      <c r="M74" s="229">
        <v>7.1999999999999998E-3</v>
      </c>
      <c r="N74" s="228">
        <v>461.4</v>
      </c>
      <c r="O74" s="228">
        <v>459.3</v>
      </c>
      <c r="P74" s="228">
        <v>2.1</v>
      </c>
      <c r="Q74" s="229">
        <v>4.5999999999999999E-3</v>
      </c>
      <c r="R74" s="228">
        <v>0</v>
      </c>
      <c r="S74" s="228">
        <v>0</v>
      </c>
      <c r="T74" s="228">
        <v>0</v>
      </c>
      <c r="U74" s="229">
        <v>0</v>
      </c>
      <c r="V74" s="228">
        <v>0</v>
      </c>
      <c r="W74" s="228">
        <v>0</v>
      </c>
      <c r="X74" s="228">
        <v>0</v>
      </c>
      <c r="Y74" s="229">
        <v>0</v>
      </c>
      <c r="Z74" s="228">
        <v>0.05</v>
      </c>
      <c r="AA74" s="228">
        <v>1.25</v>
      </c>
      <c r="AB74" s="228">
        <v>-1.2</v>
      </c>
      <c r="AC74" s="229">
        <v>1E-4</v>
      </c>
      <c r="AD74" s="228">
        <v>0.05</v>
      </c>
      <c r="AE74" s="228">
        <v>1.25</v>
      </c>
      <c r="AF74" s="228">
        <v>-1.2</v>
      </c>
      <c r="AG74" s="229">
        <v>1E-4</v>
      </c>
      <c r="AH74" s="228">
        <v>0</v>
      </c>
      <c r="AI74" s="228">
        <v>0</v>
      </c>
      <c r="AJ74" s="228">
        <v>0</v>
      </c>
      <c r="AK74" s="229">
        <v>0</v>
      </c>
      <c r="AL74" s="228">
        <v>0</v>
      </c>
      <c r="AM74" s="228">
        <v>0</v>
      </c>
      <c r="AN74" s="228">
        <v>0</v>
      </c>
      <c r="AO74" s="229">
        <v>0</v>
      </c>
      <c r="AP74" s="228">
        <v>457.79</v>
      </c>
      <c r="AQ74" s="228">
        <v>0</v>
      </c>
      <c r="AR74" s="228">
        <v>0</v>
      </c>
      <c r="AS74" s="228">
        <v>46</v>
      </c>
      <c r="AT74" s="228">
        <v>43</v>
      </c>
      <c r="AU74" s="228">
        <v>3</v>
      </c>
      <c r="AV74" s="229">
        <v>7.0300000000000001E-2</v>
      </c>
      <c r="AW74" s="228">
        <v>46</v>
      </c>
      <c r="AX74" s="228">
        <v>43</v>
      </c>
      <c r="AY74" s="228">
        <v>3</v>
      </c>
      <c r="AZ74" s="229">
        <v>7.0300000000000001E-2</v>
      </c>
      <c r="BA74" s="228">
        <v>0</v>
      </c>
      <c r="BB74" s="228">
        <v>0</v>
      </c>
      <c r="BC74" s="228">
        <v>0</v>
      </c>
      <c r="BD74" s="229">
        <v>0</v>
      </c>
      <c r="BE74" s="228">
        <v>0</v>
      </c>
      <c r="BF74" s="228">
        <v>0</v>
      </c>
      <c r="BG74" s="228">
        <v>0</v>
      </c>
      <c r="BH74" s="229">
        <v>0</v>
      </c>
      <c r="BI74" s="228">
        <v>132</v>
      </c>
      <c r="BJ74" s="228">
        <v>80</v>
      </c>
      <c r="BK74" s="228">
        <v>52</v>
      </c>
      <c r="BL74" s="229">
        <v>0.64670000000000005</v>
      </c>
      <c r="BM74" s="228">
        <v>55</v>
      </c>
      <c r="BN74" s="228">
        <v>44</v>
      </c>
      <c r="BO74" s="228">
        <v>11</v>
      </c>
      <c r="BP74" s="229">
        <v>0.25540000000000002</v>
      </c>
      <c r="BQ74" s="228">
        <v>233</v>
      </c>
      <c r="BR74" s="228">
        <v>167</v>
      </c>
      <c r="BS74" s="228">
        <v>66</v>
      </c>
      <c r="BT74" s="229">
        <v>0.39600000000000002</v>
      </c>
      <c r="BU74" s="230">
        <v>813073</v>
      </c>
      <c r="BV74" s="230">
        <v>558094</v>
      </c>
      <c r="BW74" s="230">
        <v>254979</v>
      </c>
      <c r="BX74" s="229">
        <v>0.45689999999999997</v>
      </c>
      <c r="BY74" s="228">
        <v>469</v>
      </c>
      <c r="BZ74" s="228">
        <v>481</v>
      </c>
      <c r="CA74" s="228">
        <v>-12</v>
      </c>
      <c r="CB74" s="229">
        <v>-2.5399999999999999E-2</v>
      </c>
      <c r="CC74" s="228">
        <v>469</v>
      </c>
      <c r="CD74" s="228">
        <v>481</v>
      </c>
      <c r="CE74" s="228">
        <v>-12</v>
      </c>
      <c r="CF74" s="229">
        <v>-2.5399999999999999E-2</v>
      </c>
      <c r="CG74" s="228">
        <v>0</v>
      </c>
      <c r="CH74" s="228">
        <v>0</v>
      </c>
      <c r="CI74" s="228">
        <v>0</v>
      </c>
      <c r="CJ74" s="229">
        <v>0</v>
      </c>
      <c r="CK74" s="228">
        <v>0</v>
      </c>
      <c r="CL74" s="228">
        <v>0</v>
      </c>
      <c r="CM74" s="228">
        <v>0</v>
      </c>
      <c r="CN74" s="229">
        <v>0</v>
      </c>
      <c r="CO74" s="228">
        <v>190</v>
      </c>
      <c r="CP74" s="228">
        <v>191</v>
      </c>
      <c r="CQ74" s="228">
        <v>-1</v>
      </c>
      <c r="CR74" s="229">
        <v>-7.7999999999999996E-3</v>
      </c>
      <c r="CS74" s="228">
        <v>100</v>
      </c>
      <c r="CT74" s="228">
        <v>97</v>
      </c>
      <c r="CU74" s="228">
        <v>3</v>
      </c>
      <c r="CV74" s="229">
        <v>2.9700000000000001E-2</v>
      </c>
      <c r="CW74" s="228">
        <v>759</v>
      </c>
      <c r="CX74" s="228">
        <v>769</v>
      </c>
      <c r="CY74" s="228">
        <v>-11</v>
      </c>
      <c r="CZ74" s="229">
        <v>-1.41E-2</v>
      </c>
      <c r="DA74" s="228">
        <v>32.35</v>
      </c>
      <c r="DB74" s="228">
        <v>33.42</v>
      </c>
      <c r="DC74" s="228">
        <v>-1.07</v>
      </c>
      <c r="DD74" s="228">
        <v>-1.07</v>
      </c>
      <c r="DE74" s="228">
        <v>45.44</v>
      </c>
      <c r="DF74" s="228">
        <v>45.55</v>
      </c>
      <c r="DG74" s="228">
        <v>-13.09</v>
      </c>
      <c r="DH74" s="228">
        <v>-0.11</v>
      </c>
      <c r="DI74" s="228">
        <v>32.51</v>
      </c>
      <c r="DJ74" s="228">
        <v>33.369999999999997</v>
      </c>
      <c r="DK74" s="228">
        <v>-0.86</v>
      </c>
      <c r="DL74" s="228">
        <v>-0.86</v>
      </c>
      <c r="DM74" s="228">
        <v>31.97</v>
      </c>
      <c r="DN74" s="228">
        <v>33.51</v>
      </c>
      <c r="DO74" s="228">
        <v>-1.54</v>
      </c>
      <c r="DP74" s="228">
        <v>-1.54</v>
      </c>
      <c r="DQ74" s="228">
        <v>0.53</v>
      </c>
      <c r="DR74" s="228">
        <v>0.51</v>
      </c>
      <c r="DS74" s="228">
        <v>0.02</v>
      </c>
      <c r="DT74" s="229">
        <v>3.9199999999999999E-2</v>
      </c>
      <c r="DU74" s="228">
        <v>500</v>
      </c>
      <c r="DV74" s="228">
        <v>450</v>
      </c>
      <c r="DW74" s="228">
        <v>0.41</v>
      </c>
      <c r="DX74" s="228">
        <v>0.54</v>
      </c>
      <c r="DY74" s="228">
        <v>-0.13</v>
      </c>
      <c r="DZ74" s="229">
        <v>-0.2407</v>
      </c>
      <c r="EA74" s="229">
        <v>0</v>
      </c>
      <c r="EB74" s="228">
        <v>0</v>
      </c>
      <c r="EC74" s="229">
        <v>0</v>
      </c>
      <c r="ED74" s="229">
        <v>0</v>
      </c>
      <c r="EE74" s="228">
        <v>0</v>
      </c>
      <c r="EF74" s="229">
        <v>0</v>
      </c>
      <c r="EG74" s="230">
        <v>332967</v>
      </c>
      <c r="EH74" s="230">
        <v>240400</v>
      </c>
      <c r="EI74" s="229">
        <v>0.3851</v>
      </c>
      <c r="EJ74" s="229">
        <v>0.40949999999999998</v>
      </c>
      <c r="EK74" s="228">
        <v>137.46</v>
      </c>
      <c r="EL74" s="228">
        <v>54.02</v>
      </c>
      <c r="EM74" s="228">
        <v>45.72</v>
      </c>
      <c r="EN74" s="228">
        <v>0</v>
      </c>
      <c r="EO74" s="228">
        <v>237.2</v>
      </c>
      <c r="EP74" s="228">
        <v>170.04</v>
      </c>
      <c r="EQ74" s="228">
        <v>67.16</v>
      </c>
      <c r="ER74" s="229">
        <v>0.39489999999999997</v>
      </c>
      <c r="ES74" s="228">
        <v>198.83</v>
      </c>
      <c r="ET74" s="228">
        <v>97.6</v>
      </c>
      <c r="EU74" s="228">
        <v>468.92</v>
      </c>
      <c r="EV74" s="231">
        <v>29688038</v>
      </c>
      <c r="EW74" s="228">
        <v>765.35</v>
      </c>
      <c r="EX74" s="228">
        <v>774.45</v>
      </c>
      <c r="EY74" s="228">
        <v>-9.1</v>
      </c>
      <c r="EZ74" s="229">
        <v>-1.18E-2</v>
      </c>
      <c r="FA74" s="229">
        <v>0.55379999999999996</v>
      </c>
      <c r="FB74" s="227" t="s">
        <v>556</v>
      </c>
      <c r="FC74">
        <f t="shared" si="1"/>
        <v>0</v>
      </c>
    </row>
    <row r="75" spans="1:159" ht="17.25" thickBot="1" x14ac:dyDescent="0.3">
      <c r="A75" s="226">
        <v>45889</v>
      </c>
      <c r="B75" s="227" t="s">
        <v>157</v>
      </c>
      <c r="C75" s="227" t="s">
        <v>219</v>
      </c>
      <c r="D75" s="228">
        <v>250</v>
      </c>
      <c r="E75" s="228">
        <v>8</v>
      </c>
      <c r="F75" s="231">
        <v>2870.2</v>
      </c>
      <c r="G75" s="231">
        <v>2831</v>
      </c>
      <c r="H75" s="228">
        <v>39.200000000000003</v>
      </c>
      <c r="I75" s="229">
        <v>1.38E-2</v>
      </c>
      <c r="J75" s="231">
        <v>2864.9</v>
      </c>
      <c r="K75" s="231">
        <v>2828.3</v>
      </c>
      <c r="L75" s="228">
        <v>36.6</v>
      </c>
      <c r="M75" s="229">
        <v>1.29E-2</v>
      </c>
      <c r="N75" s="231">
        <v>2870.2</v>
      </c>
      <c r="O75" s="231">
        <v>2831</v>
      </c>
      <c r="P75" s="228">
        <v>39.200000000000003</v>
      </c>
      <c r="Q75" s="229">
        <v>1.38E-2</v>
      </c>
      <c r="R75" s="231">
        <v>2886.4</v>
      </c>
      <c r="S75" s="231">
        <v>2848.1</v>
      </c>
      <c r="T75" s="228">
        <v>38.299999999999997</v>
      </c>
      <c r="U75" s="229">
        <v>1.34E-2</v>
      </c>
      <c r="V75" s="231">
        <v>2901.4</v>
      </c>
      <c r="W75" s="231">
        <v>2864</v>
      </c>
      <c r="X75" s="228">
        <v>37.4</v>
      </c>
      <c r="Y75" s="229">
        <v>1.3100000000000001E-2</v>
      </c>
      <c r="Z75" s="228">
        <v>5.3</v>
      </c>
      <c r="AA75" s="228">
        <v>2.7</v>
      </c>
      <c r="AB75" s="228">
        <v>2.6</v>
      </c>
      <c r="AC75" s="229">
        <v>1.8E-3</v>
      </c>
      <c r="AD75" s="228">
        <v>5.3</v>
      </c>
      <c r="AE75" s="228">
        <v>2.7</v>
      </c>
      <c r="AF75" s="228">
        <v>2.6</v>
      </c>
      <c r="AG75" s="229">
        <v>1.8E-3</v>
      </c>
      <c r="AH75" s="228">
        <v>21.5</v>
      </c>
      <c r="AI75" s="228">
        <v>19.8</v>
      </c>
      <c r="AJ75" s="228">
        <v>1.7</v>
      </c>
      <c r="AK75" s="229">
        <v>7.4999999999999997E-3</v>
      </c>
      <c r="AL75" s="228">
        <v>36.5</v>
      </c>
      <c r="AM75" s="228">
        <v>35.700000000000003</v>
      </c>
      <c r="AN75" s="228">
        <v>0.8</v>
      </c>
      <c r="AO75" s="229">
        <v>1.2699999999999999E-2</v>
      </c>
      <c r="AP75" s="231">
        <v>2851.56</v>
      </c>
      <c r="AQ75" s="231">
        <v>2874.12</v>
      </c>
      <c r="AR75" s="228">
        <v>0</v>
      </c>
      <c r="AS75" s="228">
        <v>472</v>
      </c>
      <c r="AT75" s="228">
        <v>185</v>
      </c>
      <c r="AU75" s="228">
        <v>287</v>
      </c>
      <c r="AV75" s="229">
        <v>1.5536000000000001</v>
      </c>
      <c r="AW75" s="228">
        <v>412</v>
      </c>
      <c r="AX75" s="228">
        <v>162</v>
      </c>
      <c r="AY75" s="228">
        <v>250</v>
      </c>
      <c r="AZ75" s="229">
        <v>1.5445</v>
      </c>
      <c r="BA75" s="228">
        <v>57</v>
      </c>
      <c r="BB75" s="228">
        <v>21</v>
      </c>
      <c r="BC75" s="228">
        <v>36</v>
      </c>
      <c r="BD75" s="229">
        <v>1.6993</v>
      </c>
      <c r="BE75" s="228">
        <v>2</v>
      </c>
      <c r="BF75" s="228">
        <v>2</v>
      </c>
      <c r="BG75" s="228">
        <v>1</v>
      </c>
      <c r="BH75" s="229">
        <v>0.47620000000000001</v>
      </c>
      <c r="BI75" s="230">
        <v>2522</v>
      </c>
      <c r="BJ75" s="230">
        <v>1017</v>
      </c>
      <c r="BK75" s="230">
        <v>1505</v>
      </c>
      <c r="BL75" s="229">
        <v>1.4803999999999999</v>
      </c>
      <c r="BM75" s="228">
        <v>784</v>
      </c>
      <c r="BN75" s="228">
        <v>589</v>
      </c>
      <c r="BO75" s="228">
        <v>195</v>
      </c>
      <c r="BP75" s="229">
        <v>0.33160000000000001</v>
      </c>
      <c r="BQ75" s="230">
        <v>3778</v>
      </c>
      <c r="BR75" s="230">
        <v>1790</v>
      </c>
      <c r="BS75" s="230">
        <v>1988</v>
      </c>
      <c r="BT75" s="229">
        <v>1.1103000000000001</v>
      </c>
      <c r="BU75" s="230">
        <v>938208</v>
      </c>
      <c r="BV75" s="230">
        <v>382639</v>
      </c>
      <c r="BW75" s="230">
        <v>555569</v>
      </c>
      <c r="BX75" s="229">
        <v>1.4519</v>
      </c>
      <c r="BY75" s="230">
        <v>3856</v>
      </c>
      <c r="BZ75" s="230">
        <v>3963</v>
      </c>
      <c r="CA75" s="228">
        <v>-107</v>
      </c>
      <c r="CB75" s="229">
        <v>-2.69E-2</v>
      </c>
      <c r="CC75" s="230">
        <v>3763</v>
      </c>
      <c r="CD75" s="230">
        <v>3899</v>
      </c>
      <c r="CE75" s="228">
        <v>-136</v>
      </c>
      <c r="CF75" s="229">
        <v>-3.49E-2</v>
      </c>
      <c r="CG75" s="228">
        <v>89</v>
      </c>
      <c r="CH75" s="228">
        <v>60</v>
      </c>
      <c r="CI75" s="228">
        <v>29</v>
      </c>
      <c r="CJ75" s="229">
        <v>0.4839</v>
      </c>
      <c r="CK75" s="228">
        <v>4</v>
      </c>
      <c r="CL75" s="228">
        <v>4</v>
      </c>
      <c r="CM75" s="228">
        <v>0</v>
      </c>
      <c r="CN75" s="229">
        <v>0.06</v>
      </c>
      <c r="CO75" s="228">
        <v>596</v>
      </c>
      <c r="CP75" s="228">
        <v>555</v>
      </c>
      <c r="CQ75" s="228">
        <v>41</v>
      </c>
      <c r="CR75" s="229">
        <v>7.4499999999999997E-2</v>
      </c>
      <c r="CS75" s="228">
        <v>432</v>
      </c>
      <c r="CT75" s="228">
        <v>398</v>
      </c>
      <c r="CU75" s="228">
        <v>34</v>
      </c>
      <c r="CV75" s="229">
        <v>8.43E-2</v>
      </c>
      <c r="CW75" s="230">
        <v>4884</v>
      </c>
      <c r="CX75" s="230">
        <v>4916</v>
      </c>
      <c r="CY75" s="228">
        <v>-32</v>
      </c>
      <c r="CZ75" s="229">
        <v>-6.4999999999999997E-3</v>
      </c>
      <c r="DA75" s="228">
        <v>20.95</v>
      </c>
      <c r="DB75" s="228">
        <v>19.059999999999999</v>
      </c>
      <c r="DC75" s="228">
        <v>1.89</v>
      </c>
      <c r="DD75" s="228">
        <v>1.89</v>
      </c>
      <c r="DE75" s="228">
        <v>27.15</v>
      </c>
      <c r="DF75" s="228">
        <v>27.16</v>
      </c>
      <c r="DG75" s="228">
        <v>-6.2</v>
      </c>
      <c r="DH75" s="228">
        <v>-0.01</v>
      </c>
      <c r="DI75" s="228">
        <v>20.91</v>
      </c>
      <c r="DJ75" s="228">
        <v>18.93</v>
      </c>
      <c r="DK75" s="228">
        <v>1.98</v>
      </c>
      <c r="DL75" s="228">
        <v>1.98</v>
      </c>
      <c r="DM75" s="228">
        <v>21.08</v>
      </c>
      <c r="DN75" s="228">
        <v>19.28</v>
      </c>
      <c r="DO75" s="228">
        <v>1.8</v>
      </c>
      <c r="DP75" s="228">
        <v>1.8</v>
      </c>
      <c r="DQ75" s="228">
        <v>0.72</v>
      </c>
      <c r="DR75" s="228">
        <v>0.72</v>
      </c>
      <c r="DS75" s="228">
        <v>0</v>
      </c>
      <c r="DT75" s="229">
        <v>0</v>
      </c>
      <c r="DU75" s="231">
        <v>2900</v>
      </c>
      <c r="DV75" s="231">
        <v>2700</v>
      </c>
      <c r="DW75" s="228">
        <v>0.31</v>
      </c>
      <c r="DX75" s="228">
        <v>0.57999999999999996</v>
      </c>
      <c r="DY75" s="228">
        <v>-0.27</v>
      </c>
      <c r="DZ75" s="229">
        <v>-0.46550000000000002</v>
      </c>
      <c r="EA75" s="229">
        <v>2.41E-2</v>
      </c>
      <c r="EB75" s="230">
        <v>221750</v>
      </c>
      <c r="EC75" s="229">
        <v>5.5999999999999999E-3</v>
      </c>
      <c r="ED75" s="229">
        <v>2.41E-2</v>
      </c>
      <c r="EE75" s="228">
        <v>22.56</v>
      </c>
      <c r="EF75" s="229">
        <v>7.9000000000000008E-3</v>
      </c>
      <c r="EG75" s="230">
        <v>646663</v>
      </c>
      <c r="EH75" s="230">
        <v>169145</v>
      </c>
      <c r="EI75" s="229">
        <v>2.8231000000000002</v>
      </c>
      <c r="EJ75" s="229">
        <v>0.68930000000000002</v>
      </c>
      <c r="EK75" s="231">
        <v>2586.5300000000002</v>
      </c>
      <c r="EL75" s="228">
        <v>765.53</v>
      </c>
      <c r="EM75" s="228">
        <v>469.42</v>
      </c>
      <c r="EN75" s="228">
        <v>0</v>
      </c>
      <c r="EO75" s="231">
        <v>3821.48</v>
      </c>
      <c r="EP75" s="231">
        <v>1782.44</v>
      </c>
      <c r="EQ75" s="231">
        <v>2039.04</v>
      </c>
      <c r="ER75" s="229">
        <v>1.1439999999999999</v>
      </c>
      <c r="ES75" s="228">
        <v>606.03</v>
      </c>
      <c r="ET75" s="228">
        <v>405.32</v>
      </c>
      <c r="EU75" s="231">
        <v>3856.8</v>
      </c>
      <c r="EV75" s="231">
        <v>77028315</v>
      </c>
      <c r="EW75" s="231">
        <v>4868.1499999999996</v>
      </c>
      <c r="EX75" s="231">
        <v>4843.3900000000003</v>
      </c>
      <c r="EY75" s="228">
        <v>24.76</v>
      </c>
      <c r="EZ75" s="229">
        <v>5.1000000000000004E-3</v>
      </c>
      <c r="FA75" s="229">
        <v>0.22090000000000001</v>
      </c>
      <c r="FB75" s="227" t="s">
        <v>556</v>
      </c>
      <c r="FC75">
        <f t="shared" si="1"/>
        <v>93</v>
      </c>
    </row>
    <row r="76" spans="1:159" ht="17.25" thickBot="1" x14ac:dyDescent="0.3">
      <c r="A76" s="226">
        <v>45889</v>
      </c>
      <c r="B76" s="227" t="s">
        <v>184</v>
      </c>
      <c r="C76" s="227" t="s">
        <v>513</v>
      </c>
      <c r="D76" s="228">
        <v>150</v>
      </c>
      <c r="E76" s="228">
        <v>8</v>
      </c>
      <c r="F76" s="231">
        <v>4456</v>
      </c>
      <c r="G76" s="231">
        <v>4443.8999999999996</v>
      </c>
      <c r="H76" s="228">
        <v>12.1</v>
      </c>
      <c r="I76" s="229">
        <v>2.7000000000000001E-3</v>
      </c>
      <c r="J76" s="231">
        <v>4468.3999999999996</v>
      </c>
      <c r="K76" s="231">
        <v>4452.6000000000004</v>
      </c>
      <c r="L76" s="228">
        <v>15.8</v>
      </c>
      <c r="M76" s="229">
        <v>3.5000000000000001E-3</v>
      </c>
      <c r="N76" s="231">
        <v>4456</v>
      </c>
      <c r="O76" s="231">
        <v>4443.8999999999996</v>
      </c>
      <c r="P76" s="228">
        <v>12.1</v>
      </c>
      <c r="Q76" s="229">
        <v>2.7000000000000001E-3</v>
      </c>
      <c r="R76" s="231">
        <v>4481.7</v>
      </c>
      <c r="S76" s="231">
        <v>4469.3</v>
      </c>
      <c r="T76" s="228">
        <v>12.4</v>
      </c>
      <c r="U76" s="229">
        <v>2.8E-3</v>
      </c>
      <c r="V76" s="231">
        <v>4503.3999999999996</v>
      </c>
      <c r="W76" s="231">
        <v>4492.8999999999996</v>
      </c>
      <c r="X76" s="228">
        <v>10.5</v>
      </c>
      <c r="Y76" s="229">
        <v>2.3E-3</v>
      </c>
      <c r="Z76" s="228">
        <v>-12.4</v>
      </c>
      <c r="AA76" s="228">
        <v>-8.6999999999999993</v>
      </c>
      <c r="AB76" s="228">
        <v>-3.7</v>
      </c>
      <c r="AC76" s="229">
        <v>-2.8E-3</v>
      </c>
      <c r="AD76" s="228">
        <v>-12.4</v>
      </c>
      <c r="AE76" s="228">
        <v>-8.6999999999999993</v>
      </c>
      <c r="AF76" s="228">
        <v>-3.7</v>
      </c>
      <c r="AG76" s="229">
        <v>-2.8E-3</v>
      </c>
      <c r="AH76" s="228">
        <v>13.3</v>
      </c>
      <c r="AI76" s="228">
        <v>16.7</v>
      </c>
      <c r="AJ76" s="228">
        <v>-3.4</v>
      </c>
      <c r="AK76" s="229">
        <v>3.0000000000000001E-3</v>
      </c>
      <c r="AL76" s="228">
        <v>35</v>
      </c>
      <c r="AM76" s="228">
        <v>40.299999999999997</v>
      </c>
      <c r="AN76" s="228">
        <v>-5.3</v>
      </c>
      <c r="AO76" s="229">
        <v>7.7999999999999996E-3</v>
      </c>
      <c r="AP76" s="231">
        <v>4507.4399999999996</v>
      </c>
      <c r="AQ76" s="231">
        <v>4531.84</v>
      </c>
      <c r="AR76" s="228">
        <v>0</v>
      </c>
      <c r="AS76" s="230">
        <v>2322</v>
      </c>
      <c r="AT76" s="228">
        <v>840</v>
      </c>
      <c r="AU76" s="230">
        <v>1482</v>
      </c>
      <c r="AV76" s="229">
        <v>1.7642</v>
      </c>
      <c r="AW76" s="230">
        <v>1840</v>
      </c>
      <c r="AX76" s="228">
        <v>639</v>
      </c>
      <c r="AY76" s="230">
        <v>1201</v>
      </c>
      <c r="AZ76" s="229">
        <v>1.8809</v>
      </c>
      <c r="BA76" s="228">
        <v>451</v>
      </c>
      <c r="BB76" s="228">
        <v>179</v>
      </c>
      <c r="BC76" s="228">
        <v>272</v>
      </c>
      <c r="BD76" s="229">
        <v>1.5201</v>
      </c>
      <c r="BE76" s="228">
        <v>31</v>
      </c>
      <c r="BF76" s="228">
        <v>22</v>
      </c>
      <c r="BG76" s="228">
        <v>8</v>
      </c>
      <c r="BH76" s="229">
        <v>0.38140000000000002</v>
      </c>
      <c r="BI76" s="230">
        <v>17368</v>
      </c>
      <c r="BJ76" s="230">
        <v>4795</v>
      </c>
      <c r="BK76" s="230">
        <v>12574</v>
      </c>
      <c r="BL76" s="229">
        <v>2.6225000000000001</v>
      </c>
      <c r="BM76" s="230">
        <v>6552</v>
      </c>
      <c r="BN76" s="230">
        <v>2291</v>
      </c>
      <c r="BO76" s="230">
        <v>4261</v>
      </c>
      <c r="BP76" s="229">
        <v>1.8597999999999999</v>
      </c>
      <c r="BQ76" s="230">
        <v>26242</v>
      </c>
      <c r="BR76" s="230">
        <v>7926</v>
      </c>
      <c r="BS76" s="230">
        <v>18316</v>
      </c>
      <c r="BT76" s="229">
        <v>2.3109999999999999</v>
      </c>
      <c r="BU76" s="230">
        <v>3337035</v>
      </c>
      <c r="BV76" s="230">
        <v>1315255</v>
      </c>
      <c r="BW76" s="230">
        <v>2021780</v>
      </c>
      <c r="BX76" s="229">
        <v>1.5371999999999999</v>
      </c>
      <c r="BY76" s="230">
        <v>5033</v>
      </c>
      <c r="BZ76" s="230">
        <v>4661</v>
      </c>
      <c r="CA76" s="228">
        <v>372</v>
      </c>
      <c r="CB76" s="229">
        <v>7.9799999999999996E-2</v>
      </c>
      <c r="CC76" s="230">
        <v>4312</v>
      </c>
      <c r="CD76" s="230">
        <v>4211</v>
      </c>
      <c r="CE76" s="228">
        <v>102</v>
      </c>
      <c r="CF76" s="229">
        <v>2.41E-2</v>
      </c>
      <c r="CG76" s="228">
        <v>660</v>
      </c>
      <c r="CH76" s="228">
        <v>403</v>
      </c>
      <c r="CI76" s="228">
        <v>257</v>
      </c>
      <c r="CJ76" s="229">
        <v>0.63759999999999994</v>
      </c>
      <c r="CK76" s="228">
        <v>62</v>
      </c>
      <c r="CL76" s="228">
        <v>48</v>
      </c>
      <c r="CM76" s="228">
        <v>14</v>
      </c>
      <c r="CN76" s="229">
        <v>0.28589999999999999</v>
      </c>
      <c r="CO76" s="230">
        <v>4203</v>
      </c>
      <c r="CP76" s="230">
        <v>2654</v>
      </c>
      <c r="CQ76" s="230">
        <v>1549</v>
      </c>
      <c r="CR76" s="229">
        <v>0.58379999999999999</v>
      </c>
      <c r="CS76" s="230">
        <v>2102</v>
      </c>
      <c r="CT76" s="230">
        <v>1477</v>
      </c>
      <c r="CU76" s="228">
        <v>625</v>
      </c>
      <c r="CV76" s="229">
        <v>0.42359999999999998</v>
      </c>
      <c r="CW76" s="230">
        <v>11339</v>
      </c>
      <c r="CX76" s="230">
        <v>8792</v>
      </c>
      <c r="CY76" s="230">
        <v>2547</v>
      </c>
      <c r="CZ76" s="229">
        <v>0.28970000000000001</v>
      </c>
      <c r="DA76" s="228">
        <v>37.450000000000003</v>
      </c>
      <c r="DB76" s="228">
        <v>32.82</v>
      </c>
      <c r="DC76" s="228">
        <v>4.63</v>
      </c>
      <c r="DD76" s="228">
        <v>4.63</v>
      </c>
      <c r="DE76" s="228">
        <v>42.61</v>
      </c>
      <c r="DF76" s="228">
        <v>42.72</v>
      </c>
      <c r="DG76" s="228">
        <v>-5.16</v>
      </c>
      <c r="DH76" s="228">
        <v>-0.11</v>
      </c>
      <c r="DI76" s="228">
        <v>38.06</v>
      </c>
      <c r="DJ76" s="228">
        <v>33.1</v>
      </c>
      <c r="DK76" s="228">
        <v>4.96</v>
      </c>
      <c r="DL76" s="228">
        <v>4.96</v>
      </c>
      <c r="DM76" s="228">
        <v>35.83</v>
      </c>
      <c r="DN76" s="228">
        <v>32.25</v>
      </c>
      <c r="DO76" s="228">
        <v>3.58</v>
      </c>
      <c r="DP76" s="228">
        <v>3.58</v>
      </c>
      <c r="DQ76" s="228">
        <v>0.5</v>
      </c>
      <c r="DR76" s="228">
        <v>0.56000000000000005</v>
      </c>
      <c r="DS76" s="228">
        <v>-0.06</v>
      </c>
      <c r="DT76" s="229">
        <v>-0.1071</v>
      </c>
      <c r="DU76" s="231">
        <v>4600</v>
      </c>
      <c r="DV76" s="231">
        <v>4500</v>
      </c>
      <c r="DW76" s="228">
        <v>0.38</v>
      </c>
      <c r="DX76" s="228">
        <v>0.48</v>
      </c>
      <c r="DY76" s="228">
        <v>-0.1</v>
      </c>
      <c r="DZ76" s="229">
        <v>-0.20830000000000001</v>
      </c>
      <c r="EA76" s="229">
        <v>0.14330000000000001</v>
      </c>
      <c r="EB76" s="230">
        <v>1011600</v>
      </c>
      <c r="EC76" s="229">
        <v>5.7999999999999996E-3</v>
      </c>
      <c r="ED76" s="229">
        <v>0.14330000000000001</v>
      </c>
      <c r="EE76" s="228">
        <v>24.4</v>
      </c>
      <c r="EF76" s="229">
        <v>5.4000000000000003E-3</v>
      </c>
      <c r="EG76" s="230">
        <v>998260</v>
      </c>
      <c r="EH76" s="230">
        <v>552254</v>
      </c>
      <c r="EI76" s="229">
        <v>0.80759999999999998</v>
      </c>
      <c r="EJ76" s="229">
        <v>0.29909999999999998</v>
      </c>
      <c r="EK76" s="231">
        <v>18522.990000000002</v>
      </c>
      <c r="EL76" s="231">
        <v>6471.53</v>
      </c>
      <c r="EM76" s="231">
        <v>2351.64</v>
      </c>
      <c r="EN76" s="228">
        <v>0</v>
      </c>
      <c r="EO76" s="231">
        <v>27346.16</v>
      </c>
      <c r="EP76" s="231">
        <v>8160.15</v>
      </c>
      <c r="EQ76" s="231">
        <v>19186.009999999998</v>
      </c>
      <c r="ER76" s="229">
        <v>2.3512</v>
      </c>
      <c r="ES76" s="231">
        <v>4456.9799999999996</v>
      </c>
      <c r="ET76" s="231">
        <v>2074.62</v>
      </c>
      <c r="EU76" s="231">
        <v>5037.91</v>
      </c>
      <c r="EV76" s="231">
        <v>37934515</v>
      </c>
      <c r="EW76" s="231">
        <v>11569.52</v>
      </c>
      <c r="EX76" s="231">
        <v>8950.69</v>
      </c>
      <c r="EY76" s="231">
        <v>2618.83</v>
      </c>
      <c r="EZ76" s="229">
        <v>0.29260000000000003</v>
      </c>
      <c r="FA76" s="229">
        <v>0.67079999999999995</v>
      </c>
      <c r="FB76" s="227" t="s">
        <v>555</v>
      </c>
      <c r="FC76">
        <f t="shared" si="1"/>
        <v>721</v>
      </c>
    </row>
    <row r="77" spans="1:159" ht="17.25" thickBot="1" x14ac:dyDescent="0.3">
      <c r="A77" s="226">
        <v>45889</v>
      </c>
      <c r="B77" s="227" t="s">
        <v>184</v>
      </c>
      <c r="C77" s="227" t="s">
        <v>220</v>
      </c>
      <c r="D77" s="228">
        <v>500</v>
      </c>
      <c r="E77" s="228">
        <v>8</v>
      </c>
      <c r="F77" s="231">
        <v>1565.6</v>
      </c>
      <c r="G77" s="231">
        <v>1570.2</v>
      </c>
      <c r="H77" s="228">
        <v>-4.5999999999999996</v>
      </c>
      <c r="I77" s="229">
        <v>-2.8999999999999998E-3</v>
      </c>
      <c r="J77" s="231">
        <v>1567.9</v>
      </c>
      <c r="K77" s="231">
        <v>1570</v>
      </c>
      <c r="L77" s="228">
        <v>-2.1</v>
      </c>
      <c r="M77" s="229">
        <v>-1.2999999999999999E-3</v>
      </c>
      <c r="N77" s="231">
        <v>1565.6</v>
      </c>
      <c r="O77" s="231">
        <v>1570.2</v>
      </c>
      <c r="P77" s="228">
        <v>-4.5999999999999996</v>
      </c>
      <c r="Q77" s="229">
        <v>-2.8999999999999998E-3</v>
      </c>
      <c r="R77" s="231">
        <v>1566.2</v>
      </c>
      <c r="S77" s="231">
        <v>1570.8</v>
      </c>
      <c r="T77" s="228">
        <v>-4.5999999999999996</v>
      </c>
      <c r="U77" s="229">
        <v>-2.8999999999999998E-3</v>
      </c>
      <c r="V77" s="231">
        <v>1572.1</v>
      </c>
      <c r="W77" s="231">
        <v>1573</v>
      </c>
      <c r="X77" s="228">
        <v>-0.9</v>
      </c>
      <c r="Y77" s="229">
        <v>-5.9999999999999995E-4</v>
      </c>
      <c r="Z77" s="228">
        <v>-2.2999999999999998</v>
      </c>
      <c r="AA77" s="228">
        <v>0.2</v>
      </c>
      <c r="AB77" s="228">
        <v>-2.5</v>
      </c>
      <c r="AC77" s="229">
        <v>-1.5E-3</v>
      </c>
      <c r="AD77" s="228">
        <v>-2.2999999999999998</v>
      </c>
      <c r="AE77" s="228">
        <v>0.2</v>
      </c>
      <c r="AF77" s="228">
        <v>-2.5</v>
      </c>
      <c r="AG77" s="229">
        <v>-1.5E-3</v>
      </c>
      <c r="AH77" s="228">
        <v>-1.7</v>
      </c>
      <c r="AI77" s="228">
        <v>0.8</v>
      </c>
      <c r="AJ77" s="228">
        <v>-2.5</v>
      </c>
      <c r="AK77" s="229">
        <v>-1.1000000000000001E-3</v>
      </c>
      <c r="AL77" s="228">
        <v>4.2</v>
      </c>
      <c r="AM77" s="228">
        <v>3</v>
      </c>
      <c r="AN77" s="228">
        <v>1.2</v>
      </c>
      <c r="AO77" s="229">
        <v>2.7000000000000001E-3</v>
      </c>
      <c r="AP77" s="231">
        <v>1565.92</v>
      </c>
      <c r="AQ77" s="231">
        <v>1566.9</v>
      </c>
      <c r="AR77" s="228">
        <v>0</v>
      </c>
      <c r="AS77" s="228">
        <v>219</v>
      </c>
      <c r="AT77" s="228">
        <v>301</v>
      </c>
      <c r="AU77" s="228">
        <v>-82</v>
      </c>
      <c r="AV77" s="229">
        <v>-0.27279999999999999</v>
      </c>
      <c r="AW77" s="228">
        <v>168</v>
      </c>
      <c r="AX77" s="228">
        <v>243</v>
      </c>
      <c r="AY77" s="228">
        <v>-76</v>
      </c>
      <c r="AZ77" s="229">
        <v>-0.31190000000000001</v>
      </c>
      <c r="BA77" s="228">
        <v>50</v>
      </c>
      <c r="BB77" s="228">
        <v>56</v>
      </c>
      <c r="BC77" s="228">
        <v>-5</v>
      </c>
      <c r="BD77" s="229">
        <v>-9.8199999999999996E-2</v>
      </c>
      <c r="BE77" s="228">
        <v>1</v>
      </c>
      <c r="BF77" s="228">
        <v>1</v>
      </c>
      <c r="BG77" s="228">
        <v>-1</v>
      </c>
      <c r="BH77" s="229">
        <v>-0.44440000000000002</v>
      </c>
      <c r="BI77" s="228">
        <v>347</v>
      </c>
      <c r="BJ77" s="228">
        <v>519</v>
      </c>
      <c r="BK77" s="228">
        <v>-172</v>
      </c>
      <c r="BL77" s="229">
        <v>-0.33090000000000003</v>
      </c>
      <c r="BM77" s="228">
        <v>291</v>
      </c>
      <c r="BN77" s="228">
        <v>464</v>
      </c>
      <c r="BO77" s="228">
        <v>-173</v>
      </c>
      <c r="BP77" s="229">
        <v>-0.37380000000000002</v>
      </c>
      <c r="BQ77" s="228">
        <v>857</v>
      </c>
      <c r="BR77" s="230">
        <v>1284</v>
      </c>
      <c r="BS77" s="228">
        <v>-427</v>
      </c>
      <c r="BT77" s="229">
        <v>-0.33279999999999998</v>
      </c>
      <c r="BU77" s="230">
        <v>662972</v>
      </c>
      <c r="BV77" s="230">
        <v>622619</v>
      </c>
      <c r="BW77" s="230">
        <v>40353</v>
      </c>
      <c r="BX77" s="229">
        <v>6.4799999999999996E-2</v>
      </c>
      <c r="BY77" s="230">
        <v>1589</v>
      </c>
      <c r="BZ77" s="230">
        <v>1563</v>
      </c>
      <c r="CA77" s="228">
        <v>26</v>
      </c>
      <c r="CB77" s="229">
        <v>1.6299999999999999E-2</v>
      </c>
      <c r="CC77" s="230">
        <v>1444</v>
      </c>
      <c r="CD77" s="230">
        <v>1454</v>
      </c>
      <c r="CE77" s="228">
        <v>-10</v>
      </c>
      <c r="CF77" s="229">
        <v>-7.1000000000000004E-3</v>
      </c>
      <c r="CG77" s="228">
        <v>141</v>
      </c>
      <c r="CH77" s="228">
        <v>106</v>
      </c>
      <c r="CI77" s="228">
        <v>35</v>
      </c>
      <c r="CJ77" s="229">
        <v>0.33460000000000001</v>
      </c>
      <c r="CK77" s="228">
        <v>3</v>
      </c>
      <c r="CL77" s="228">
        <v>3</v>
      </c>
      <c r="CM77" s="228">
        <v>0</v>
      </c>
      <c r="CN77" s="229">
        <v>0.12820000000000001</v>
      </c>
      <c r="CO77" s="228">
        <v>322</v>
      </c>
      <c r="CP77" s="228">
        <v>330</v>
      </c>
      <c r="CQ77" s="228">
        <v>-7</v>
      </c>
      <c r="CR77" s="229">
        <v>-2.2100000000000002E-2</v>
      </c>
      <c r="CS77" s="228">
        <v>282</v>
      </c>
      <c r="CT77" s="228">
        <v>289</v>
      </c>
      <c r="CU77" s="228">
        <v>-7</v>
      </c>
      <c r="CV77" s="229">
        <v>-2.3599999999999999E-2</v>
      </c>
      <c r="CW77" s="230">
        <v>2193</v>
      </c>
      <c r="CX77" s="230">
        <v>2182</v>
      </c>
      <c r="CY77" s="228">
        <v>11</v>
      </c>
      <c r="CZ77" s="229">
        <v>5.1999999999999998E-3</v>
      </c>
      <c r="DA77" s="228">
        <v>22.44</v>
      </c>
      <c r="DB77" s="228">
        <v>22.92</v>
      </c>
      <c r="DC77" s="228">
        <v>-0.48</v>
      </c>
      <c r="DD77" s="228">
        <v>-0.48</v>
      </c>
      <c r="DE77" s="228">
        <v>29.97</v>
      </c>
      <c r="DF77" s="228">
        <v>30.04</v>
      </c>
      <c r="DG77" s="228">
        <v>-7.53</v>
      </c>
      <c r="DH77" s="228">
        <v>-7.0000000000000007E-2</v>
      </c>
      <c r="DI77" s="228">
        <v>21.9</v>
      </c>
      <c r="DJ77" s="228">
        <v>21.71</v>
      </c>
      <c r="DK77" s="228">
        <v>0.19</v>
      </c>
      <c r="DL77" s="228">
        <v>0.19</v>
      </c>
      <c r="DM77" s="228">
        <v>23.09</v>
      </c>
      <c r="DN77" s="228">
        <v>24.29</v>
      </c>
      <c r="DO77" s="228">
        <v>-1.2</v>
      </c>
      <c r="DP77" s="228">
        <v>-1.2</v>
      </c>
      <c r="DQ77" s="228">
        <v>0.87</v>
      </c>
      <c r="DR77" s="228">
        <v>0.88</v>
      </c>
      <c r="DS77" s="228">
        <v>-0.01</v>
      </c>
      <c r="DT77" s="229">
        <v>-1.14E-2</v>
      </c>
      <c r="DU77" s="231">
        <v>1600</v>
      </c>
      <c r="DV77" s="231">
        <v>1520</v>
      </c>
      <c r="DW77" s="228">
        <v>0.84</v>
      </c>
      <c r="DX77" s="228">
        <v>0.89</v>
      </c>
      <c r="DY77" s="228">
        <v>-0.05</v>
      </c>
      <c r="DZ77" s="229">
        <v>-5.62E-2</v>
      </c>
      <c r="EA77" s="229">
        <v>9.1200000000000003E-2</v>
      </c>
      <c r="EB77" s="230">
        <v>696500</v>
      </c>
      <c r="EC77" s="229">
        <v>4.0000000000000002E-4</v>
      </c>
      <c r="ED77" s="229">
        <v>9.1200000000000003E-2</v>
      </c>
      <c r="EE77" s="228">
        <v>0.98</v>
      </c>
      <c r="EF77" s="229">
        <v>5.9999999999999995E-4</v>
      </c>
      <c r="EG77" s="230">
        <v>390804</v>
      </c>
      <c r="EH77" s="230">
        <v>273473</v>
      </c>
      <c r="EI77" s="229">
        <v>0.42899999999999999</v>
      </c>
      <c r="EJ77" s="229">
        <v>0.58950000000000002</v>
      </c>
      <c r="EK77" s="228">
        <v>356.7</v>
      </c>
      <c r="EL77" s="228">
        <v>280.04000000000002</v>
      </c>
      <c r="EM77" s="228">
        <v>218.71</v>
      </c>
      <c r="EN77" s="228">
        <v>0</v>
      </c>
      <c r="EO77" s="228">
        <v>855.45</v>
      </c>
      <c r="EP77" s="231">
        <v>1276.97</v>
      </c>
      <c r="EQ77" s="228">
        <v>-421.52</v>
      </c>
      <c r="ER77" s="229">
        <v>-0.3301</v>
      </c>
      <c r="ES77" s="228">
        <v>327.08999999999997</v>
      </c>
      <c r="ET77" s="228">
        <v>269.27</v>
      </c>
      <c r="EU77" s="231">
        <v>1588.92</v>
      </c>
      <c r="EV77" s="231">
        <v>50845022</v>
      </c>
      <c r="EW77" s="231">
        <v>2185.2800000000002</v>
      </c>
      <c r="EX77" s="231">
        <v>2178.1799999999998</v>
      </c>
      <c r="EY77" s="228">
        <v>7.1</v>
      </c>
      <c r="EZ77" s="229">
        <v>3.3E-3</v>
      </c>
      <c r="FA77" s="229">
        <v>0.27550000000000002</v>
      </c>
      <c r="FB77" s="227" t="s">
        <v>567</v>
      </c>
      <c r="FC77">
        <f t="shared" si="1"/>
        <v>145</v>
      </c>
    </row>
    <row r="78" spans="1:159" ht="17.25" thickBot="1" x14ac:dyDescent="0.3">
      <c r="A78" s="226">
        <v>45889</v>
      </c>
      <c r="B78" s="227" t="s">
        <v>221</v>
      </c>
      <c r="C78" s="227" t="s">
        <v>222</v>
      </c>
      <c r="D78" s="228">
        <v>350</v>
      </c>
      <c r="E78" s="228">
        <v>8</v>
      </c>
      <c r="F78" s="231">
        <v>1499.2</v>
      </c>
      <c r="G78" s="231">
        <v>1481.4</v>
      </c>
      <c r="H78" s="228">
        <v>17.8</v>
      </c>
      <c r="I78" s="229">
        <v>1.2E-2</v>
      </c>
      <c r="J78" s="231">
        <v>1496</v>
      </c>
      <c r="K78" s="231">
        <v>1476.1</v>
      </c>
      <c r="L78" s="228">
        <v>19.899999999999999</v>
      </c>
      <c r="M78" s="229">
        <v>1.35E-2</v>
      </c>
      <c r="N78" s="231">
        <v>1499.2</v>
      </c>
      <c r="O78" s="231">
        <v>1481.4</v>
      </c>
      <c r="P78" s="228">
        <v>17.8</v>
      </c>
      <c r="Q78" s="229">
        <v>1.2E-2</v>
      </c>
      <c r="R78" s="231">
        <v>1507.4</v>
      </c>
      <c r="S78" s="231">
        <v>1490.4</v>
      </c>
      <c r="T78" s="228">
        <v>17</v>
      </c>
      <c r="U78" s="229">
        <v>1.14E-2</v>
      </c>
      <c r="V78" s="231">
        <v>1502.6</v>
      </c>
      <c r="W78" s="231">
        <v>1487.8</v>
      </c>
      <c r="X78" s="228">
        <v>14.8</v>
      </c>
      <c r="Y78" s="229">
        <v>9.9000000000000008E-3</v>
      </c>
      <c r="Z78" s="228">
        <v>3.2</v>
      </c>
      <c r="AA78" s="228">
        <v>5.3</v>
      </c>
      <c r="AB78" s="228">
        <v>-2.1</v>
      </c>
      <c r="AC78" s="229">
        <v>2.0999999999999999E-3</v>
      </c>
      <c r="AD78" s="228">
        <v>3.2</v>
      </c>
      <c r="AE78" s="228">
        <v>5.3</v>
      </c>
      <c r="AF78" s="228">
        <v>-2.1</v>
      </c>
      <c r="AG78" s="229">
        <v>2.0999999999999999E-3</v>
      </c>
      <c r="AH78" s="228">
        <v>11.4</v>
      </c>
      <c r="AI78" s="228">
        <v>14.3</v>
      </c>
      <c r="AJ78" s="228">
        <v>-2.9</v>
      </c>
      <c r="AK78" s="229">
        <v>7.6E-3</v>
      </c>
      <c r="AL78" s="228">
        <v>6.6</v>
      </c>
      <c r="AM78" s="228">
        <v>11.7</v>
      </c>
      <c r="AN78" s="228">
        <v>-5.0999999999999996</v>
      </c>
      <c r="AO78" s="229">
        <v>4.4000000000000003E-3</v>
      </c>
      <c r="AP78" s="231">
        <v>1484.33</v>
      </c>
      <c r="AQ78" s="231">
        <v>1492.66</v>
      </c>
      <c r="AR78" s="228">
        <v>0</v>
      </c>
      <c r="AS78" s="230">
        <v>1554</v>
      </c>
      <c r="AT78" s="228">
        <v>402</v>
      </c>
      <c r="AU78" s="230">
        <v>1152</v>
      </c>
      <c r="AV78" s="229">
        <v>2.8690000000000002</v>
      </c>
      <c r="AW78" s="230">
        <v>1087</v>
      </c>
      <c r="AX78" s="228">
        <v>341</v>
      </c>
      <c r="AY78" s="228">
        <v>745</v>
      </c>
      <c r="AZ78" s="229">
        <v>2.1833999999999998</v>
      </c>
      <c r="BA78" s="228">
        <v>445</v>
      </c>
      <c r="BB78" s="228">
        <v>51</v>
      </c>
      <c r="BC78" s="228">
        <v>394</v>
      </c>
      <c r="BD78" s="229">
        <v>7.7133000000000003</v>
      </c>
      <c r="BE78" s="228">
        <v>22</v>
      </c>
      <c r="BF78" s="228">
        <v>9</v>
      </c>
      <c r="BG78" s="228">
        <v>13</v>
      </c>
      <c r="BH78" s="229">
        <v>1.4229000000000001</v>
      </c>
      <c r="BI78" s="230">
        <v>4515</v>
      </c>
      <c r="BJ78" s="230">
        <v>1390</v>
      </c>
      <c r="BK78" s="230">
        <v>3125</v>
      </c>
      <c r="BL78" s="229">
        <v>2.2482000000000002</v>
      </c>
      <c r="BM78" s="230">
        <v>1601</v>
      </c>
      <c r="BN78" s="228">
        <v>662</v>
      </c>
      <c r="BO78" s="228">
        <v>939</v>
      </c>
      <c r="BP78" s="229">
        <v>1.4195</v>
      </c>
      <c r="BQ78" s="230">
        <v>7669</v>
      </c>
      <c r="BR78" s="230">
        <v>2453</v>
      </c>
      <c r="BS78" s="230">
        <v>5216</v>
      </c>
      <c r="BT78" s="229">
        <v>2.1263000000000001</v>
      </c>
      <c r="BU78" s="230">
        <v>10577486</v>
      </c>
      <c r="BV78" s="230">
        <v>2568321</v>
      </c>
      <c r="BW78" s="230">
        <v>8009165</v>
      </c>
      <c r="BX78" s="229">
        <v>3.1183999999999998</v>
      </c>
      <c r="BY78" s="230">
        <v>3045</v>
      </c>
      <c r="BZ78" s="230">
        <v>2700</v>
      </c>
      <c r="CA78" s="228">
        <v>344</v>
      </c>
      <c r="CB78" s="229">
        <v>0.1275</v>
      </c>
      <c r="CC78" s="230">
        <v>2535</v>
      </c>
      <c r="CD78" s="230">
        <v>2489</v>
      </c>
      <c r="CE78" s="228">
        <v>46</v>
      </c>
      <c r="CF78" s="229">
        <v>1.83E-2</v>
      </c>
      <c r="CG78" s="228">
        <v>480</v>
      </c>
      <c r="CH78" s="228">
        <v>191</v>
      </c>
      <c r="CI78" s="228">
        <v>289</v>
      </c>
      <c r="CJ78" s="229">
        <v>1.5144</v>
      </c>
      <c r="CK78" s="228">
        <v>30</v>
      </c>
      <c r="CL78" s="228">
        <v>20</v>
      </c>
      <c r="CM78" s="228">
        <v>9</v>
      </c>
      <c r="CN78" s="229">
        <v>0.45879999999999999</v>
      </c>
      <c r="CO78" s="230">
        <v>1310</v>
      </c>
      <c r="CP78" s="230">
        <v>1207</v>
      </c>
      <c r="CQ78" s="228">
        <v>104</v>
      </c>
      <c r="CR78" s="229">
        <v>8.6199999999999999E-2</v>
      </c>
      <c r="CS78" s="228">
        <v>836</v>
      </c>
      <c r="CT78" s="228">
        <v>776</v>
      </c>
      <c r="CU78" s="228">
        <v>60</v>
      </c>
      <c r="CV78" s="229">
        <v>7.7700000000000005E-2</v>
      </c>
      <c r="CW78" s="230">
        <v>5192</v>
      </c>
      <c r="CX78" s="230">
        <v>4683</v>
      </c>
      <c r="CY78" s="228">
        <v>509</v>
      </c>
      <c r="CZ78" s="229">
        <v>0.1086</v>
      </c>
      <c r="DA78" s="228">
        <v>23.3</v>
      </c>
      <c r="DB78" s="228">
        <v>22.69</v>
      </c>
      <c r="DC78" s="228">
        <v>0.61</v>
      </c>
      <c r="DD78" s="228">
        <v>0.61</v>
      </c>
      <c r="DE78" s="228">
        <v>29.79</v>
      </c>
      <c r="DF78" s="228">
        <v>29.81</v>
      </c>
      <c r="DG78" s="228">
        <v>-6.49</v>
      </c>
      <c r="DH78" s="228">
        <v>-0.02</v>
      </c>
      <c r="DI78" s="228">
        <v>22.92</v>
      </c>
      <c r="DJ78" s="228">
        <v>22.5</v>
      </c>
      <c r="DK78" s="228">
        <v>0.42</v>
      </c>
      <c r="DL78" s="228">
        <v>0.42</v>
      </c>
      <c r="DM78" s="228">
        <v>24.39</v>
      </c>
      <c r="DN78" s="228">
        <v>23.07</v>
      </c>
      <c r="DO78" s="228">
        <v>1.32</v>
      </c>
      <c r="DP78" s="228">
        <v>1.32</v>
      </c>
      <c r="DQ78" s="228">
        <v>0.64</v>
      </c>
      <c r="DR78" s="228">
        <v>0.64</v>
      </c>
      <c r="DS78" s="228">
        <v>0</v>
      </c>
      <c r="DT78" s="229">
        <v>0</v>
      </c>
      <c r="DU78" s="231">
        <v>1500</v>
      </c>
      <c r="DV78" s="231">
        <v>1500</v>
      </c>
      <c r="DW78" s="228">
        <v>0.35</v>
      </c>
      <c r="DX78" s="228">
        <v>0.48</v>
      </c>
      <c r="DY78" s="228">
        <v>-0.13</v>
      </c>
      <c r="DZ78" s="229">
        <v>-0.27079999999999999</v>
      </c>
      <c r="EA78" s="229">
        <v>0.16750000000000001</v>
      </c>
      <c r="EB78" s="230">
        <v>1410150</v>
      </c>
      <c r="EC78" s="229">
        <v>5.4999999999999997E-3</v>
      </c>
      <c r="ED78" s="229">
        <v>0.16750000000000001</v>
      </c>
      <c r="EE78" s="228">
        <v>8.33</v>
      </c>
      <c r="EF78" s="229">
        <v>5.5999999999999999E-3</v>
      </c>
      <c r="EG78" s="230">
        <v>7678814</v>
      </c>
      <c r="EH78" s="230">
        <v>1649494</v>
      </c>
      <c r="EI78" s="229">
        <v>3.6553</v>
      </c>
      <c r="EJ78" s="229">
        <v>0.72599999999999998</v>
      </c>
      <c r="EK78" s="231">
        <v>4589.67</v>
      </c>
      <c r="EL78" s="231">
        <v>1576.21</v>
      </c>
      <c r="EM78" s="231">
        <v>1540.96</v>
      </c>
      <c r="EN78" s="228">
        <v>0</v>
      </c>
      <c r="EO78" s="231">
        <v>7706.84</v>
      </c>
      <c r="EP78" s="231">
        <v>2463.96</v>
      </c>
      <c r="EQ78" s="231">
        <v>5242.88</v>
      </c>
      <c r="ER78" s="229">
        <v>2.1278000000000001</v>
      </c>
      <c r="ES78" s="231">
        <v>1351.56</v>
      </c>
      <c r="ET78" s="228">
        <v>807.7</v>
      </c>
      <c r="EU78" s="231">
        <v>3047.49</v>
      </c>
      <c r="EV78" s="231">
        <v>211800872</v>
      </c>
      <c r="EW78" s="231">
        <v>5206.75</v>
      </c>
      <c r="EX78" s="231">
        <v>4667.3999999999996</v>
      </c>
      <c r="EY78" s="228">
        <v>539.35</v>
      </c>
      <c r="EZ78" s="229">
        <v>0.11559999999999999</v>
      </c>
      <c r="FA78" s="229">
        <v>0.16350000000000001</v>
      </c>
      <c r="FB78" s="227" t="s">
        <v>555</v>
      </c>
      <c r="FC78">
        <f t="shared" si="1"/>
        <v>510</v>
      </c>
    </row>
    <row r="79" spans="1:159" ht="17.25" thickBot="1" x14ac:dyDescent="0.3">
      <c r="A79" s="226">
        <v>45889</v>
      </c>
      <c r="B79" s="227" t="s">
        <v>175</v>
      </c>
      <c r="C79" s="227" t="s">
        <v>475</v>
      </c>
      <c r="D79" s="228">
        <v>150</v>
      </c>
      <c r="E79" s="228">
        <v>8</v>
      </c>
      <c r="F79" s="231">
        <v>5707</v>
      </c>
      <c r="G79" s="231">
        <v>5724.5</v>
      </c>
      <c r="H79" s="228">
        <v>-17.5</v>
      </c>
      <c r="I79" s="229">
        <v>-3.0999999999999999E-3</v>
      </c>
      <c r="J79" s="231">
        <v>5709.5</v>
      </c>
      <c r="K79" s="231">
        <v>5719</v>
      </c>
      <c r="L79" s="228">
        <v>-9.5</v>
      </c>
      <c r="M79" s="229">
        <v>-1.6999999999999999E-3</v>
      </c>
      <c r="N79" s="231">
        <v>5707</v>
      </c>
      <c r="O79" s="231">
        <v>5724.5</v>
      </c>
      <c r="P79" s="228">
        <v>-17.5</v>
      </c>
      <c r="Q79" s="229">
        <v>-3.0999999999999999E-3</v>
      </c>
      <c r="R79" s="231">
        <v>5721</v>
      </c>
      <c r="S79" s="231">
        <v>5743.5</v>
      </c>
      <c r="T79" s="228">
        <v>-22.5</v>
      </c>
      <c r="U79" s="229">
        <v>-3.8999999999999998E-3</v>
      </c>
      <c r="V79" s="231">
        <v>5724</v>
      </c>
      <c r="W79" s="231">
        <v>5745.5</v>
      </c>
      <c r="X79" s="228">
        <v>-21.5</v>
      </c>
      <c r="Y79" s="229">
        <v>-3.7000000000000002E-3</v>
      </c>
      <c r="Z79" s="228">
        <v>-2.5</v>
      </c>
      <c r="AA79" s="228">
        <v>5.5</v>
      </c>
      <c r="AB79" s="228">
        <v>-8</v>
      </c>
      <c r="AC79" s="229">
        <v>-4.0000000000000002E-4</v>
      </c>
      <c r="AD79" s="228">
        <v>-2.5</v>
      </c>
      <c r="AE79" s="228">
        <v>5.5</v>
      </c>
      <c r="AF79" s="228">
        <v>-8</v>
      </c>
      <c r="AG79" s="229">
        <v>-4.0000000000000002E-4</v>
      </c>
      <c r="AH79" s="228">
        <v>11.5</v>
      </c>
      <c r="AI79" s="228">
        <v>24.5</v>
      </c>
      <c r="AJ79" s="228">
        <v>-13</v>
      </c>
      <c r="AK79" s="229">
        <v>2E-3</v>
      </c>
      <c r="AL79" s="228">
        <v>14.5</v>
      </c>
      <c r="AM79" s="228">
        <v>26.5</v>
      </c>
      <c r="AN79" s="228">
        <v>-12</v>
      </c>
      <c r="AO79" s="229">
        <v>2.5000000000000001E-3</v>
      </c>
      <c r="AP79" s="231">
        <v>5684.56</v>
      </c>
      <c r="AQ79" s="231">
        <v>5696.9</v>
      </c>
      <c r="AR79" s="228">
        <v>0</v>
      </c>
      <c r="AS79" s="228">
        <v>256</v>
      </c>
      <c r="AT79" s="228">
        <v>274</v>
      </c>
      <c r="AU79" s="228">
        <v>-17</v>
      </c>
      <c r="AV79" s="229">
        <v>-6.3200000000000006E-2</v>
      </c>
      <c r="AW79" s="228">
        <v>213</v>
      </c>
      <c r="AX79" s="228">
        <v>232</v>
      </c>
      <c r="AY79" s="228">
        <v>-19</v>
      </c>
      <c r="AZ79" s="229">
        <v>-8.3299999999999999E-2</v>
      </c>
      <c r="BA79" s="228">
        <v>42</v>
      </c>
      <c r="BB79" s="228">
        <v>40</v>
      </c>
      <c r="BC79" s="228">
        <v>2</v>
      </c>
      <c r="BD79" s="229">
        <v>5.3999999999999999E-2</v>
      </c>
      <c r="BE79" s="228">
        <v>2</v>
      </c>
      <c r="BF79" s="228">
        <v>2</v>
      </c>
      <c r="BG79" s="228">
        <v>0</v>
      </c>
      <c r="BH79" s="229">
        <v>-4.7600000000000003E-2</v>
      </c>
      <c r="BI79" s="228">
        <v>692</v>
      </c>
      <c r="BJ79" s="230">
        <v>1120</v>
      </c>
      <c r="BK79" s="228">
        <v>-428</v>
      </c>
      <c r="BL79" s="229">
        <v>-0.38229999999999997</v>
      </c>
      <c r="BM79" s="228">
        <v>318</v>
      </c>
      <c r="BN79" s="228">
        <v>655</v>
      </c>
      <c r="BO79" s="228">
        <v>-338</v>
      </c>
      <c r="BP79" s="229">
        <v>-0.51549999999999996</v>
      </c>
      <c r="BQ79" s="230">
        <v>1265</v>
      </c>
      <c r="BR79" s="230">
        <v>2048</v>
      </c>
      <c r="BS79" s="228">
        <v>-783</v>
      </c>
      <c r="BT79" s="229">
        <v>-0.38229999999999997</v>
      </c>
      <c r="BU79" s="230">
        <v>286340</v>
      </c>
      <c r="BV79" s="230">
        <v>418064</v>
      </c>
      <c r="BW79" s="230">
        <v>-131724</v>
      </c>
      <c r="BX79" s="229">
        <v>-0.31509999999999999</v>
      </c>
      <c r="BY79" s="230">
        <v>1519</v>
      </c>
      <c r="BZ79" s="230">
        <v>1527</v>
      </c>
      <c r="CA79" s="228">
        <v>-7</v>
      </c>
      <c r="CB79" s="229">
        <v>-4.7999999999999996E-3</v>
      </c>
      <c r="CC79" s="230">
        <v>1360</v>
      </c>
      <c r="CD79" s="230">
        <v>1375</v>
      </c>
      <c r="CE79" s="228">
        <v>-15</v>
      </c>
      <c r="CF79" s="229">
        <v>-1.06E-2</v>
      </c>
      <c r="CG79" s="228">
        <v>156</v>
      </c>
      <c r="CH79" s="228">
        <v>149</v>
      </c>
      <c r="CI79" s="228">
        <v>7</v>
      </c>
      <c r="CJ79" s="229">
        <v>4.7199999999999999E-2</v>
      </c>
      <c r="CK79" s="228">
        <v>4</v>
      </c>
      <c r="CL79" s="228">
        <v>3</v>
      </c>
      <c r="CM79" s="228">
        <v>0</v>
      </c>
      <c r="CN79" s="229">
        <v>0.1026</v>
      </c>
      <c r="CO79" s="228">
        <v>543</v>
      </c>
      <c r="CP79" s="228">
        <v>532</v>
      </c>
      <c r="CQ79" s="228">
        <v>10</v>
      </c>
      <c r="CR79" s="229">
        <v>1.9E-2</v>
      </c>
      <c r="CS79" s="228">
        <v>352</v>
      </c>
      <c r="CT79" s="228">
        <v>361</v>
      </c>
      <c r="CU79" s="228">
        <v>-9</v>
      </c>
      <c r="CV79" s="229">
        <v>-2.5600000000000001E-2</v>
      </c>
      <c r="CW79" s="230">
        <v>2414</v>
      </c>
      <c r="CX79" s="230">
        <v>2420</v>
      </c>
      <c r="CY79" s="228">
        <v>-6</v>
      </c>
      <c r="CZ79" s="229">
        <v>-2.7000000000000001E-3</v>
      </c>
      <c r="DA79" s="228">
        <v>24.58</v>
      </c>
      <c r="DB79" s="228">
        <v>24.41</v>
      </c>
      <c r="DC79" s="228">
        <v>0.17</v>
      </c>
      <c r="DD79" s="228">
        <v>0.17</v>
      </c>
      <c r="DE79" s="228">
        <v>36.39</v>
      </c>
      <c r="DF79" s="228">
        <v>36.479999999999997</v>
      </c>
      <c r="DG79" s="228">
        <v>-11.81</v>
      </c>
      <c r="DH79" s="228">
        <v>-0.09</v>
      </c>
      <c r="DI79" s="228">
        <v>24.34</v>
      </c>
      <c r="DJ79" s="228">
        <v>23.74</v>
      </c>
      <c r="DK79" s="228">
        <v>0.6</v>
      </c>
      <c r="DL79" s="228">
        <v>0.6</v>
      </c>
      <c r="DM79" s="228">
        <v>25.08</v>
      </c>
      <c r="DN79" s="228">
        <v>25.55</v>
      </c>
      <c r="DO79" s="228">
        <v>-0.47</v>
      </c>
      <c r="DP79" s="228">
        <v>-0.47</v>
      </c>
      <c r="DQ79" s="228">
        <v>0.65</v>
      </c>
      <c r="DR79" s="228">
        <v>0.68</v>
      </c>
      <c r="DS79" s="228">
        <v>-0.03</v>
      </c>
      <c r="DT79" s="229">
        <v>-4.41E-2</v>
      </c>
      <c r="DU79" s="231">
        <v>5800</v>
      </c>
      <c r="DV79" s="231">
        <v>5600</v>
      </c>
      <c r="DW79" s="228">
        <v>0.46</v>
      </c>
      <c r="DX79" s="228">
        <v>0.59</v>
      </c>
      <c r="DY79" s="228">
        <v>-0.13</v>
      </c>
      <c r="DZ79" s="229">
        <v>-0.2203</v>
      </c>
      <c r="EA79" s="229">
        <v>0.105</v>
      </c>
      <c r="EB79" s="230">
        <v>266700</v>
      </c>
      <c r="EC79" s="229">
        <v>2.5000000000000001E-3</v>
      </c>
      <c r="ED79" s="229">
        <v>0.105</v>
      </c>
      <c r="EE79" s="228">
        <v>12.34</v>
      </c>
      <c r="EF79" s="229">
        <v>2.2000000000000001E-3</v>
      </c>
      <c r="EG79" s="230">
        <v>197434</v>
      </c>
      <c r="EH79" s="230">
        <v>265335</v>
      </c>
      <c r="EI79" s="229">
        <v>-0.25590000000000002</v>
      </c>
      <c r="EJ79" s="229">
        <v>0.6895</v>
      </c>
      <c r="EK79" s="228">
        <v>708.65</v>
      </c>
      <c r="EL79" s="228">
        <v>309.5</v>
      </c>
      <c r="EM79" s="228">
        <v>255.39</v>
      </c>
      <c r="EN79" s="228">
        <v>0</v>
      </c>
      <c r="EO79" s="231">
        <v>1273.53</v>
      </c>
      <c r="EP79" s="231">
        <v>2067.11</v>
      </c>
      <c r="EQ79" s="228">
        <v>-793.58</v>
      </c>
      <c r="ER79" s="229">
        <v>-0.38390000000000002</v>
      </c>
      <c r="ES79" s="228">
        <v>545.80999999999995</v>
      </c>
      <c r="ET79" s="228">
        <v>330.44</v>
      </c>
      <c r="EU79" s="231">
        <v>1519.88</v>
      </c>
      <c r="EV79" s="231">
        <v>20345944</v>
      </c>
      <c r="EW79" s="231">
        <v>2396.13</v>
      </c>
      <c r="EX79" s="231">
        <v>2405.84</v>
      </c>
      <c r="EY79" s="228">
        <v>-9.7100000000000009</v>
      </c>
      <c r="EZ79" s="229">
        <v>-4.0000000000000001E-3</v>
      </c>
      <c r="FA79" s="229">
        <v>0.2079</v>
      </c>
      <c r="FB79" s="227" t="s">
        <v>568</v>
      </c>
      <c r="FC79">
        <f t="shared" si="1"/>
        <v>159</v>
      </c>
    </row>
    <row r="80" spans="1:159" ht="17.25" thickBot="1" x14ac:dyDescent="0.3">
      <c r="A80" s="226">
        <v>45889</v>
      </c>
      <c r="B80" s="227" t="s">
        <v>172</v>
      </c>
      <c r="C80" s="227" t="s">
        <v>224</v>
      </c>
      <c r="D80" s="228">
        <v>550</v>
      </c>
      <c r="E80" s="228">
        <v>8</v>
      </c>
      <c r="F80" s="231">
        <v>1990.8</v>
      </c>
      <c r="G80" s="231">
        <v>1994.9</v>
      </c>
      <c r="H80" s="228">
        <v>-4.0999999999999996</v>
      </c>
      <c r="I80" s="229">
        <v>-2.0999999999999999E-3</v>
      </c>
      <c r="J80" s="231">
        <v>1988.2</v>
      </c>
      <c r="K80" s="231">
        <v>1991.1</v>
      </c>
      <c r="L80" s="228">
        <v>-2.9</v>
      </c>
      <c r="M80" s="229">
        <v>-1.5E-3</v>
      </c>
      <c r="N80" s="231">
        <v>1990.8</v>
      </c>
      <c r="O80" s="231">
        <v>1994.9</v>
      </c>
      <c r="P80" s="228">
        <v>-4.0999999999999996</v>
      </c>
      <c r="Q80" s="229">
        <v>-2.0999999999999999E-3</v>
      </c>
      <c r="R80" s="231">
        <v>2002.5</v>
      </c>
      <c r="S80" s="231">
        <v>2006.5</v>
      </c>
      <c r="T80" s="228">
        <v>-4</v>
      </c>
      <c r="U80" s="229">
        <v>-2E-3</v>
      </c>
      <c r="V80" s="231">
        <v>2012.5</v>
      </c>
      <c r="W80" s="231">
        <v>2016</v>
      </c>
      <c r="X80" s="228">
        <v>-3.5</v>
      </c>
      <c r="Y80" s="229">
        <v>-1.6999999999999999E-3</v>
      </c>
      <c r="Z80" s="228">
        <v>2.6</v>
      </c>
      <c r="AA80" s="228">
        <v>3.8</v>
      </c>
      <c r="AB80" s="228">
        <v>-1.2</v>
      </c>
      <c r="AC80" s="229">
        <v>1.2999999999999999E-3</v>
      </c>
      <c r="AD80" s="228">
        <v>2.6</v>
      </c>
      <c r="AE80" s="228">
        <v>3.8</v>
      </c>
      <c r="AF80" s="228">
        <v>-1.2</v>
      </c>
      <c r="AG80" s="229">
        <v>1.2999999999999999E-3</v>
      </c>
      <c r="AH80" s="228">
        <v>14.3</v>
      </c>
      <c r="AI80" s="228">
        <v>15.4</v>
      </c>
      <c r="AJ80" s="228">
        <v>-1.1000000000000001</v>
      </c>
      <c r="AK80" s="229">
        <v>7.1999999999999998E-3</v>
      </c>
      <c r="AL80" s="228">
        <v>24.3</v>
      </c>
      <c r="AM80" s="228">
        <v>24.9</v>
      </c>
      <c r="AN80" s="228">
        <v>-0.6</v>
      </c>
      <c r="AO80" s="229">
        <v>1.2200000000000001E-2</v>
      </c>
      <c r="AP80" s="231">
        <v>1988.09</v>
      </c>
      <c r="AQ80" s="231">
        <v>2000.52</v>
      </c>
      <c r="AR80" s="228">
        <v>0</v>
      </c>
      <c r="AS80" s="230">
        <v>2035</v>
      </c>
      <c r="AT80" s="230">
        <v>2662</v>
      </c>
      <c r="AU80" s="228">
        <v>-627</v>
      </c>
      <c r="AV80" s="229">
        <v>-0.2356</v>
      </c>
      <c r="AW80" s="230">
        <v>1483</v>
      </c>
      <c r="AX80" s="230">
        <v>1786</v>
      </c>
      <c r="AY80" s="228">
        <v>-303</v>
      </c>
      <c r="AZ80" s="229">
        <v>-0.1699</v>
      </c>
      <c r="BA80" s="228">
        <v>416</v>
      </c>
      <c r="BB80" s="228">
        <v>273</v>
      </c>
      <c r="BC80" s="228">
        <v>143</v>
      </c>
      <c r="BD80" s="229">
        <v>0.52549999999999997</v>
      </c>
      <c r="BE80" s="228">
        <v>135</v>
      </c>
      <c r="BF80" s="228">
        <v>603</v>
      </c>
      <c r="BG80" s="228">
        <v>-467</v>
      </c>
      <c r="BH80" s="229">
        <v>-0.77529999999999999</v>
      </c>
      <c r="BI80" s="230">
        <v>6323</v>
      </c>
      <c r="BJ80" s="230">
        <v>6007</v>
      </c>
      <c r="BK80" s="228">
        <v>317</v>
      </c>
      <c r="BL80" s="229">
        <v>5.2699999999999997E-2</v>
      </c>
      <c r="BM80" s="230">
        <v>3949</v>
      </c>
      <c r="BN80" s="230">
        <v>3610</v>
      </c>
      <c r="BO80" s="228">
        <v>339</v>
      </c>
      <c r="BP80" s="229">
        <v>9.3899999999999997E-2</v>
      </c>
      <c r="BQ80" s="230">
        <v>12307</v>
      </c>
      <c r="BR80" s="230">
        <v>12278</v>
      </c>
      <c r="BS80" s="228">
        <v>28</v>
      </c>
      <c r="BT80" s="229">
        <v>2.3E-3</v>
      </c>
      <c r="BU80" s="230">
        <v>5294155</v>
      </c>
      <c r="BV80" s="230">
        <v>7190825</v>
      </c>
      <c r="BW80" s="230">
        <v>-1896670</v>
      </c>
      <c r="BX80" s="229">
        <v>-0.26379999999999998</v>
      </c>
      <c r="BY80" s="230">
        <v>22192</v>
      </c>
      <c r="BZ80" s="230">
        <v>22153</v>
      </c>
      <c r="CA80" s="228">
        <v>39</v>
      </c>
      <c r="CB80" s="229">
        <v>1.8E-3</v>
      </c>
      <c r="CC80" s="230">
        <v>18198</v>
      </c>
      <c r="CD80" s="230">
        <v>18610</v>
      </c>
      <c r="CE80" s="228">
        <v>-412</v>
      </c>
      <c r="CF80" s="229">
        <v>-2.2200000000000001E-2</v>
      </c>
      <c r="CG80" s="230">
        <v>1645</v>
      </c>
      <c r="CH80" s="230">
        <v>1316</v>
      </c>
      <c r="CI80" s="228">
        <v>330</v>
      </c>
      <c r="CJ80" s="229">
        <v>0.25080000000000002</v>
      </c>
      <c r="CK80" s="230">
        <v>2349</v>
      </c>
      <c r="CL80" s="230">
        <v>2228</v>
      </c>
      <c r="CM80" s="228">
        <v>122</v>
      </c>
      <c r="CN80" s="229">
        <v>5.4699999999999999E-2</v>
      </c>
      <c r="CO80" s="230">
        <v>4428</v>
      </c>
      <c r="CP80" s="230">
        <v>4126</v>
      </c>
      <c r="CQ80" s="228">
        <v>302</v>
      </c>
      <c r="CR80" s="229">
        <v>7.3300000000000004E-2</v>
      </c>
      <c r="CS80" s="230">
        <v>3020</v>
      </c>
      <c r="CT80" s="230">
        <v>2977</v>
      </c>
      <c r="CU80" s="228">
        <v>43</v>
      </c>
      <c r="CV80" s="229">
        <v>1.43E-2</v>
      </c>
      <c r="CW80" s="230">
        <v>29640</v>
      </c>
      <c r="CX80" s="230">
        <v>29256</v>
      </c>
      <c r="CY80" s="228">
        <v>385</v>
      </c>
      <c r="CZ80" s="229">
        <v>1.3100000000000001E-2</v>
      </c>
      <c r="DA80" s="228">
        <v>16.510000000000002</v>
      </c>
      <c r="DB80" s="228">
        <v>16.059999999999999</v>
      </c>
      <c r="DC80" s="228">
        <v>0.45</v>
      </c>
      <c r="DD80" s="228">
        <v>0.45</v>
      </c>
      <c r="DE80" s="228">
        <v>22.56</v>
      </c>
      <c r="DF80" s="228">
        <v>22.62</v>
      </c>
      <c r="DG80" s="228">
        <v>-6.05</v>
      </c>
      <c r="DH80" s="228">
        <v>-0.06</v>
      </c>
      <c r="DI80" s="228">
        <v>16.52</v>
      </c>
      <c r="DJ80" s="228">
        <v>16</v>
      </c>
      <c r="DK80" s="228">
        <v>0.52</v>
      </c>
      <c r="DL80" s="228">
        <v>0.52</v>
      </c>
      <c r="DM80" s="228">
        <v>16.48</v>
      </c>
      <c r="DN80" s="228">
        <v>16.149999999999999</v>
      </c>
      <c r="DO80" s="228">
        <v>0.33</v>
      </c>
      <c r="DP80" s="228">
        <v>0.33</v>
      </c>
      <c r="DQ80" s="228">
        <v>0.68</v>
      </c>
      <c r="DR80" s="228">
        <v>0.72</v>
      </c>
      <c r="DS80" s="228">
        <v>-0.04</v>
      </c>
      <c r="DT80" s="229">
        <v>-5.5599999999999997E-2</v>
      </c>
      <c r="DU80" s="231">
        <v>2000</v>
      </c>
      <c r="DV80" s="231">
        <v>2000</v>
      </c>
      <c r="DW80" s="228">
        <v>0.62</v>
      </c>
      <c r="DX80" s="228">
        <v>0.6</v>
      </c>
      <c r="DY80" s="228">
        <v>0.02</v>
      </c>
      <c r="DZ80" s="229">
        <v>3.3300000000000003E-2</v>
      </c>
      <c r="EA80" s="229">
        <v>0.18</v>
      </c>
      <c r="EB80" s="230">
        <v>17797450</v>
      </c>
      <c r="EC80" s="229">
        <v>5.8999999999999999E-3</v>
      </c>
      <c r="ED80" s="229">
        <v>0.18</v>
      </c>
      <c r="EE80" s="228">
        <v>12.43</v>
      </c>
      <c r="EF80" s="229">
        <v>6.3E-3</v>
      </c>
      <c r="EG80" s="230">
        <v>3495815</v>
      </c>
      <c r="EH80" s="230">
        <v>3528178</v>
      </c>
      <c r="EI80" s="229">
        <v>-9.1999999999999998E-3</v>
      </c>
      <c r="EJ80" s="229">
        <v>0.6603</v>
      </c>
      <c r="EK80" s="231">
        <v>6453.14</v>
      </c>
      <c r="EL80" s="231">
        <v>3910.31</v>
      </c>
      <c r="EM80" s="231">
        <v>2035.93</v>
      </c>
      <c r="EN80" s="228">
        <v>0</v>
      </c>
      <c r="EO80" s="231">
        <v>12399.38</v>
      </c>
      <c r="EP80" s="231">
        <v>12447.14</v>
      </c>
      <c r="EQ80" s="228">
        <v>-47.76</v>
      </c>
      <c r="ER80" s="229">
        <v>-3.8E-3</v>
      </c>
      <c r="ES80" s="231">
        <v>4556.96</v>
      </c>
      <c r="ET80" s="231">
        <v>2951.63</v>
      </c>
      <c r="EU80" s="231">
        <v>22227.63</v>
      </c>
      <c r="EV80" s="231">
        <v>1327901982</v>
      </c>
      <c r="EW80" s="231">
        <v>29736.22</v>
      </c>
      <c r="EX80" s="231">
        <v>29392.31</v>
      </c>
      <c r="EY80" s="228">
        <v>343.91</v>
      </c>
      <c r="EZ80" s="229">
        <v>1.17E-2</v>
      </c>
      <c r="FA80" s="229">
        <v>0.11210000000000001</v>
      </c>
      <c r="FB80" s="227" t="s">
        <v>567</v>
      </c>
      <c r="FC80">
        <f t="shared" si="1"/>
        <v>3994</v>
      </c>
    </row>
    <row r="81" spans="1:159" ht="17.25" thickBot="1" x14ac:dyDescent="0.3">
      <c r="A81" s="226">
        <v>45889</v>
      </c>
      <c r="B81" s="227" t="s">
        <v>175</v>
      </c>
      <c r="C81" s="227" t="s">
        <v>225</v>
      </c>
      <c r="D81" s="228">
        <v>1100</v>
      </c>
      <c r="E81" s="228">
        <v>8</v>
      </c>
      <c r="F81" s="228">
        <v>796.6</v>
      </c>
      <c r="G81" s="228">
        <v>796.1</v>
      </c>
      <c r="H81" s="228">
        <v>0.5</v>
      </c>
      <c r="I81" s="229">
        <v>5.9999999999999995E-4</v>
      </c>
      <c r="J81" s="228">
        <v>796.55</v>
      </c>
      <c r="K81" s="228">
        <v>793.75</v>
      </c>
      <c r="L81" s="228">
        <v>2.8</v>
      </c>
      <c r="M81" s="229">
        <v>3.5000000000000001E-3</v>
      </c>
      <c r="N81" s="228">
        <v>796.6</v>
      </c>
      <c r="O81" s="228">
        <v>796.1</v>
      </c>
      <c r="P81" s="228">
        <v>0.5</v>
      </c>
      <c r="Q81" s="229">
        <v>5.9999999999999995E-4</v>
      </c>
      <c r="R81" s="228">
        <v>801.6</v>
      </c>
      <c r="S81" s="228">
        <v>800.55</v>
      </c>
      <c r="T81" s="228">
        <v>1.05</v>
      </c>
      <c r="U81" s="229">
        <v>1.2999999999999999E-3</v>
      </c>
      <c r="V81" s="228">
        <v>805.75</v>
      </c>
      <c r="W81" s="228">
        <v>805.4</v>
      </c>
      <c r="X81" s="228">
        <v>0.35</v>
      </c>
      <c r="Y81" s="229">
        <v>4.0000000000000002E-4</v>
      </c>
      <c r="Z81" s="228">
        <v>0.05</v>
      </c>
      <c r="AA81" s="228">
        <v>2.35</v>
      </c>
      <c r="AB81" s="228">
        <v>-2.2999999999999998</v>
      </c>
      <c r="AC81" s="229">
        <v>1E-4</v>
      </c>
      <c r="AD81" s="228">
        <v>0.05</v>
      </c>
      <c r="AE81" s="228">
        <v>2.35</v>
      </c>
      <c r="AF81" s="228">
        <v>-2.2999999999999998</v>
      </c>
      <c r="AG81" s="229">
        <v>1E-4</v>
      </c>
      <c r="AH81" s="228">
        <v>5.05</v>
      </c>
      <c r="AI81" s="228">
        <v>6.8</v>
      </c>
      <c r="AJ81" s="228">
        <v>-1.75</v>
      </c>
      <c r="AK81" s="229">
        <v>6.3E-3</v>
      </c>
      <c r="AL81" s="228">
        <v>9.1999999999999993</v>
      </c>
      <c r="AM81" s="228">
        <v>11.65</v>
      </c>
      <c r="AN81" s="228">
        <v>-2.4500000000000002</v>
      </c>
      <c r="AO81" s="229">
        <v>1.15E-2</v>
      </c>
      <c r="AP81" s="228">
        <v>797.47</v>
      </c>
      <c r="AQ81" s="228">
        <v>802.46</v>
      </c>
      <c r="AR81" s="228">
        <v>0</v>
      </c>
      <c r="AS81" s="228">
        <v>214</v>
      </c>
      <c r="AT81" s="228">
        <v>210</v>
      </c>
      <c r="AU81" s="228">
        <v>4</v>
      </c>
      <c r="AV81" s="229">
        <v>1.8800000000000001E-2</v>
      </c>
      <c r="AW81" s="228">
        <v>179</v>
      </c>
      <c r="AX81" s="228">
        <v>176</v>
      </c>
      <c r="AY81" s="228">
        <v>2</v>
      </c>
      <c r="AZ81" s="229">
        <v>1.3899999999999999E-2</v>
      </c>
      <c r="BA81" s="228">
        <v>34</v>
      </c>
      <c r="BB81" s="228">
        <v>30</v>
      </c>
      <c r="BC81" s="228">
        <v>4</v>
      </c>
      <c r="BD81" s="229">
        <v>0.13739999999999999</v>
      </c>
      <c r="BE81" s="228">
        <v>1</v>
      </c>
      <c r="BF81" s="228">
        <v>4</v>
      </c>
      <c r="BG81" s="228">
        <v>-3</v>
      </c>
      <c r="BH81" s="229">
        <v>-0.69769999999999999</v>
      </c>
      <c r="BI81" s="228">
        <v>841</v>
      </c>
      <c r="BJ81" s="230">
        <v>1104</v>
      </c>
      <c r="BK81" s="228">
        <v>-263</v>
      </c>
      <c r="BL81" s="229">
        <v>-0.2384</v>
      </c>
      <c r="BM81" s="228">
        <v>391</v>
      </c>
      <c r="BN81" s="228">
        <v>586</v>
      </c>
      <c r="BO81" s="228">
        <v>-195</v>
      </c>
      <c r="BP81" s="229">
        <v>-0.33250000000000002</v>
      </c>
      <c r="BQ81" s="230">
        <v>1446</v>
      </c>
      <c r="BR81" s="230">
        <v>1900</v>
      </c>
      <c r="BS81" s="228">
        <v>-454</v>
      </c>
      <c r="BT81" s="229">
        <v>-0.23899999999999999</v>
      </c>
      <c r="BU81" s="230">
        <v>1125339</v>
      </c>
      <c r="BV81" s="230">
        <v>1543789</v>
      </c>
      <c r="BW81" s="230">
        <v>-418450</v>
      </c>
      <c r="BX81" s="229">
        <v>-0.27110000000000001</v>
      </c>
      <c r="BY81" s="230">
        <v>2233</v>
      </c>
      <c r="BZ81" s="230">
        <v>2246</v>
      </c>
      <c r="CA81" s="228">
        <v>-14</v>
      </c>
      <c r="CB81" s="229">
        <v>-6.1000000000000004E-3</v>
      </c>
      <c r="CC81" s="230">
        <v>2128</v>
      </c>
      <c r="CD81" s="230">
        <v>2159</v>
      </c>
      <c r="CE81" s="228">
        <v>-31</v>
      </c>
      <c r="CF81" s="229">
        <v>-1.4200000000000001E-2</v>
      </c>
      <c r="CG81" s="228">
        <v>97</v>
      </c>
      <c r="CH81" s="228">
        <v>80</v>
      </c>
      <c r="CI81" s="228">
        <v>17</v>
      </c>
      <c r="CJ81" s="229">
        <v>0.2097</v>
      </c>
      <c r="CK81" s="228">
        <v>8</v>
      </c>
      <c r="CL81" s="228">
        <v>8</v>
      </c>
      <c r="CM81" s="228">
        <v>0</v>
      </c>
      <c r="CN81" s="229">
        <v>3.3700000000000001E-2</v>
      </c>
      <c r="CO81" s="228">
        <v>868</v>
      </c>
      <c r="CP81" s="228">
        <v>832</v>
      </c>
      <c r="CQ81" s="228">
        <v>36</v>
      </c>
      <c r="CR81" s="229">
        <v>4.3400000000000001E-2</v>
      </c>
      <c r="CS81" s="228">
        <v>797</v>
      </c>
      <c r="CT81" s="228">
        <v>792</v>
      </c>
      <c r="CU81" s="228">
        <v>6</v>
      </c>
      <c r="CV81" s="229">
        <v>7.4000000000000003E-3</v>
      </c>
      <c r="CW81" s="230">
        <v>3898</v>
      </c>
      <c r="CX81" s="230">
        <v>3870</v>
      </c>
      <c r="CY81" s="228">
        <v>28</v>
      </c>
      <c r="CZ81" s="229">
        <v>7.3000000000000001E-3</v>
      </c>
      <c r="DA81" s="228">
        <v>21.39</v>
      </c>
      <c r="DB81" s="228">
        <v>20.73</v>
      </c>
      <c r="DC81" s="228">
        <v>0.66</v>
      </c>
      <c r="DD81" s="228">
        <v>0.66</v>
      </c>
      <c r="DE81" s="228">
        <v>27.02</v>
      </c>
      <c r="DF81" s="228">
        <v>27.09</v>
      </c>
      <c r="DG81" s="228">
        <v>-5.63</v>
      </c>
      <c r="DH81" s="228">
        <v>-7.0000000000000007E-2</v>
      </c>
      <c r="DI81" s="228">
        <v>21.4</v>
      </c>
      <c r="DJ81" s="228">
        <v>20.59</v>
      </c>
      <c r="DK81" s="228">
        <v>0.81</v>
      </c>
      <c r="DL81" s="228">
        <v>0.81</v>
      </c>
      <c r="DM81" s="228">
        <v>21.37</v>
      </c>
      <c r="DN81" s="228">
        <v>20.98</v>
      </c>
      <c r="DO81" s="228">
        <v>0.39</v>
      </c>
      <c r="DP81" s="228">
        <v>0.39</v>
      </c>
      <c r="DQ81" s="228">
        <v>0.92</v>
      </c>
      <c r="DR81" s="228">
        <v>0.95</v>
      </c>
      <c r="DS81" s="228">
        <v>-0.03</v>
      </c>
      <c r="DT81" s="229">
        <v>-3.1600000000000003E-2</v>
      </c>
      <c r="DU81" s="228">
        <v>800</v>
      </c>
      <c r="DV81" s="228">
        <v>770</v>
      </c>
      <c r="DW81" s="228">
        <v>0.47</v>
      </c>
      <c r="DX81" s="228">
        <v>0.53</v>
      </c>
      <c r="DY81" s="228">
        <v>-0.06</v>
      </c>
      <c r="DZ81" s="229">
        <v>-0.1132</v>
      </c>
      <c r="EA81" s="229">
        <v>4.6899999999999997E-2</v>
      </c>
      <c r="EB81" s="230">
        <v>1100000</v>
      </c>
      <c r="EC81" s="229">
        <v>6.3E-3</v>
      </c>
      <c r="ED81" s="229">
        <v>4.6899999999999997E-2</v>
      </c>
      <c r="EE81" s="228">
        <v>4.99</v>
      </c>
      <c r="EF81" s="229">
        <v>6.3E-3</v>
      </c>
      <c r="EG81" s="230">
        <v>554117</v>
      </c>
      <c r="EH81" s="230">
        <v>795437</v>
      </c>
      <c r="EI81" s="229">
        <v>-0.3034</v>
      </c>
      <c r="EJ81" s="229">
        <v>0.4924</v>
      </c>
      <c r="EK81" s="228">
        <v>864.7</v>
      </c>
      <c r="EL81" s="228">
        <v>384.06</v>
      </c>
      <c r="EM81" s="228">
        <v>214.53</v>
      </c>
      <c r="EN81" s="228">
        <v>0</v>
      </c>
      <c r="EO81" s="231">
        <v>1463.29</v>
      </c>
      <c r="EP81" s="231">
        <v>1917.47</v>
      </c>
      <c r="EQ81" s="228">
        <v>-454.18</v>
      </c>
      <c r="ER81" s="229">
        <v>-0.2369</v>
      </c>
      <c r="ES81" s="228">
        <v>880.41</v>
      </c>
      <c r="ET81" s="228">
        <v>745.6</v>
      </c>
      <c r="EU81" s="231">
        <v>2233.23</v>
      </c>
      <c r="EV81" s="231">
        <v>214162344</v>
      </c>
      <c r="EW81" s="231">
        <v>3859.24</v>
      </c>
      <c r="EX81" s="231">
        <v>3826.99</v>
      </c>
      <c r="EY81" s="228">
        <v>32.25</v>
      </c>
      <c r="EZ81" s="229">
        <v>8.3999999999999995E-3</v>
      </c>
      <c r="FA81" s="229">
        <v>0.22850000000000001</v>
      </c>
      <c r="FB81" s="227" t="s">
        <v>556</v>
      </c>
      <c r="FC81">
        <f t="shared" si="1"/>
        <v>105</v>
      </c>
    </row>
    <row r="82" spans="1:159" ht="17.25" thickBot="1" x14ac:dyDescent="0.3">
      <c r="A82" s="226">
        <v>45889</v>
      </c>
      <c r="B82" s="227" t="s">
        <v>162</v>
      </c>
      <c r="C82" s="227" t="s">
        <v>226</v>
      </c>
      <c r="D82" s="228">
        <v>150</v>
      </c>
      <c r="E82" s="228">
        <v>8</v>
      </c>
      <c r="F82" s="231">
        <v>5127.3999999999996</v>
      </c>
      <c r="G82" s="231">
        <v>5125.8</v>
      </c>
      <c r="H82" s="228">
        <v>1.6</v>
      </c>
      <c r="I82" s="229">
        <v>2.9999999999999997E-4</v>
      </c>
      <c r="J82" s="231">
        <v>5136</v>
      </c>
      <c r="K82" s="231">
        <v>5118.2</v>
      </c>
      <c r="L82" s="228">
        <v>17.8</v>
      </c>
      <c r="M82" s="229">
        <v>3.5000000000000001E-3</v>
      </c>
      <c r="N82" s="231">
        <v>5127.3999999999996</v>
      </c>
      <c r="O82" s="231">
        <v>5125.8</v>
      </c>
      <c r="P82" s="228">
        <v>1.6</v>
      </c>
      <c r="Q82" s="229">
        <v>2.9999999999999997E-4</v>
      </c>
      <c r="R82" s="231">
        <v>5115.8999999999996</v>
      </c>
      <c r="S82" s="231">
        <v>5121</v>
      </c>
      <c r="T82" s="228">
        <v>-5.0999999999999996</v>
      </c>
      <c r="U82" s="229">
        <v>-1E-3</v>
      </c>
      <c r="V82" s="231">
        <v>5120.2</v>
      </c>
      <c r="W82" s="231">
        <v>5122.3999999999996</v>
      </c>
      <c r="X82" s="228">
        <v>-2.2000000000000002</v>
      </c>
      <c r="Y82" s="229">
        <v>-4.0000000000000002E-4</v>
      </c>
      <c r="Z82" s="228">
        <v>-8.6</v>
      </c>
      <c r="AA82" s="228">
        <v>7.6</v>
      </c>
      <c r="AB82" s="228">
        <v>-16.2</v>
      </c>
      <c r="AC82" s="229">
        <v>-1.6999999999999999E-3</v>
      </c>
      <c r="AD82" s="228">
        <v>-8.6</v>
      </c>
      <c r="AE82" s="228">
        <v>7.6</v>
      </c>
      <c r="AF82" s="228">
        <v>-16.2</v>
      </c>
      <c r="AG82" s="229">
        <v>-1.6999999999999999E-3</v>
      </c>
      <c r="AH82" s="228">
        <v>-20.100000000000001</v>
      </c>
      <c r="AI82" s="228">
        <v>2.8</v>
      </c>
      <c r="AJ82" s="228">
        <v>-22.9</v>
      </c>
      <c r="AK82" s="229">
        <v>-3.8999999999999998E-3</v>
      </c>
      <c r="AL82" s="228">
        <v>-15.8</v>
      </c>
      <c r="AM82" s="228">
        <v>4.2</v>
      </c>
      <c r="AN82" s="228">
        <v>-20</v>
      </c>
      <c r="AO82" s="229">
        <v>-3.0999999999999999E-3</v>
      </c>
      <c r="AP82" s="231">
        <v>5140.4799999999996</v>
      </c>
      <c r="AQ82" s="231">
        <v>5128.84</v>
      </c>
      <c r="AR82" s="228">
        <v>0</v>
      </c>
      <c r="AS82" s="228">
        <v>751</v>
      </c>
      <c r="AT82" s="230">
        <v>1185</v>
      </c>
      <c r="AU82" s="228">
        <v>-434</v>
      </c>
      <c r="AV82" s="229">
        <v>-0.3664</v>
      </c>
      <c r="AW82" s="228">
        <v>626</v>
      </c>
      <c r="AX82" s="230">
        <v>1015</v>
      </c>
      <c r="AY82" s="228">
        <v>-389</v>
      </c>
      <c r="AZ82" s="229">
        <v>-0.38350000000000001</v>
      </c>
      <c r="BA82" s="228">
        <v>117</v>
      </c>
      <c r="BB82" s="228">
        <v>152</v>
      </c>
      <c r="BC82" s="228">
        <v>-36</v>
      </c>
      <c r="BD82" s="229">
        <v>-0.23519999999999999</v>
      </c>
      <c r="BE82" s="228">
        <v>9</v>
      </c>
      <c r="BF82" s="228">
        <v>18</v>
      </c>
      <c r="BG82" s="228">
        <v>-9</v>
      </c>
      <c r="BH82" s="229">
        <v>-0.50829999999999997</v>
      </c>
      <c r="BI82" s="230">
        <v>5943</v>
      </c>
      <c r="BJ82" s="230">
        <v>12818</v>
      </c>
      <c r="BK82" s="230">
        <v>-6875</v>
      </c>
      <c r="BL82" s="229">
        <v>-0.53639999999999999</v>
      </c>
      <c r="BM82" s="230">
        <v>3483</v>
      </c>
      <c r="BN82" s="230">
        <v>5981</v>
      </c>
      <c r="BO82" s="230">
        <v>-2498</v>
      </c>
      <c r="BP82" s="229">
        <v>-0.41770000000000002</v>
      </c>
      <c r="BQ82" s="230">
        <v>10177</v>
      </c>
      <c r="BR82" s="230">
        <v>19985</v>
      </c>
      <c r="BS82" s="230">
        <v>-9808</v>
      </c>
      <c r="BT82" s="229">
        <v>-0.49080000000000001</v>
      </c>
      <c r="BU82" s="230">
        <v>950647</v>
      </c>
      <c r="BV82" s="230">
        <v>1589267</v>
      </c>
      <c r="BW82" s="230">
        <v>-638620</v>
      </c>
      <c r="BX82" s="229">
        <v>-0.40179999999999999</v>
      </c>
      <c r="BY82" s="230">
        <v>3733</v>
      </c>
      <c r="BZ82" s="230">
        <v>3646</v>
      </c>
      <c r="CA82" s="228">
        <v>86</v>
      </c>
      <c r="CB82" s="229">
        <v>2.3699999999999999E-2</v>
      </c>
      <c r="CC82" s="230">
        <v>3384</v>
      </c>
      <c r="CD82" s="230">
        <v>3336</v>
      </c>
      <c r="CE82" s="228">
        <v>49</v>
      </c>
      <c r="CF82" s="229">
        <v>1.46E-2</v>
      </c>
      <c r="CG82" s="228">
        <v>327</v>
      </c>
      <c r="CH82" s="228">
        <v>293</v>
      </c>
      <c r="CI82" s="228">
        <v>34</v>
      </c>
      <c r="CJ82" s="229">
        <v>0.11609999999999999</v>
      </c>
      <c r="CK82" s="228">
        <v>22</v>
      </c>
      <c r="CL82" s="228">
        <v>18</v>
      </c>
      <c r="CM82" s="228">
        <v>4</v>
      </c>
      <c r="CN82" s="229">
        <v>0.2155</v>
      </c>
      <c r="CO82" s="230">
        <v>2388</v>
      </c>
      <c r="CP82" s="230">
        <v>2213</v>
      </c>
      <c r="CQ82" s="228">
        <v>175</v>
      </c>
      <c r="CR82" s="229">
        <v>7.9200000000000007E-2</v>
      </c>
      <c r="CS82" s="230">
        <v>2244</v>
      </c>
      <c r="CT82" s="230">
        <v>2203</v>
      </c>
      <c r="CU82" s="228">
        <v>41</v>
      </c>
      <c r="CV82" s="229">
        <v>1.8499999999999999E-2</v>
      </c>
      <c r="CW82" s="230">
        <v>8365</v>
      </c>
      <c r="CX82" s="230">
        <v>8063</v>
      </c>
      <c r="CY82" s="228">
        <v>302</v>
      </c>
      <c r="CZ82" s="229">
        <v>3.7499999999999999E-2</v>
      </c>
      <c r="DA82" s="228">
        <v>27.56</v>
      </c>
      <c r="DB82" s="228">
        <v>26.82</v>
      </c>
      <c r="DC82" s="228">
        <v>0.74</v>
      </c>
      <c r="DD82" s="228">
        <v>0.74</v>
      </c>
      <c r="DE82" s="228">
        <v>32.270000000000003</v>
      </c>
      <c r="DF82" s="228">
        <v>32.340000000000003</v>
      </c>
      <c r="DG82" s="228">
        <v>-4.71</v>
      </c>
      <c r="DH82" s="228">
        <v>-7.0000000000000007E-2</v>
      </c>
      <c r="DI82" s="228">
        <v>26.73</v>
      </c>
      <c r="DJ82" s="228">
        <v>25.84</v>
      </c>
      <c r="DK82" s="228">
        <v>0.89</v>
      </c>
      <c r="DL82" s="228">
        <v>0.89</v>
      </c>
      <c r="DM82" s="228">
        <v>28.98</v>
      </c>
      <c r="DN82" s="228">
        <v>28.9</v>
      </c>
      <c r="DO82" s="228">
        <v>0.08</v>
      </c>
      <c r="DP82" s="228">
        <v>0.08</v>
      </c>
      <c r="DQ82" s="228">
        <v>0.94</v>
      </c>
      <c r="DR82" s="228">
        <v>1</v>
      </c>
      <c r="DS82" s="228">
        <v>-0.06</v>
      </c>
      <c r="DT82" s="229">
        <v>-0.06</v>
      </c>
      <c r="DU82" s="231">
        <v>4600</v>
      </c>
      <c r="DV82" s="231">
        <v>5000</v>
      </c>
      <c r="DW82" s="228">
        <v>0.59</v>
      </c>
      <c r="DX82" s="228">
        <v>0.47</v>
      </c>
      <c r="DY82" s="228">
        <v>0.12</v>
      </c>
      <c r="DZ82" s="229">
        <v>0.25530000000000003</v>
      </c>
      <c r="EA82" s="229">
        <v>9.3399999999999997E-2</v>
      </c>
      <c r="EB82" s="230">
        <v>606000</v>
      </c>
      <c r="EC82" s="229">
        <v>-2.2000000000000001E-3</v>
      </c>
      <c r="ED82" s="229">
        <v>9.3399999999999997E-2</v>
      </c>
      <c r="EE82" s="228">
        <v>-11.64</v>
      </c>
      <c r="EF82" s="229">
        <v>-2.3E-3</v>
      </c>
      <c r="EG82" s="230">
        <v>489958</v>
      </c>
      <c r="EH82" s="230">
        <v>600513</v>
      </c>
      <c r="EI82" s="229">
        <v>-0.18410000000000001</v>
      </c>
      <c r="EJ82" s="229">
        <v>0.51539999999999997</v>
      </c>
      <c r="EK82" s="231">
        <v>6146.64</v>
      </c>
      <c r="EL82" s="231">
        <v>3393.94</v>
      </c>
      <c r="EM82" s="228">
        <v>752.75</v>
      </c>
      <c r="EN82" s="228">
        <v>0</v>
      </c>
      <c r="EO82" s="231">
        <v>10293.32</v>
      </c>
      <c r="EP82" s="231">
        <v>20103.900000000001</v>
      </c>
      <c r="EQ82" s="231">
        <v>-9810.58</v>
      </c>
      <c r="ER82" s="229">
        <v>-0.48799999999999999</v>
      </c>
      <c r="ES82" s="231">
        <v>2344.86</v>
      </c>
      <c r="ET82" s="231">
        <v>2041.09</v>
      </c>
      <c r="EU82" s="231">
        <v>3731.96</v>
      </c>
      <c r="EV82" s="231">
        <v>26105505</v>
      </c>
      <c r="EW82" s="231">
        <v>8117.9</v>
      </c>
      <c r="EX82" s="231">
        <v>7792.56</v>
      </c>
      <c r="EY82" s="228">
        <v>325.33999999999997</v>
      </c>
      <c r="EZ82" s="229">
        <v>4.1799999999999997E-2</v>
      </c>
      <c r="FA82" s="229">
        <v>0.625</v>
      </c>
      <c r="FB82" s="227" t="s">
        <v>555</v>
      </c>
      <c r="FC82">
        <f t="shared" si="1"/>
        <v>349</v>
      </c>
    </row>
    <row r="83" spans="1:159" ht="17.25" thickBot="1" x14ac:dyDescent="0.3">
      <c r="A83" s="226">
        <v>45889</v>
      </c>
      <c r="B83" s="227" t="s">
        <v>221</v>
      </c>
      <c r="C83" s="227" t="s">
        <v>577</v>
      </c>
      <c r="D83" s="228">
        <v>6450</v>
      </c>
      <c r="E83" s="228">
        <v>8</v>
      </c>
      <c r="F83" s="228">
        <v>75.36</v>
      </c>
      <c r="G83" s="228">
        <v>74.760000000000005</v>
      </c>
      <c r="H83" s="228">
        <v>0.6</v>
      </c>
      <c r="I83" s="229">
        <v>8.0000000000000002E-3</v>
      </c>
      <c r="J83" s="228">
        <v>75.27</v>
      </c>
      <c r="K83" s="228">
        <v>74.38</v>
      </c>
      <c r="L83" s="228">
        <v>0.89</v>
      </c>
      <c r="M83" s="229">
        <v>1.2E-2</v>
      </c>
      <c r="N83" s="228">
        <v>75.36</v>
      </c>
      <c r="O83" s="228">
        <v>74.760000000000005</v>
      </c>
      <c r="P83" s="228">
        <v>0.6</v>
      </c>
      <c r="Q83" s="229">
        <v>8.0000000000000002E-3</v>
      </c>
      <c r="R83" s="228">
        <v>75.77</v>
      </c>
      <c r="S83" s="228">
        <v>75.010000000000005</v>
      </c>
      <c r="T83" s="228">
        <v>0.76</v>
      </c>
      <c r="U83" s="229">
        <v>1.01E-2</v>
      </c>
      <c r="V83" s="228">
        <v>76.19</v>
      </c>
      <c r="W83" s="228">
        <v>75.61</v>
      </c>
      <c r="X83" s="228">
        <v>0.57999999999999996</v>
      </c>
      <c r="Y83" s="229">
        <v>7.7000000000000002E-3</v>
      </c>
      <c r="Z83" s="228">
        <v>0.09</v>
      </c>
      <c r="AA83" s="228">
        <v>0.38</v>
      </c>
      <c r="AB83" s="228">
        <v>-0.28999999999999998</v>
      </c>
      <c r="AC83" s="229">
        <v>1.1999999999999999E-3</v>
      </c>
      <c r="AD83" s="228">
        <v>0.09</v>
      </c>
      <c r="AE83" s="228">
        <v>0.38</v>
      </c>
      <c r="AF83" s="228">
        <v>-0.28999999999999998</v>
      </c>
      <c r="AG83" s="229">
        <v>1.1999999999999999E-3</v>
      </c>
      <c r="AH83" s="228">
        <v>0.5</v>
      </c>
      <c r="AI83" s="228">
        <v>0.63</v>
      </c>
      <c r="AJ83" s="228">
        <v>-0.13</v>
      </c>
      <c r="AK83" s="229">
        <v>6.6E-3</v>
      </c>
      <c r="AL83" s="228">
        <v>0.92</v>
      </c>
      <c r="AM83" s="228">
        <v>1.23</v>
      </c>
      <c r="AN83" s="228">
        <v>-0.31</v>
      </c>
      <c r="AO83" s="229">
        <v>1.2200000000000001E-2</v>
      </c>
      <c r="AP83" s="228">
        <v>75.349999999999994</v>
      </c>
      <c r="AQ83" s="228">
        <v>75.86</v>
      </c>
      <c r="AR83" s="228">
        <v>0</v>
      </c>
      <c r="AS83" s="228">
        <v>65</v>
      </c>
      <c r="AT83" s="228">
        <v>94</v>
      </c>
      <c r="AU83" s="228">
        <v>-29</v>
      </c>
      <c r="AV83" s="229">
        <v>-0.30430000000000001</v>
      </c>
      <c r="AW83" s="228">
        <v>43</v>
      </c>
      <c r="AX83" s="228">
        <v>64</v>
      </c>
      <c r="AY83" s="228">
        <v>-21</v>
      </c>
      <c r="AZ83" s="229">
        <v>-0.32590000000000002</v>
      </c>
      <c r="BA83" s="228">
        <v>21</v>
      </c>
      <c r="BB83" s="228">
        <v>28</v>
      </c>
      <c r="BC83" s="228">
        <v>-7</v>
      </c>
      <c r="BD83" s="229">
        <v>-0.24260000000000001</v>
      </c>
      <c r="BE83" s="228">
        <v>1</v>
      </c>
      <c r="BF83" s="228">
        <v>2</v>
      </c>
      <c r="BG83" s="228">
        <v>-1</v>
      </c>
      <c r="BH83" s="229">
        <v>-0.4667</v>
      </c>
      <c r="BI83" s="228">
        <v>97</v>
      </c>
      <c r="BJ83" s="228">
        <v>140</v>
      </c>
      <c r="BK83" s="228">
        <v>-43</v>
      </c>
      <c r="BL83" s="229">
        <v>-0.30680000000000002</v>
      </c>
      <c r="BM83" s="228">
        <v>35</v>
      </c>
      <c r="BN83" s="228">
        <v>47</v>
      </c>
      <c r="BO83" s="228">
        <v>-12</v>
      </c>
      <c r="BP83" s="229">
        <v>-0.25390000000000001</v>
      </c>
      <c r="BQ83" s="228">
        <v>197</v>
      </c>
      <c r="BR83" s="228">
        <v>280</v>
      </c>
      <c r="BS83" s="228">
        <v>-83</v>
      </c>
      <c r="BT83" s="229">
        <v>-0.29720000000000002</v>
      </c>
      <c r="BU83" s="230">
        <v>5089173</v>
      </c>
      <c r="BV83" s="230">
        <v>8251347</v>
      </c>
      <c r="BW83" s="230">
        <v>-3162174</v>
      </c>
      <c r="BX83" s="229">
        <v>-0.38319999999999999</v>
      </c>
      <c r="BY83" s="228">
        <v>721</v>
      </c>
      <c r="BZ83" s="228">
        <v>715</v>
      </c>
      <c r="CA83" s="228">
        <v>6</v>
      </c>
      <c r="CB83" s="229">
        <v>7.9000000000000008E-3</v>
      </c>
      <c r="CC83" s="228">
        <v>641</v>
      </c>
      <c r="CD83" s="228">
        <v>646</v>
      </c>
      <c r="CE83" s="228">
        <v>-5</v>
      </c>
      <c r="CF83" s="229">
        <v>-7.9000000000000008E-3</v>
      </c>
      <c r="CG83" s="228">
        <v>73</v>
      </c>
      <c r="CH83" s="228">
        <v>63</v>
      </c>
      <c r="CI83" s="228">
        <v>10</v>
      </c>
      <c r="CJ83" s="229">
        <v>0.15920000000000001</v>
      </c>
      <c r="CK83" s="228">
        <v>7</v>
      </c>
      <c r="CL83" s="228">
        <v>6</v>
      </c>
      <c r="CM83" s="228">
        <v>1</v>
      </c>
      <c r="CN83" s="229">
        <v>0.1157</v>
      </c>
      <c r="CO83" s="228">
        <v>236</v>
      </c>
      <c r="CP83" s="228">
        <v>243</v>
      </c>
      <c r="CQ83" s="228">
        <v>-8</v>
      </c>
      <c r="CR83" s="229">
        <v>-3.1800000000000002E-2</v>
      </c>
      <c r="CS83" s="228">
        <v>135</v>
      </c>
      <c r="CT83" s="228">
        <v>132</v>
      </c>
      <c r="CU83" s="228">
        <v>2</v>
      </c>
      <c r="CV83" s="229">
        <v>1.7600000000000001E-2</v>
      </c>
      <c r="CW83" s="230">
        <v>1091</v>
      </c>
      <c r="CX83" s="230">
        <v>1090</v>
      </c>
      <c r="CY83" s="228">
        <v>0</v>
      </c>
      <c r="CZ83" s="229">
        <v>2.0000000000000001E-4</v>
      </c>
      <c r="DA83" s="228">
        <v>38.15</v>
      </c>
      <c r="DB83" s="228">
        <v>40.58</v>
      </c>
      <c r="DC83" s="228">
        <v>-2.4300000000000002</v>
      </c>
      <c r="DD83" s="228">
        <v>-2.4300000000000002</v>
      </c>
      <c r="DE83" s="228">
        <v>56.74</v>
      </c>
      <c r="DF83" s="228">
        <v>56.87</v>
      </c>
      <c r="DG83" s="228">
        <v>-18.59</v>
      </c>
      <c r="DH83" s="228">
        <v>-0.13</v>
      </c>
      <c r="DI83" s="228">
        <v>38.72</v>
      </c>
      <c r="DJ83" s="228">
        <v>40.68</v>
      </c>
      <c r="DK83" s="228">
        <v>-1.96</v>
      </c>
      <c r="DL83" s="228">
        <v>-1.96</v>
      </c>
      <c r="DM83" s="228">
        <v>36.56</v>
      </c>
      <c r="DN83" s="228">
        <v>40.28</v>
      </c>
      <c r="DO83" s="228">
        <v>-3.72</v>
      </c>
      <c r="DP83" s="228">
        <v>-3.72</v>
      </c>
      <c r="DQ83" s="228">
        <v>0.56999999999999995</v>
      </c>
      <c r="DR83" s="228">
        <v>0.54</v>
      </c>
      <c r="DS83" s="228">
        <v>0.03</v>
      </c>
      <c r="DT83" s="229">
        <v>5.5599999999999997E-2</v>
      </c>
      <c r="DU83" s="228">
        <v>75</v>
      </c>
      <c r="DV83" s="228">
        <v>70</v>
      </c>
      <c r="DW83" s="228">
        <v>0.36</v>
      </c>
      <c r="DX83" s="228">
        <v>0.33</v>
      </c>
      <c r="DY83" s="228">
        <v>0.03</v>
      </c>
      <c r="DZ83" s="229">
        <v>9.0899999999999995E-2</v>
      </c>
      <c r="EA83" s="229">
        <v>0.1108</v>
      </c>
      <c r="EB83" s="230">
        <v>9165450</v>
      </c>
      <c r="EC83" s="229">
        <v>5.4000000000000003E-3</v>
      </c>
      <c r="ED83" s="229">
        <v>0.1108</v>
      </c>
      <c r="EE83" s="228">
        <v>0.51</v>
      </c>
      <c r="EF83" s="229">
        <v>6.7999999999999996E-3</v>
      </c>
      <c r="EG83" s="230">
        <v>1491786</v>
      </c>
      <c r="EH83" s="230">
        <v>3217427</v>
      </c>
      <c r="EI83" s="229">
        <v>-0.5363</v>
      </c>
      <c r="EJ83" s="229">
        <v>0.29310000000000003</v>
      </c>
      <c r="EK83" s="228">
        <v>101.67</v>
      </c>
      <c r="EL83" s="228">
        <v>35.549999999999997</v>
      </c>
      <c r="EM83" s="228">
        <v>65.38</v>
      </c>
      <c r="EN83" s="228">
        <v>0</v>
      </c>
      <c r="EO83" s="228">
        <v>202.59</v>
      </c>
      <c r="EP83" s="228">
        <v>284.74</v>
      </c>
      <c r="EQ83" s="228">
        <v>-82.15</v>
      </c>
      <c r="ER83" s="229">
        <v>-0.28849999999999998</v>
      </c>
      <c r="ES83" s="228">
        <v>255.13</v>
      </c>
      <c r="ET83" s="228">
        <v>136.41</v>
      </c>
      <c r="EU83" s="228">
        <v>721.07</v>
      </c>
      <c r="EV83" s="231">
        <v>197306132</v>
      </c>
      <c r="EW83" s="231">
        <v>1112.6099999999999</v>
      </c>
      <c r="EX83" s="231">
        <v>1106.75</v>
      </c>
      <c r="EY83" s="228">
        <v>5.86</v>
      </c>
      <c r="EZ83" s="229">
        <v>5.3E-3</v>
      </c>
      <c r="FA83" s="229">
        <v>0.73350000000000004</v>
      </c>
      <c r="FB83" s="227" t="s">
        <v>555</v>
      </c>
      <c r="FC83">
        <f t="shared" si="1"/>
        <v>80</v>
      </c>
    </row>
    <row r="84" spans="1:159" ht="17.25" thickBot="1" x14ac:dyDescent="0.3">
      <c r="A84" s="226">
        <v>45889</v>
      </c>
      <c r="B84" s="227" t="s">
        <v>227</v>
      </c>
      <c r="C84" s="227" t="s">
        <v>228</v>
      </c>
      <c r="D84" s="228">
        <v>1400</v>
      </c>
      <c r="E84" s="228">
        <v>8</v>
      </c>
      <c r="F84" s="228">
        <v>702.15</v>
      </c>
      <c r="G84" s="228">
        <v>709.1</v>
      </c>
      <c r="H84" s="228">
        <v>-6.95</v>
      </c>
      <c r="I84" s="229">
        <v>-9.7999999999999997E-3</v>
      </c>
      <c r="J84" s="228">
        <v>700.85</v>
      </c>
      <c r="K84" s="228">
        <v>706.7</v>
      </c>
      <c r="L84" s="228">
        <v>-5.85</v>
      </c>
      <c r="M84" s="229">
        <v>-8.3000000000000001E-3</v>
      </c>
      <c r="N84" s="228">
        <v>702.15</v>
      </c>
      <c r="O84" s="228">
        <v>709.1</v>
      </c>
      <c r="P84" s="228">
        <v>-6.95</v>
      </c>
      <c r="Q84" s="229">
        <v>-9.7999999999999997E-3</v>
      </c>
      <c r="R84" s="228">
        <v>706.35</v>
      </c>
      <c r="S84" s="228">
        <v>712.8</v>
      </c>
      <c r="T84" s="228">
        <v>-6.45</v>
      </c>
      <c r="U84" s="229">
        <v>-8.9999999999999993E-3</v>
      </c>
      <c r="V84" s="228">
        <v>710.2</v>
      </c>
      <c r="W84" s="228">
        <v>716.25</v>
      </c>
      <c r="X84" s="228">
        <v>-6.05</v>
      </c>
      <c r="Y84" s="229">
        <v>-8.3999999999999995E-3</v>
      </c>
      <c r="Z84" s="228">
        <v>1.3</v>
      </c>
      <c r="AA84" s="228">
        <v>2.4</v>
      </c>
      <c r="AB84" s="228">
        <v>-1.1000000000000001</v>
      </c>
      <c r="AC84" s="229">
        <v>1.9E-3</v>
      </c>
      <c r="AD84" s="228">
        <v>1.3</v>
      </c>
      <c r="AE84" s="228">
        <v>2.4</v>
      </c>
      <c r="AF84" s="228">
        <v>-1.1000000000000001</v>
      </c>
      <c r="AG84" s="229">
        <v>1.9E-3</v>
      </c>
      <c r="AH84" s="228">
        <v>5.5</v>
      </c>
      <c r="AI84" s="228">
        <v>6.1</v>
      </c>
      <c r="AJ84" s="228">
        <v>-0.6</v>
      </c>
      <c r="AK84" s="229">
        <v>7.7999999999999996E-3</v>
      </c>
      <c r="AL84" s="228">
        <v>9.35</v>
      </c>
      <c r="AM84" s="228">
        <v>9.5500000000000007</v>
      </c>
      <c r="AN84" s="228">
        <v>-0.2</v>
      </c>
      <c r="AO84" s="229">
        <v>1.3299999999999999E-2</v>
      </c>
      <c r="AP84" s="228">
        <v>702.59</v>
      </c>
      <c r="AQ84" s="228">
        <v>706.83</v>
      </c>
      <c r="AR84" s="228">
        <v>0</v>
      </c>
      <c r="AS84" s="228">
        <v>626</v>
      </c>
      <c r="AT84" s="228">
        <v>901</v>
      </c>
      <c r="AU84" s="228">
        <v>-274</v>
      </c>
      <c r="AV84" s="229">
        <v>-0.30449999999999999</v>
      </c>
      <c r="AW84" s="228">
        <v>491</v>
      </c>
      <c r="AX84" s="228">
        <v>648</v>
      </c>
      <c r="AY84" s="228">
        <v>-157</v>
      </c>
      <c r="AZ84" s="229">
        <v>-0.24229999999999999</v>
      </c>
      <c r="BA84" s="228">
        <v>121</v>
      </c>
      <c r="BB84" s="228">
        <v>230</v>
      </c>
      <c r="BC84" s="228">
        <v>-109</v>
      </c>
      <c r="BD84" s="229">
        <v>-0.47420000000000001</v>
      </c>
      <c r="BE84" s="228">
        <v>14</v>
      </c>
      <c r="BF84" s="228">
        <v>22</v>
      </c>
      <c r="BG84" s="228">
        <v>-8</v>
      </c>
      <c r="BH84" s="229">
        <v>-0.36159999999999998</v>
      </c>
      <c r="BI84" s="230">
        <v>2005</v>
      </c>
      <c r="BJ84" s="230">
        <v>2116</v>
      </c>
      <c r="BK84" s="228">
        <v>-111</v>
      </c>
      <c r="BL84" s="229">
        <v>-5.2400000000000002E-2</v>
      </c>
      <c r="BM84" s="230">
        <v>1469</v>
      </c>
      <c r="BN84" s="230">
        <v>1682</v>
      </c>
      <c r="BO84" s="228">
        <v>-214</v>
      </c>
      <c r="BP84" s="229">
        <v>-0.127</v>
      </c>
      <c r="BQ84" s="230">
        <v>4100</v>
      </c>
      <c r="BR84" s="230">
        <v>4699</v>
      </c>
      <c r="BS84" s="228">
        <v>-599</v>
      </c>
      <c r="BT84" s="229">
        <v>-0.12740000000000001</v>
      </c>
      <c r="BU84" s="230">
        <v>5570276</v>
      </c>
      <c r="BV84" s="230">
        <v>5907124</v>
      </c>
      <c r="BW84" s="230">
        <v>-336848</v>
      </c>
      <c r="BX84" s="229">
        <v>-5.7000000000000002E-2</v>
      </c>
      <c r="BY84" s="230">
        <v>3770</v>
      </c>
      <c r="BZ84" s="230">
        <v>3680</v>
      </c>
      <c r="CA84" s="228">
        <v>90</v>
      </c>
      <c r="CB84" s="229">
        <v>2.4500000000000001E-2</v>
      </c>
      <c r="CC84" s="230">
        <v>3208</v>
      </c>
      <c r="CD84" s="230">
        <v>3180</v>
      </c>
      <c r="CE84" s="228">
        <v>28</v>
      </c>
      <c r="CF84" s="229">
        <v>8.8999999999999999E-3</v>
      </c>
      <c r="CG84" s="228">
        <v>444</v>
      </c>
      <c r="CH84" s="228">
        <v>392</v>
      </c>
      <c r="CI84" s="228">
        <v>52</v>
      </c>
      <c r="CJ84" s="229">
        <v>0.13150000000000001</v>
      </c>
      <c r="CK84" s="228">
        <v>118</v>
      </c>
      <c r="CL84" s="228">
        <v>108</v>
      </c>
      <c r="CM84" s="228">
        <v>10</v>
      </c>
      <c r="CN84" s="229">
        <v>9.3600000000000003E-2</v>
      </c>
      <c r="CO84" s="230">
        <v>1273</v>
      </c>
      <c r="CP84" s="230">
        <v>1257</v>
      </c>
      <c r="CQ84" s="228">
        <v>16</v>
      </c>
      <c r="CR84" s="229">
        <v>1.24E-2</v>
      </c>
      <c r="CS84" s="228">
        <v>865</v>
      </c>
      <c r="CT84" s="228">
        <v>926</v>
      </c>
      <c r="CU84" s="228">
        <v>-61</v>
      </c>
      <c r="CV84" s="229">
        <v>-6.5600000000000006E-2</v>
      </c>
      <c r="CW84" s="230">
        <v>5909</v>
      </c>
      <c r="CX84" s="230">
        <v>5864</v>
      </c>
      <c r="CY84" s="228">
        <v>45</v>
      </c>
      <c r="CZ84" s="229">
        <v>7.7000000000000002E-3</v>
      </c>
      <c r="DA84" s="228">
        <v>24.05</v>
      </c>
      <c r="DB84" s="228">
        <v>23.73</v>
      </c>
      <c r="DC84" s="228">
        <v>0.32</v>
      </c>
      <c r="DD84" s="228">
        <v>0.32</v>
      </c>
      <c r="DE84" s="228">
        <v>35.28</v>
      </c>
      <c r="DF84" s="228">
        <v>35.35</v>
      </c>
      <c r="DG84" s="228">
        <v>-11.23</v>
      </c>
      <c r="DH84" s="228">
        <v>-7.0000000000000007E-2</v>
      </c>
      <c r="DI84" s="228">
        <v>23.6</v>
      </c>
      <c r="DJ84" s="228">
        <v>23.4</v>
      </c>
      <c r="DK84" s="228">
        <v>0.2</v>
      </c>
      <c r="DL84" s="228">
        <v>0.2</v>
      </c>
      <c r="DM84" s="228">
        <v>24.65</v>
      </c>
      <c r="DN84" s="228">
        <v>24.14</v>
      </c>
      <c r="DO84" s="228">
        <v>0.51</v>
      </c>
      <c r="DP84" s="228">
        <v>0.51</v>
      </c>
      <c r="DQ84" s="228">
        <v>0.68</v>
      </c>
      <c r="DR84" s="228">
        <v>0.74</v>
      </c>
      <c r="DS84" s="228">
        <v>-0.06</v>
      </c>
      <c r="DT84" s="229">
        <v>-8.1100000000000005E-2</v>
      </c>
      <c r="DU84" s="228">
        <v>720</v>
      </c>
      <c r="DV84" s="228">
        <v>660</v>
      </c>
      <c r="DW84" s="228">
        <v>0.73</v>
      </c>
      <c r="DX84" s="228">
        <v>0.8</v>
      </c>
      <c r="DY84" s="228">
        <v>-7.0000000000000007E-2</v>
      </c>
      <c r="DZ84" s="229">
        <v>-8.7499999999999994E-2</v>
      </c>
      <c r="EA84" s="229">
        <v>0.14910000000000001</v>
      </c>
      <c r="EB84" s="230">
        <v>7128800</v>
      </c>
      <c r="EC84" s="229">
        <v>6.0000000000000001E-3</v>
      </c>
      <c r="ED84" s="229">
        <v>0.14910000000000001</v>
      </c>
      <c r="EE84" s="228">
        <v>4.24</v>
      </c>
      <c r="EF84" s="229">
        <v>6.0000000000000001E-3</v>
      </c>
      <c r="EG84" s="230">
        <v>3498671</v>
      </c>
      <c r="EH84" s="230">
        <v>4128207</v>
      </c>
      <c r="EI84" s="229">
        <v>-0.1525</v>
      </c>
      <c r="EJ84" s="229">
        <v>0.62809999999999999</v>
      </c>
      <c r="EK84" s="231">
        <v>2067.38</v>
      </c>
      <c r="EL84" s="231">
        <v>1446.83</v>
      </c>
      <c r="EM84" s="228">
        <v>627.75</v>
      </c>
      <c r="EN84" s="228">
        <v>0</v>
      </c>
      <c r="EO84" s="231">
        <v>4141.96</v>
      </c>
      <c r="EP84" s="231">
        <v>4796.21</v>
      </c>
      <c r="EQ84" s="228">
        <v>-654.25</v>
      </c>
      <c r="ER84" s="229">
        <v>-0.13639999999999999</v>
      </c>
      <c r="ES84" s="231">
        <v>1309.5999999999999</v>
      </c>
      <c r="ET84" s="228">
        <v>821.81</v>
      </c>
      <c r="EU84" s="231">
        <v>3774.45</v>
      </c>
      <c r="EV84" s="231">
        <v>291718772</v>
      </c>
      <c r="EW84" s="231">
        <v>5905.85</v>
      </c>
      <c r="EX84" s="231">
        <v>5896.8</v>
      </c>
      <c r="EY84" s="228">
        <v>9.0500000000000007</v>
      </c>
      <c r="EZ84" s="229">
        <v>1.5E-3</v>
      </c>
      <c r="FA84" s="229">
        <v>0.28849999999999998</v>
      </c>
      <c r="FB84" s="227" t="s">
        <v>567</v>
      </c>
      <c r="FC84">
        <f t="shared" si="1"/>
        <v>562</v>
      </c>
    </row>
    <row r="85" spans="1:159" ht="17.25" thickBot="1" x14ac:dyDescent="0.3">
      <c r="A85" s="226">
        <v>45889</v>
      </c>
      <c r="B85" s="227" t="s">
        <v>193</v>
      </c>
      <c r="C85" s="227" t="s">
        <v>229</v>
      </c>
      <c r="D85" s="228">
        <v>2025</v>
      </c>
      <c r="E85" s="228">
        <v>8</v>
      </c>
      <c r="F85" s="228">
        <v>391.75</v>
      </c>
      <c r="G85" s="228">
        <v>396.35</v>
      </c>
      <c r="H85" s="228">
        <v>-4.5999999999999996</v>
      </c>
      <c r="I85" s="229">
        <v>-1.1599999999999999E-2</v>
      </c>
      <c r="J85" s="228">
        <v>390.8</v>
      </c>
      <c r="K85" s="228">
        <v>395.6</v>
      </c>
      <c r="L85" s="228">
        <v>-4.8</v>
      </c>
      <c r="M85" s="229">
        <v>-1.21E-2</v>
      </c>
      <c r="N85" s="228">
        <v>391.75</v>
      </c>
      <c r="O85" s="228">
        <v>396.35</v>
      </c>
      <c r="P85" s="228">
        <v>-4.5999999999999996</v>
      </c>
      <c r="Q85" s="229">
        <v>-1.1599999999999999E-2</v>
      </c>
      <c r="R85" s="228">
        <v>394.05</v>
      </c>
      <c r="S85" s="228">
        <v>398.6</v>
      </c>
      <c r="T85" s="228">
        <v>-4.55</v>
      </c>
      <c r="U85" s="229">
        <v>-1.14E-2</v>
      </c>
      <c r="V85" s="228">
        <v>395.95</v>
      </c>
      <c r="W85" s="228">
        <v>400.75</v>
      </c>
      <c r="X85" s="228">
        <v>-4.8</v>
      </c>
      <c r="Y85" s="229">
        <v>-1.2E-2</v>
      </c>
      <c r="Z85" s="228">
        <v>0.95</v>
      </c>
      <c r="AA85" s="228">
        <v>0.75</v>
      </c>
      <c r="AB85" s="228">
        <v>0.2</v>
      </c>
      <c r="AC85" s="229">
        <v>2.3999999999999998E-3</v>
      </c>
      <c r="AD85" s="228">
        <v>0.95</v>
      </c>
      <c r="AE85" s="228">
        <v>0.75</v>
      </c>
      <c r="AF85" s="228">
        <v>0.2</v>
      </c>
      <c r="AG85" s="229">
        <v>2.3999999999999998E-3</v>
      </c>
      <c r="AH85" s="228">
        <v>3.25</v>
      </c>
      <c r="AI85" s="228">
        <v>3</v>
      </c>
      <c r="AJ85" s="228">
        <v>0.25</v>
      </c>
      <c r="AK85" s="229">
        <v>8.3000000000000001E-3</v>
      </c>
      <c r="AL85" s="228">
        <v>5.15</v>
      </c>
      <c r="AM85" s="228">
        <v>5.15</v>
      </c>
      <c r="AN85" s="228">
        <v>0</v>
      </c>
      <c r="AO85" s="229">
        <v>1.32E-2</v>
      </c>
      <c r="AP85" s="228">
        <v>394.03</v>
      </c>
      <c r="AQ85" s="228">
        <v>395.91</v>
      </c>
      <c r="AR85" s="228">
        <v>0</v>
      </c>
      <c r="AS85" s="228">
        <v>341</v>
      </c>
      <c r="AT85" s="228">
        <v>432</v>
      </c>
      <c r="AU85" s="228">
        <v>-91</v>
      </c>
      <c r="AV85" s="229">
        <v>-0.2109</v>
      </c>
      <c r="AW85" s="228">
        <v>248</v>
      </c>
      <c r="AX85" s="228">
        <v>347</v>
      </c>
      <c r="AY85" s="228">
        <v>-99</v>
      </c>
      <c r="AZ85" s="229">
        <v>-0.28539999999999999</v>
      </c>
      <c r="BA85" s="228">
        <v>71</v>
      </c>
      <c r="BB85" s="228">
        <v>58</v>
      </c>
      <c r="BC85" s="228">
        <v>13</v>
      </c>
      <c r="BD85" s="229">
        <v>0.21990000000000001</v>
      </c>
      <c r="BE85" s="228">
        <v>22</v>
      </c>
      <c r="BF85" s="228">
        <v>27</v>
      </c>
      <c r="BG85" s="228">
        <v>-5</v>
      </c>
      <c r="BH85" s="229">
        <v>-0.18079999999999999</v>
      </c>
      <c r="BI85" s="228">
        <v>814</v>
      </c>
      <c r="BJ85" s="230">
        <v>1112</v>
      </c>
      <c r="BK85" s="228">
        <v>-298</v>
      </c>
      <c r="BL85" s="229">
        <v>-0.26840000000000003</v>
      </c>
      <c r="BM85" s="228">
        <v>354</v>
      </c>
      <c r="BN85" s="228">
        <v>515</v>
      </c>
      <c r="BO85" s="228">
        <v>-162</v>
      </c>
      <c r="BP85" s="229">
        <v>-0.31369999999999998</v>
      </c>
      <c r="BQ85" s="230">
        <v>1508</v>
      </c>
      <c r="BR85" s="230">
        <v>2059</v>
      </c>
      <c r="BS85" s="228">
        <v>-551</v>
      </c>
      <c r="BT85" s="229">
        <v>-0.26769999999999999</v>
      </c>
      <c r="BU85" s="230">
        <v>5755827</v>
      </c>
      <c r="BV85" s="230">
        <v>4407757</v>
      </c>
      <c r="BW85" s="230">
        <v>1348070</v>
      </c>
      <c r="BX85" s="229">
        <v>0.30580000000000002</v>
      </c>
      <c r="BY85" s="230">
        <v>2058</v>
      </c>
      <c r="BZ85" s="230">
        <v>2072</v>
      </c>
      <c r="CA85" s="228">
        <v>-15</v>
      </c>
      <c r="CB85" s="229">
        <v>-7.1000000000000004E-3</v>
      </c>
      <c r="CC85" s="230">
        <v>1932</v>
      </c>
      <c r="CD85" s="230">
        <v>1976</v>
      </c>
      <c r="CE85" s="228">
        <v>-43</v>
      </c>
      <c r="CF85" s="229">
        <v>-2.1999999999999999E-2</v>
      </c>
      <c r="CG85" s="228">
        <v>95</v>
      </c>
      <c r="CH85" s="228">
        <v>63</v>
      </c>
      <c r="CI85" s="228">
        <v>32</v>
      </c>
      <c r="CJ85" s="229">
        <v>0.51139999999999997</v>
      </c>
      <c r="CK85" s="228">
        <v>31</v>
      </c>
      <c r="CL85" s="228">
        <v>34</v>
      </c>
      <c r="CM85" s="228">
        <v>-3</v>
      </c>
      <c r="CN85" s="229">
        <v>-0.10050000000000001</v>
      </c>
      <c r="CO85" s="228">
        <v>783</v>
      </c>
      <c r="CP85" s="228">
        <v>832</v>
      </c>
      <c r="CQ85" s="228">
        <v>-49</v>
      </c>
      <c r="CR85" s="229">
        <v>-5.9200000000000003E-2</v>
      </c>
      <c r="CS85" s="228">
        <v>438</v>
      </c>
      <c r="CT85" s="228">
        <v>449</v>
      </c>
      <c r="CU85" s="228">
        <v>-10</v>
      </c>
      <c r="CV85" s="229">
        <v>-2.2800000000000001E-2</v>
      </c>
      <c r="CW85" s="230">
        <v>3279</v>
      </c>
      <c r="CX85" s="230">
        <v>3353</v>
      </c>
      <c r="CY85" s="228">
        <v>-74</v>
      </c>
      <c r="CZ85" s="229">
        <v>-2.2100000000000002E-2</v>
      </c>
      <c r="DA85" s="228">
        <v>31.67</v>
      </c>
      <c r="DB85" s="228">
        <v>32.68</v>
      </c>
      <c r="DC85" s="228">
        <v>-1.01</v>
      </c>
      <c r="DD85" s="228">
        <v>-1.01</v>
      </c>
      <c r="DE85" s="228">
        <v>43.07</v>
      </c>
      <c r="DF85" s="228">
        <v>43.15</v>
      </c>
      <c r="DG85" s="228">
        <v>-11.4</v>
      </c>
      <c r="DH85" s="228">
        <v>-0.08</v>
      </c>
      <c r="DI85" s="228">
        <v>31.99</v>
      </c>
      <c r="DJ85" s="228">
        <v>32.869999999999997</v>
      </c>
      <c r="DK85" s="228">
        <v>-0.88</v>
      </c>
      <c r="DL85" s="228">
        <v>-0.88</v>
      </c>
      <c r="DM85" s="228">
        <v>30.92</v>
      </c>
      <c r="DN85" s="228">
        <v>32.26</v>
      </c>
      <c r="DO85" s="228">
        <v>-1.34</v>
      </c>
      <c r="DP85" s="228">
        <v>-1.34</v>
      </c>
      <c r="DQ85" s="228">
        <v>0.56000000000000005</v>
      </c>
      <c r="DR85" s="228">
        <v>0.54</v>
      </c>
      <c r="DS85" s="228">
        <v>0.02</v>
      </c>
      <c r="DT85" s="229">
        <v>3.6999999999999998E-2</v>
      </c>
      <c r="DU85" s="228">
        <v>399.5</v>
      </c>
      <c r="DV85" s="228">
        <v>389.5</v>
      </c>
      <c r="DW85" s="228">
        <v>0.43</v>
      </c>
      <c r="DX85" s="228">
        <v>0.46</v>
      </c>
      <c r="DY85" s="228">
        <v>-0.03</v>
      </c>
      <c r="DZ85" s="229">
        <v>-6.5199999999999994E-2</v>
      </c>
      <c r="EA85" s="229">
        <v>6.0999999999999999E-2</v>
      </c>
      <c r="EB85" s="230">
        <v>2470500</v>
      </c>
      <c r="EC85" s="229">
        <v>5.8999999999999999E-3</v>
      </c>
      <c r="ED85" s="229">
        <v>6.0999999999999999E-2</v>
      </c>
      <c r="EE85" s="228">
        <v>1.88</v>
      </c>
      <c r="EF85" s="229">
        <v>4.7999999999999996E-3</v>
      </c>
      <c r="EG85" s="230">
        <v>3471719</v>
      </c>
      <c r="EH85" s="230">
        <v>1767784</v>
      </c>
      <c r="EI85" s="229">
        <v>0.96389999999999998</v>
      </c>
      <c r="EJ85" s="229">
        <v>0.60319999999999996</v>
      </c>
      <c r="EK85" s="228">
        <v>854.54</v>
      </c>
      <c r="EL85" s="228">
        <v>353</v>
      </c>
      <c r="EM85" s="228">
        <v>343.58</v>
      </c>
      <c r="EN85" s="228">
        <v>0</v>
      </c>
      <c r="EO85" s="231">
        <v>1551.12</v>
      </c>
      <c r="EP85" s="231">
        <v>2116.83</v>
      </c>
      <c r="EQ85" s="228">
        <v>-565.71</v>
      </c>
      <c r="ER85" s="229">
        <v>-0.26719999999999999</v>
      </c>
      <c r="ES85" s="228">
        <v>832.58</v>
      </c>
      <c r="ET85" s="228">
        <v>431.42</v>
      </c>
      <c r="EU85" s="231">
        <v>2058.5300000000002</v>
      </c>
      <c r="EV85" s="231">
        <v>191910891</v>
      </c>
      <c r="EW85" s="231">
        <v>3322.53</v>
      </c>
      <c r="EX85" s="231">
        <v>3425.82</v>
      </c>
      <c r="EY85" s="228">
        <v>-103.29</v>
      </c>
      <c r="EZ85" s="229">
        <v>-3.0200000000000001E-2</v>
      </c>
      <c r="FA85" s="229">
        <v>0.43609999999999999</v>
      </c>
      <c r="FB85" s="227" t="s">
        <v>568</v>
      </c>
      <c r="FC85">
        <f t="shared" si="1"/>
        <v>126</v>
      </c>
    </row>
    <row r="86" spans="1:159" ht="17.25" thickBot="1" x14ac:dyDescent="0.3">
      <c r="A86" s="226">
        <v>45889</v>
      </c>
      <c r="B86" s="227" t="s">
        <v>168</v>
      </c>
      <c r="C86" s="227" t="s">
        <v>230</v>
      </c>
      <c r="D86" s="228">
        <v>300</v>
      </c>
      <c r="E86" s="228">
        <v>8</v>
      </c>
      <c r="F86" s="231">
        <v>2670.8</v>
      </c>
      <c r="G86" s="231">
        <v>2606.4</v>
      </c>
      <c r="H86" s="228">
        <v>64.400000000000006</v>
      </c>
      <c r="I86" s="229">
        <v>2.47E-2</v>
      </c>
      <c r="J86" s="231">
        <v>2669.8</v>
      </c>
      <c r="K86" s="231">
        <v>2604.8000000000002</v>
      </c>
      <c r="L86" s="228">
        <v>65</v>
      </c>
      <c r="M86" s="229">
        <v>2.5000000000000001E-2</v>
      </c>
      <c r="N86" s="231">
        <v>2670.8</v>
      </c>
      <c r="O86" s="231">
        <v>2606.4</v>
      </c>
      <c r="P86" s="228">
        <v>64.400000000000006</v>
      </c>
      <c r="Q86" s="229">
        <v>2.47E-2</v>
      </c>
      <c r="R86" s="231">
        <v>2685</v>
      </c>
      <c r="S86" s="231">
        <v>2621.5</v>
      </c>
      <c r="T86" s="228">
        <v>63.5</v>
      </c>
      <c r="U86" s="229">
        <v>2.4199999999999999E-2</v>
      </c>
      <c r="V86" s="231">
        <v>2694.6</v>
      </c>
      <c r="W86" s="231">
        <v>2630.5</v>
      </c>
      <c r="X86" s="228">
        <v>64.099999999999994</v>
      </c>
      <c r="Y86" s="229">
        <v>2.4400000000000002E-2</v>
      </c>
      <c r="Z86" s="228">
        <v>1</v>
      </c>
      <c r="AA86" s="228">
        <v>1.6</v>
      </c>
      <c r="AB86" s="228">
        <v>-0.6</v>
      </c>
      <c r="AC86" s="229">
        <v>4.0000000000000002E-4</v>
      </c>
      <c r="AD86" s="228">
        <v>1</v>
      </c>
      <c r="AE86" s="228">
        <v>1.6</v>
      </c>
      <c r="AF86" s="228">
        <v>-0.6</v>
      </c>
      <c r="AG86" s="229">
        <v>4.0000000000000002E-4</v>
      </c>
      <c r="AH86" s="228">
        <v>15.2</v>
      </c>
      <c r="AI86" s="228">
        <v>16.7</v>
      </c>
      <c r="AJ86" s="228">
        <v>-1.5</v>
      </c>
      <c r="AK86" s="229">
        <v>5.7000000000000002E-3</v>
      </c>
      <c r="AL86" s="228">
        <v>24.8</v>
      </c>
      <c r="AM86" s="228">
        <v>25.7</v>
      </c>
      <c r="AN86" s="228">
        <v>-0.9</v>
      </c>
      <c r="AO86" s="229">
        <v>9.2999999999999992E-3</v>
      </c>
      <c r="AP86" s="231">
        <v>2654.91</v>
      </c>
      <c r="AQ86" s="231">
        <v>2673.39</v>
      </c>
      <c r="AR86" s="228">
        <v>0</v>
      </c>
      <c r="AS86" s="230">
        <v>1263</v>
      </c>
      <c r="AT86" s="228">
        <v>576</v>
      </c>
      <c r="AU86" s="228">
        <v>687</v>
      </c>
      <c r="AV86" s="229">
        <v>1.1929000000000001</v>
      </c>
      <c r="AW86" s="230">
        <v>1040</v>
      </c>
      <c r="AX86" s="228">
        <v>511</v>
      </c>
      <c r="AY86" s="228">
        <v>530</v>
      </c>
      <c r="AZ86" s="229">
        <v>1.0368999999999999</v>
      </c>
      <c r="BA86" s="228">
        <v>214</v>
      </c>
      <c r="BB86" s="228">
        <v>62</v>
      </c>
      <c r="BC86" s="228">
        <v>151</v>
      </c>
      <c r="BD86" s="229">
        <v>2.4342999999999999</v>
      </c>
      <c r="BE86" s="228">
        <v>9</v>
      </c>
      <c r="BF86" s="228">
        <v>3</v>
      </c>
      <c r="BG86" s="228">
        <v>6</v>
      </c>
      <c r="BH86" s="229">
        <v>2.0556000000000001</v>
      </c>
      <c r="BI86" s="230">
        <v>12046</v>
      </c>
      <c r="BJ86" s="230">
        <v>4026</v>
      </c>
      <c r="BK86" s="230">
        <v>8020</v>
      </c>
      <c r="BL86" s="229">
        <v>1.9923</v>
      </c>
      <c r="BM86" s="230">
        <v>4812</v>
      </c>
      <c r="BN86" s="230">
        <v>1864</v>
      </c>
      <c r="BO86" s="230">
        <v>2949</v>
      </c>
      <c r="BP86" s="229">
        <v>1.5820000000000001</v>
      </c>
      <c r="BQ86" s="230">
        <v>18121</v>
      </c>
      <c r="BR86" s="230">
        <v>6465</v>
      </c>
      <c r="BS86" s="230">
        <v>11656</v>
      </c>
      <c r="BT86" s="229">
        <v>1.8028</v>
      </c>
      <c r="BU86" s="230">
        <v>3222252</v>
      </c>
      <c r="BV86" s="230">
        <v>1466187</v>
      </c>
      <c r="BW86" s="230">
        <v>1756065</v>
      </c>
      <c r="BX86" s="229">
        <v>1.1977</v>
      </c>
      <c r="BY86" s="230">
        <v>4252</v>
      </c>
      <c r="BZ86" s="230">
        <v>4104</v>
      </c>
      <c r="CA86" s="228">
        <v>148</v>
      </c>
      <c r="CB86" s="229">
        <v>3.5999999999999997E-2</v>
      </c>
      <c r="CC86" s="230">
        <v>3866</v>
      </c>
      <c r="CD86" s="230">
        <v>3821</v>
      </c>
      <c r="CE86" s="228">
        <v>45</v>
      </c>
      <c r="CF86" s="229">
        <v>1.17E-2</v>
      </c>
      <c r="CG86" s="228">
        <v>298</v>
      </c>
      <c r="CH86" s="228">
        <v>197</v>
      </c>
      <c r="CI86" s="228">
        <v>101</v>
      </c>
      <c r="CJ86" s="229">
        <v>0.51080000000000003</v>
      </c>
      <c r="CK86" s="228">
        <v>88</v>
      </c>
      <c r="CL86" s="228">
        <v>86</v>
      </c>
      <c r="CM86" s="228">
        <v>2</v>
      </c>
      <c r="CN86" s="229">
        <v>2.8899999999999999E-2</v>
      </c>
      <c r="CO86" s="230">
        <v>2176</v>
      </c>
      <c r="CP86" s="230">
        <v>2208</v>
      </c>
      <c r="CQ86" s="228">
        <v>-32</v>
      </c>
      <c r="CR86" s="229">
        <v>-1.44E-2</v>
      </c>
      <c r="CS86" s="230">
        <v>1505</v>
      </c>
      <c r="CT86" s="230">
        <v>1159</v>
      </c>
      <c r="CU86" s="228">
        <v>345</v>
      </c>
      <c r="CV86" s="229">
        <v>0.29799999999999999</v>
      </c>
      <c r="CW86" s="230">
        <v>7933</v>
      </c>
      <c r="CX86" s="230">
        <v>7471</v>
      </c>
      <c r="CY86" s="228">
        <v>461</v>
      </c>
      <c r="CZ86" s="229">
        <v>6.1699999999999998E-2</v>
      </c>
      <c r="DA86" s="228">
        <v>19.88</v>
      </c>
      <c r="DB86" s="228">
        <v>18.21</v>
      </c>
      <c r="DC86" s="228">
        <v>1.67</v>
      </c>
      <c r="DD86" s="228">
        <v>1.67</v>
      </c>
      <c r="DE86" s="228">
        <v>23.63</v>
      </c>
      <c r="DF86" s="228">
        <v>23.45</v>
      </c>
      <c r="DG86" s="228">
        <v>-3.75</v>
      </c>
      <c r="DH86" s="228">
        <v>0.18</v>
      </c>
      <c r="DI86" s="228">
        <v>19.260000000000002</v>
      </c>
      <c r="DJ86" s="228">
        <v>17.489999999999998</v>
      </c>
      <c r="DK86" s="228">
        <v>1.77</v>
      </c>
      <c r="DL86" s="228">
        <v>1.77</v>
      </c>
      <c r="DM86" s="228">
        <v>21.45</v>
      </c>
      <c r="DN86" s="228">
        <v>19.77</v>
      </c>
      <c r="DO86" s="228">
        <v>1.68</v>
      </c>
      <c r="DP86" s="228">
        <v>1.68</v>
      </c>
      <c r="DQ86" s="228">
        <v>0.69</v>
      </c>
      <c r="DR86" s="228">
        <v>0.52</v>
      </c>
      <c r="DS86" s="228">
        <v>0.17</v>
      </c>
      <c r="DT86" s="229">
        <v>0.32690000000000002</v>
      </c>
      <c r="DU86" s="231">
        <v>2600</v>
      </c>
      <c r="DV86" s="231">
        <v>2600</v>
      </c>
      <c r="DW86" s="228">
        <v>0.4</v>
      </c>
      <c r="DX86" s="228">
        <v>0.46</v>
      </c>
      <c r="DY86" s="228">
        <v>-0.06</v>
      </c>
      <c r="DZ86" s="229">
        <v>-0.13039999999999999</v>
      </c>
      <c r="EA86" s="229">
        <v>9.0800000000000006E-2</v>
      </c>
      <c r="EB86" s="230">
        <v>1059600</v>
      </c>
      <c r="EC86" s="229">
        <v>5.3E-3</v>
      </c>
      <c r="ED86" s="229">
        <v>9.0800000000000006E-2</v>
      </c>
      <c r="EE86" s="228">
        <v>18.48</v>
      </c>
      <c r="EF86" s="229">
        <v>7.0000000000000001E-3</v>
      </c>
      <c r="EG86" s="230">
        <v>2120389</v>
      </c>
      <c r="EH86" s="230">
        <v>1058280</v>
      </c>
      <c r="EI86" s="229">
        <v>1.0036</v>
      </c>
      <c r="EJ86" s="229">
        <v>0.65800000000000003</v>
      </c>
      <c r="EK86" s="231">
        <v>12265</v>
      </c>
      <c r="EL86" s="231">
        <v>4673.09</v>
      </c>
      <c r="EM86" s="231">
        <v>1256.6600000000001</v>
      </c>
      <c r="EN86" s="228">
        <v>0</v>
      </c>
      <c r="EO86" s="231">
        <v>18194.75</v>
      </c>
      <c r="EP86" s="231">
        <v>6332.31</v>
      </c>
      <c r="EQ86" s="231">
        <v>11862.45</v>
      </c>
      <c r="ER86" s="229">
        <v>1.8733</v>
      </c>
      <c r="ES86" s="231">
        <v>2183.67</v>
      </c>
      <c r="ET86" s="231">
        <v>1409.75</v>
      </c>
      <c r="EU86" s="231">
        <v>4254.1499999999996</v>
      </c>
      <c r="EV86" s="231">
        <v>179035680</v>
      </c>
      <c r="EW86" s="231">
        <v>7847.57</v>
      </c>
      <c r="EX86" s="231">
        <v>7271.23</v>
      </c>
      <c r="EY86" s="228">
        <v>576.34</v>
      </c>
      <c r="EZ86" s="229">
        <v>7.9299999999999995E-2</v>
      </c>
      <c r="FA86" s="229">
        <v>0.16589999999999999</v>
      </c>
      <c r="FB86" s="227" t="s">
        <v>555</v>
      </c>
      <c r="FC86">
        <f t="shared" si="1"/>
        <v>386</v>
      </c>
    </row>
    <row r="87" spans="1:159" ht="17.25" thickBot="1" x14ac:dyDescent="0.3">
      <c r="A87" s="226">
        <v>45889</v>
      </c>
      <c r="B87" s="227" t="s">
        <v>227</v>
      </c>
      <c r="C87" s="227" t="s">
        <v>670</v>
      </c>
      <c r="D87" s="228">
        <v>1225</v>
      </c>
      <c r="E87" s="228">
        <v>8</v>
      </c>
      <c r="F87" s="228">
        <v>430.4</v>
      </c>
      <c r="G87" s="228">
        <v>429.75</v>
      </c>
      <c r="H87" s="228">
        <v>0.65</v>
      </c>
      <c r="I87" s="229">
        <v>1.5E-3</v>
      </c>
      <c r="J87" s="228">
        <v>430</v>
      </c>
      <c r="K87" s="228">
        <v>428.65</v>
      </c>
      <c r="L87" s="228">
        <v>1.35</v>
      </c>
      <c r="M87" s="229">
        <v>3.0999999999999999E-3</v>
      </c>
      <c r="N87" s="228">
        <v>430.4</v>
      </c>
      <c r="O87" s="228">
        <v>429.75</v>
      </c>
      <c r="P87" s="228">
        <v>0.65</v>
      </c>
      <c r="Q87" s="229">
        <v>1.5E-3</v>
      </c>
      <c r="R87" s="228">
        <v>432.8</v>
      </c>
      <c r="S87" s="228">
        <v>432.25</v>
      </c>
      <c r="T87" s="228">
        <v>0.55000000000000004</v>
      </c>
      <c r="U87" s="229">
        <v>1.2999999999999999E-3</v>
      </c>
      <c r="V87" s="228">
        <v>435.15</v>
      </c>
      <c r="W87" s="228">
        <v>434.4</v>
      </c>
      <c r="X87" s="228">
        <v>0.75</v>
      </c>
      <c r="Y87" s="229">
        <v>1.6999999999999999E-3</v>
      </c>
      <c r="Z87" s="228">
        <v>0.4</v>
      </c>
      <c r="AA87" s="228">
        <v>1.1000000000000001</v>
      </c>
      <c r="AB87" s="228">
        <v>-0.7</v>
      </c>
      <c r="AC87" s="229">
        <v>8.9999999999999998E-4</v>
      </c>
      <c r="AD87" s="228">
        <v>0.4</v>
      </c>
      <c r="AE87" s="228">
        <v>1.1000000000000001</v>
      </c>
      <c r="AF87" s="228">
        <v>-0.7</v>
      </c>
      <c r="AG87" s="229">
        <v>8.9999999999999998E-4</v>
      </c>
      <c r="AH87" s="228">
        <v>2.8</v>
      </c>
      <c r="AI87" s="228">
        <v>3.6</v>
      </c>
      <c r="AJ87" s="228">
        <v>-0.8</v>
      </c>
      <c r="AK87" s="229">
        <v>6.4999999999999997E-3</v>
      </c>
      <c r="AL87" s="228">
        <v>5.15</v>
      </c>
      <c r="AM87" s="228">
        <v>5.75</v>
      </c>
      <c r="AN87" s="228">
        <v>-0.6</v>
      </c>
      <c r="AO87" s="229">
        <v>1.2E-2</v>
      </c>
      <c r="AP87" s="228">
        <v>429.57</v>
      </c>
      <c r="AQ87" s="228">
        <v>431.91</v>
      </c>
      <c r="AR87" s="228">
        <v>0</v>
      </c>
      <c r="AS87" s="228">
        <v>194</v>
      </c>
      <c r="AT87" s="228">
        <v>184</v>
      </c>
      <c r="AU87" s="228">
        <v>10</v>
      </c>
      <c r="AV87" s="229">
        <v>5.5899999999999998E-2</v>
      </c>
      <c r="AW87" s="228">
        <v>134</v>
      </c>
      <c r="AX87" s="228">
        <v>141</v>
      </c>
      <c r="AY87" s="228">
        <v>-6</v>
      </c>
      <c r="AZ87" s="229">
        <v>-4.53E-2</v>
      </c>
      <c r="BA87" s="228">
        <v>58</v>
      </c>
      <c r="BB87" s="228">
        <v>42</v>
      </c>
      <c r="BC87" s="228">
        <v>16</v>
      </c>
      <c r="BD87" s="229">
        <v>0.38669999999999999</v>
      </c>
      <c r="BE87" s="228">
        <v>1</v>
      </c>
      <c r="BF87" s="228">
        <v>1</v>
      </c>
      <c r="BG87" s="228">
        <v>0</v>
      </c>
      <c r="BH87" s="229">
        <v>0.4667</v>
      </c>
      <c r="BI87" s="228">
        <v>331</v>
      </c>
      <c r="BJ87" s="228">
        <v>506</v>
      </c>
      <c r="BK87" s="228">
        <v>-175</v>
      </c>
      <c r="BL87" s="229">
        <v>-0.3458</v>
      </c>
      <c r="BM87" s="228">
        <v>194</v>
      </c>
      <c r="BN87" s="228">
        <v>171</v>
      </c>
      <c r="BO87" s="228">
        <v>23</v>
      </c>
      <c r="BP87" s="229">
        <v>0.13159999999999999</v>
      </c>
      <c r="BQ87" s="228">
        <v>719</v>
      </c>
      <c r="BR87" s="228">
        <v>861</v>
      </c>
      <c r="BS87" s="228">
        <v>-142</v>
      </c>
      <c r="BT87" s="229">
        <v>-0.16520000000000001</v>
      </c>
      <c r="BU87" s="230">
        <v>2084273</v>
      </c>
      <c r="BV87" s="230">
        <v>3328596</v>
      </c>
      <c r="BW87" s="230">
        <v>-1244323</v>
      </c>
      <c r="BX87" s="229">
        <v>-0.37380000000000002</v>
      </c>
      <c r="BY87" s="230">
        <v>1286</v>
      </c>
      <c r="BZ87" s="230">
        <v>1283</v>
      </c>
      <c r="CA87" s="228">
        <v>2</v>
      </c>
      <c r="CB87" s="229">
        <v>1.8E-3</v>
      </c>
      <c r="CC87" s="230">
        <v>1182</v>
      </c>
      <c r="CD87" s="230">
        <v>1208</v>
      </c>
      <c r="CE87" s="228">
        <v>-26</v>
      </c>
      <c r="CF87" s="229">
        <v>-2.1600000000000001E-2</v>
      </c>
      <c r="CG87" s="228">
        <v>101</v>
      </c>
      <c r="CH87" s="228">
        <v>73</v>
      </c>
      <c r="CI87" s="228">
        <v>28</v>
      </c>
      <c r="CJ87" s="229">
        <v>0.38529999999999998</v>
      </c>
      <c r="CK87" s="228">
        <v>3</v>
      </c>
      <c r="CL87" s="228">
        <v>3</v>
      </c>
      <c r="CM87" s="228">
        <v>0</v>
      </c>
      <c r="CN87" s="229">
        <v>0.1429</v>
      </c>
      <c r="CO87" s="228">
        <v>431</v>
      </c>
      <c r="CP87" s="228">
        <v>422</v>
      </c>
      <c r="CQ87" s="228">
        <v>9</v>
      </c>
      <c r="CR87" s="229">
        <v>2.1999999999999999E-2</v>
      </c>
      <c r="CS87" s="228">
        <v>263</v>
      </c>
      <c r="CT87" s="228">
        <v>243</v>
      </c>
      <c r="CU87" s="228">
        <v>19</v>
      </c>
      <c r="CV87" s="229">
        <v>7.8399999999999997E-2</v>
      </c>
      <c r="CW87" s="230">
        <v>1979</v>
      </c>
      <c r="CX87" s="230">
        <v>1949</v>
      </c>
      <c r="CY87" s="228">
        <v>31</v>
      </c>
      <c r="CZ87" s="229">
        <v>1.5699999999999999E-2</v>
      </c>
      <c r="DA87" s="228">
        <v>24.79</v>
      </c>
      <c r="DB87" s="228">
        <v>25.68</v>
      </c>
      <c r="DC87" s="228">
        <v>-0.89</v>
      </c>
      <c r="DD87" s="228">
        <v>-0.89</v>
      </c>
      <c r="DE87" s="228">
        <v>45.69</v>
      </c>
      <c r="DF87" s="228">
        <v>45.81</v>
      </c>
      <c r="DG87" s="228">
        <v>-20.9</v>
      </c>
      <c r="DH87" s="228">
        <v>-0.12</v>
      </c>
      <c r="DI87" s="228">
        <v>24.84</v>
      </c>
      <c r="DJ87" s="228">
        <v>26</v>
      </c>
      <c r="DK87" s="228">
        <v>-1.1599999999999999</v>
      </c>
      <c r="DL87" s="228">
        <v>-1.1599999999999999</v>
      </c>
      <c r="DM87" s="228">
        <v>24.71</v>
      </c>
      <c r="DN87" s="228">
        <v>24.76</v>
      </c>
      <c r="DO87" s="228">
        <v>-0.05</v>
      </c>
      <c r="DP87" s="228">
        <v>-0.05</v>
      </c>
      <c r="DQ87" s="228">
        <v>0.61</v>
      </c>
      <c r="DR87" s="228">
        <v>0.57999999999999996</v>
      </c>
      <c r="DS87" s="228">
        <v>0.03</v>
      </c>
      <c r="DT87" s="229">
        <v>5.1700000000000003E-2</v>
      </c>
      <c r="DU87" s="228">
        <v>450</v>
      </c>
      <c r="DV87" s="228">
        <v>410</v>
      </c>
      <c r="DW87" s="228">
        <v>0.57999999999999996</v>
      </c>
      <c r="DX87" s="228">
        <v>0.34</v>
      </c>
      <c r="DY87" s="228">
        <v>0.24</v>
      </c>
      <c r="DZ87" s="229">
        <v>0.70589999999999997</v>
      </c>
      <c r="EA87" s="229">
        <v>8.09E-2</v>
      </c>
      <c r="EB87" s="230">
        <v>1756650</v>
      </c>
      <c r="EC87" s="229">
        <v>5.5999999999999999E-3</v>
      </c>
      <c r="ED87" s="229">
        <v>8.09E-2</v>
      </c>
      <c r="EE87" s="228">
        <v>2.34</v>
      </c>
      <c r="EF87" s="229">
        <v>5.4000000000000003E-3</v>
      </c>
      <c r="EG87" s="230">
        <v>883129</v>
      </c>
      <c r="EH87" s="230">
        <v>982958</v>
      </c>
      <c r="EI87" s="229">
        <v>-0.1016</v>
      </c>
      <c r="EJ87" s="229">
        <v>0.42370000000000002</v>
      </c>
      <c r="EK87" s="228">
        <v>341.16</v>
      </c>
      <c r="EL87" s="228">
        <v>189.32</v>
      </c>
      <c r="EM87" s="228">
        <v>194.03</v>
      </c>
      <c r="EN87" s="228">
        <v>0</v>
      </c>
      <c r="EO87" s="228">
        <v>724.52</v>
      </c>
      <c r="EP87" s="228">
        <v>874.76</v>
      </c>
      <c r="EQ87" s="228">
        <v>-150.24</v>
      </c>
      <c r="ER87" s="229">
        <v>-0.17180000000000001</v>
      </c>
      <c r="ES87" s="228">
        <v>451.05</v>
      </c>
      <c r="ET87" s="228">
        <v>258.73</v>
      </c>
      <c r="EU87" s="231">
        <v>1286.22</v>
      </c>
      <c r="EV87" s="231">
        <v>322494116</v>
      </c>
      <c r="EW87" s="231">
        <v>1996</v>
      </c>
      <c r="EX87" s="231">
        <v>1964.56</v>
      </c>
      <c r="EY87" s="228">
        <v>31.44</v>
      </c>
      <c r="EZ87" s="229">
        <v>1.6E-2</v>
      </c>
      <c r="FA87" s="229">
        <v>0.1426</v>
      </c>
      <c r="FB87" s="227" t="s">
        <v>555</v>
      </c>
      <c r="FC87">
        <f t="shared" si="1"/>
        <v>104</v>
      </c>
    </row>
    <row r="88" spans="1:159" ht="17.25" thickBot="1" x14ac:dyDescent="0.3">
      <c r="A88" s="226">
        <v>45889</v>
      </c>
      <c r="B88" s="227" t="s">
        <v>206</v>
      </c>
      <c r="C88" s="227" t="s">
        <v>609</v>
      </c>
      <c r="D88" s="228">
        <v>2775</v>
      </c>
      <c r="E88" s="228">
        <v>8</v>
      </c>
      <c r="F88" s="228">
        <v>214.29</v>
      </c>
      <c r="G88" s="228">
        <v>214.64</v>
      </c>
      <c r="H88" s="228">
        <v>-0.35</v>
      </c>
      <c r="I88" s="229">
        <v>-1.6000000000000001E-3</v>
      </c>
      <c r="J88" s="228">
        <v>214.39</v>
      </c>
      <c r="K88" s="228">
        <v>214.23</v>
      </c>
      <c r="L88" s="228">
        <v>0.16</v>
      </c>
      <c r="M88" s="229">
        <v>6.9999999999999999E-4</v>
      </c>
      <c r="N88" s="228">
        <v>214.29</v>
      </c>
      <c r="O88" s="228">
        <v>214.64</v>
      </c>
      <c r="P88" s="228">
        <v>-0.35</v>
      </c>
      <c r="Q88" s="229">
        <v>-1.6000000000000001E-3</v>
      </c>
      <c r="R88" s="228">
        <v>215.02</v>
      </c>
      <c r="S88" s="228">
        <v>215.12</v>
      </c>
      <c r="T88" s="228">
        <v>-0.1</v>
      </c>
      <c r="U88" s="229">
        <v>-5.0000000000000001E-4</v>
      </c>
      <c r="V88" s="228">
        <v>215.67</v>
      </c>
      <c r="W88" s="228">
        <v>216.01</v>
      </c>
      <c r="X88" s="228">
        <v>-0.34</v>
      </c>
      <c r="Y88" s="229">
        <v>-1.6000000000000001E-3</v>
      </c>
      <c r="Z88" s="228">
        <v>-0.1</v>
      </c>
      <c r="AA88" s="228">
        <v>0.41</v>
      </c>
      <c r="AB88" s="228">
        <v>-0.51</v>
      </c>
      <c r="AC88" s="229">
        <v>-5.0000000000000001E-4</v>
      </c>
      <c r="AD88" s="228">
        <v>-0.1</v>
      </c>
      <c r="AE88" s="228">
        <v>0.41</v>
      </c>
      <c r="AF88" s="228">
        <v>-0.51</v>
      </c>
      <c r="AG88" s="229">
        <v>-5.0000000000000001E-4</v>
      </c>
      <c r="AH88" s="228">
        <v>0.63</v>
      </c>
      <c r="AI88" s="228">
        <v>0.89</v>
      </c>
      <c r="AJ88" s="228">
        <v>-0.26</v>
      </c>
      <c r="AK88" s="229">
        <v>2.8999999999999998E-3</v>
      </c>
      <c r="AL88" s="228">
        <v>1.28</v>
      </c>
      <c r="AM88" s="228">
        <v>1.78</v>
      </c>
      <c r="AN88" s="228">
        <v>-0.5</v>
      </c>
      <c r="AO88" s="229">
        <v>6.0000000000000001E-3</v>
      </c>
      <c r="AP88" s="228">
        <v>214.29</v>
      </c>
      <c r="AQ88" s="228">
        <v>215</v>
      </c>
      <c r="AR88" s="228">
        <v>0</v>
      </c>
      <c r="AS88" s="228">
        <v>127</v>
      </c>
      <c r="AT88" s="228">
        <v>175</v>
      </c>
      <c r="AU88" s="228">
        <v>-48</v>
      </c>
      <c r="AV88" s="229">
        <v>-0.27289999999999998</v>
      </c>
      <c r="AW88" s="228">
        <v>91</v>
      </c>
      <c r="AX88" s="228">
        <v>132</v>
      </c>
      <c r="AY88" s="228">
        <v>-41</v>
      </c>
      <c r="AZ88" s="229">
        <v>-0.3115</v>
      </c>
      <c r="BA88" s="228">
        <v>35</v>
      </c>
      <c r="BB88" s="228">
        <v>41</v>
      </c>
      <c r="BC88" s="228">
        <v>-6</v>
      </c>
      <c r="BD88" s="229">
        <v>-0.1447</v>
      </c>
      <c r="BE88" s="228">
        <v>1</v>
      </c>
      <c r="BF88" s="228">
        <v>2</v>
      </c>
      <c r="BG88" s="228">
        <v>-1</v>
      </c>
      <c r="BH88" s="229">
        <v>-0.36359999999999998</v>
      </c>
      <c r="BI88" s="228">
        <v>316</v>
      </c>
      <c r="BJ88" s="228">
        <v>385</v>
      </c>
      <c r="BK88" s="228">
        <v>-69</v>
      </c>
      <c r="BL88" s="229">
        <v>-0.1784</v>
      </c>
      <c r="BM88" s="228">
        <v>128</v>
      </c>
      <c r="BN88" s="228">
        <v>185</v>
      </c>
      <c r="BO88" s="228">
        <v>-57</v>
      </c>
      <c r="BP88" s="229">
        <v>-0.30580000000000002</v>
      </c>
      <c r="BQ88" s="228">
        <v>572</v>
      </c>
      <c r="BR88" s="228">
        <v>745</v>
      </c>
      <c r="BS88" s="228">
        <v>-173</v>
      </c>
      <c r="BT88" s="229">
        <v>-0.23219999999999999</v>
      </c>
      <c r="BU88" s="230">
        <v>2090867</v>
      </c>
      <c r="BV88" s="230">
        <v>3298679</v>
      </c>
      <c r="BW88" s="230">
        <v>-1207812</v>
      </c>
      <c r="BX88" s="229">
        <v>-0.36620000000000003</v>
      </c>
      <c r="BY88" s="228">
        <v>783</v>
      </c>
      <c r="BZ88" s="228">
        <v>754</v>
      </c>
      <c r="CA88" s="228">
        <v>28</v>
      </c>
      <c r="CB88" s="229">
        <v>3.7699999999999997E-2</v>
      </c>
      <c r="CC88" s="228">
        <v>700</v>
      </c>
      <c r="CD88" s="228">
        <v>688</v>
      </c>
      <c r="CE88" s="228">
        <v>12</v>
      </c>
      <c r="CF88" s="229">
        <v>1.78E-2</v>
      </c>
      <c r="CG88" s="228">
        <v>79</v>
      </c>
      <c r="CH88" s="228">
        <v>64</v>
      </c>
      <c r="CI88" s="228">
        <v>15</v>
      </c>
      <c r="CJ88" s="229">
        <v>0.2404</v>
      </c>
      <c r="CK88" s="228">
        <v>4</v>
      </c>
      <c r="CL88" s="228">
        <v>3</v>
      </c>
      <c r="CM88" s="228">
        <v>1</v>
      </c>
      <c r="CN88" s="229">
        <v>0.28000000000000003</v>
      </c>
      <c r="CO88" s="228">
        <v>297</v>
      </c>
      <c r="CP88" s="228">
        <v>287</v>
      </c>
      <c r="CQ88" s="228">
        <v>10</v>
      </c>
      <c r="CR88" s="229">
        <v>3.4799999999999998E-2</v>
      </c>
      <c r="CS88" s="228">
        <v>177</v>
      </c>
      <c r="CT88" s="228">
        <v>183</v>
      </c>
      <c r="CU88" s="228">
        <v>-6</v>
      </c>
      <c r="CV88" s="229">
        <v>-3.32E-2</v>
      </c>
      <c r="CW88" s="230">
        <v>1257</v>
      </c>
      <c r="CX88" s="230">
        <v>1224</v>
      </c>
      <c r="CY88" s="228">
        <v>32</v>
      </c>
      <c r="CZ88" s="229">
        <v>2.64E-2</v>
      </c>
      <c r="DA88" s="228">
        <v>31.14</v>
      </c>
      <c r="DB88" s="228">
        <v>30.96</v>
      </c>
      <c r="DC88" s="228">
        <v>0.18</v>
      </c>
      <c r="DD88" s="228">
        <v>0.18</v>
      </c>
      <c r="DE88" s="228">
        <v>56.56</v>
      </c>
      <c r="DF88" s="228">
        <v>56.7</v>
      </c>
      <c r="DG88" s="228">
        <v>-25.42</v>
      </c>
      <c r="DH88" s="228">
        <v>-0.14000000000000001</v>
      </c>
      <c r="DI88" s="228">
        <v>31.28</v>
      </c>
      <c r="DJ88" s="228">
        <v>31.09</v>
      </c>
      <c r="DK88" s="228">
        <v>0.19</v>
      </c>
      <c r="DL88" s="228">
        <v>0.19</v>
      </c>
      <c r="DM88" s="228">
        <v>30.79</v>
      </c>
      <c r="DN88" s="228">
        <v>30.7</v>
      </c>
      <c r="DO88" s="228">
        <v>0.09</v>
      </c>
      <c r="DP88" s="228">
        <v>0.09</v>
      </c>
      <c r="DQ88" s="228">
        <v>0.6</v>
      </c>
      <c r="DR88" s="228">
        <v>0.64</v>
      </c>
      <c r="DS88" s="228">
        <v>-0.04</v>
      </c>
      <c r="DT88" s="229">
        <v>-6.25E-2</v>
      </c>
      <c r="DU88" s="228">
        <v>220</v>
      </c>
      <c r="DV88" s="228">
        <v>200</v>
      </c>
      <c r="DW88" s="228">
        <v>0.41</v>
      </c>
      <c r="DX88" s="228">
        <v>0.48</v>
      </c>
      <c r="DY88" s="228">
        <v>-7.0000000000000007E-2</v>
      </c>
      <c r="DZ88" s="229">
        <v>-0.14580000000000001</v>
      </c>
      <c r="EA88" s="229">
        <v>0.106</v>
      </c>
      <c r="EB88" s="230">
        <v>3116325</v>
      </c>
      <c r="EC88" s="229">
        <v>3.3999999999999998E-3</v>
      </c>
      <c r="ED88" s="229">
        <v>0.106</v>
      </c>
      <c r="EE88" s="228">
        <v>0.71</v>
      </c>
      <c r="EF88" s="229">
        <v>3.3E-3</v>
      </c>
      <c r="EG88" s="230">
        <v>659708</v>
      </c>
      <c r="EH88" s="230">
        <v>1144188</v>
      </c>
      <c r="EI88" s="229">
        <v>-0.4234</v>
      </c>
      <c r="EJ88" s="229">
        <v>0.3155</v>
      </c>
      <c r="EK88" s="228">
        <v>327.16000000000003</v>
      </c>
      <c r="EL88" s="228">
        <v>128.25</v>
      </c>
      <c r="EM88" s="228">
        <v>127.32</v>
      </c>
      <c r="EN88" s="228">
        <v>0</v>
      </c>
      <c r="EO88" s="228">
        <v>582.74</v>
      </c>
      <c r="EP88" s="228">
        <v>756.27</v>
      </c>
      <c r="EQ88" s="228">
        <v>-173.54</v>
      </c>
      <c r="ER88" s="229">
        <v>-0.22950000000000001</v>
      </c>
      <c r="ES88" s="228">
        <v>310.25</v>
      </c>
      <c r="ET88" s="228">
        <v>173.48</v>
      </c>
      <c r="EU88" s="228">
        <v>783.04</v>
      </c>
      <c r="EV88" s="231">
        <v>100095000</v>
      </c>
      <c r="EW88" s="231">
        <v>1266.77</v>
      </c>
      <c r="EX88" s="231">
        <v>1235.78</v>
      </c>
      <c r="EY88" s="228">
        <v>30.99</v>
      </c>
      <c r="EZ88" s="229">
        <v>2.5100000000000001E-2</v>
      </c>
      <c r="FA88" s="229">
        <v>0.58589999999999998</v>
      </c>
      <c r="FB88" s="227" t="s">
        <v>567</v>
      </c>
      <c r="FC88">
        <f t="shared" si="1"/>
        <v>83</v>
      </c>
    </row>
    <row r="89" spans="1:159" ht="17.25" thickBot="1" x14ac:dyDescent="0.3">
      <c r="A89" s="226">
        <v>45889</v>
      </c>
      <c r="B89" s="227" t="s">
        <v>172</v>
      </c>
      <c r="C89" s="227" t="s">
        <v>232</v>
      </c>
      <c r="D89" s="228">
        <v>700</v>
      </c>
      <c r="E89" s="228">
        <v>8</v>
      </c>
      <c r="F89" s="231">
        <v>1431.1</v>
      </c>
      <c r="G89" s="231">
        <v>1437.3</v>
      </c>
      <c r="H89" s="228">
        <v>-6.2</v>
      </c>
      <c r="I89" s="229">
        <v>-4.3E-3</v>
      </c>
      <c r="J89" s="231">
        <v>1430.6</v>
      </c>
      <c r="K89" s="231">
        <v>1436.3</v>
      </c>
      <c r="L89" s="228">
        <v>-5.7</v>
      </c>
      <c r="M89" s="229">
        <v>-4.0000000000000001E-3</v>
      </c>
      <c r="N89" s="231">
        <v>1431.1</v>
      </c>
      <c r="O89" s="231">
        <v>1437.3</v>
      </c>
      <c r="P89" s="228">
        <v>-6.2</v>
      </c>
      <c r="Q89" s="229">
        <v>-4.3E-3</v>
      </c>
      <c r="R89" s="231">
        <v>1439.5</v>
      </c>
      <c r="S89" s="231">
        <v>1445.8</v>
      </c>
      <c r="T89" s="228">
        <v>-6.3</v>
      </c>
      <c r="U89" s="229">
        <v>-4.4000000000000003E-3</v>
      </c>
      <c r="V89" s="231">
        <v>1445.8</v>
      </c>
      <c r="W89" s="231">
        <v>1452.2</v>
      </c>
      <c r="X89" s="228">
        <v>-6.4</v>
      </c>
      <c r="Y89" s="229">
        <v>-4.4000000000000003E-3</v>
      </c>
      <c r="Z89" s="228">
        <v>0.5</v>
      </c>
      <c r="AA89" s="228">
        <v>1</v>
      </c>
      <c r="AB89" s="228">
        <v>-0.5</v>
      </c>
      <c r="AC89" s="229">
        <v>2.9999999999999997E-4</v>
      </c>
      <c r="AD89" s="228">
        <v>0.5</v>
      </c>
      <c r="AE89" s="228">
        <v>1</v>
      </c>
      <c r="AF89" s="228">
        <v>-0.5</v>
      </c>
      <c r="AG89" s="229">
        <v>2.9999999999999997E-4</v>
      </c>
      <c r="AH89" s="228">
        <v>8.9</v>
      </c>
      <c r="AI89" s="228">
        <v>9.5</v>
      </c>
      <c r="AJ89" s="228">
        <v>-0.6</v>
      </c>
      <c r="AK89" s="229">
        <v>6.1999999999999998E-3</v>
      </c>
      <c r="AL89" s="228">
        <v>15.2</v>
      </c>
      <c r="AM89" s="228">
        <v>15.9</v>
      </c>
      <c r="AN89" s="228">
        <v>-0.7</v>
      </c>
      <c r="AO89" s="229">
        <v>1.06E-2</v>
      </c>
      <c r="AP89" s="231">
        <v>1430.42</v>
      </c>
      <c r="AQ89" s="231">
        <v>1439.08</v>
      </c>
      <c r="AR89" s="228">
        <v>0</v>
      </c>
      <c r="AS89" s="230">
        <v>1742</v>
      </c>
      <c r="AT89" s="230">
        <v>1138</v>
      </c>
      <c r="AU89" s="228">
        <v>605</v>
      </c>
      <c r="AV89" s="229">
        <v>0.53159999999999996</v>
      </c>
      <c r="AW89" s="230">
        <v>1257</v>
      </c>
      <c r="AX89" s="228">
        <v>970</v>
      </c>
      <c r="AY89" s="228">
        <v>287</v>
      </c>
      <c r="AZ89" s="229">
        <v>0.29580000000000001</v>
      </c>
      <c r="BA89" s="228">
        <v>390</v>
      </c>
      <c r="BB89" s="228">
        <v>61</v>
      </c>
      <c r="BC89" s="228">
        <v>329</v>
      </c>
      <c r="BD89" s="229">
        <v>5.3731999999999998</v>
      </c>
      <c r="BE89" s="228">
        <v>95</v>
      </c>
      <c r="BF89" s="228">
        <v>106</v>
      </c>
      <c r="BG89" s="228">
        <v>-11</v>
      </c>
      <c r="BH89" s="229">
        <v>-0.1046</v>
      </c>
      <c r="BI89" s="230">
        <v>3498</v>
      </c>
      <c r="BJ89" s="230">
        <v>3380</v>
      </c>
      <c r="BK89" s="228">
        <v>118</v>
      </c>
      <c r="BL89" s="229">
        <v>3.4799999999999998E-2</v>
      </c>
      <c r="BM89" s="230">
        <v>1891</v>
      </c>
      <c r="BN89" s="230">
        <v>1725</v>
      </c>
      <c r="BO89" s="228">
        <v>166</v>
      </c>
      <c r="BP89" s="229">
        <v>9.64E-2</v>
      </c>
      <c r="BQ89" s="230">
        <v>7131</v>
      </c>
      <c r="BR89" s="230">
        <v>6243</v>
      </c>
      <c r="BS89" s="228">
        <v>889</v>
      </c>
      <c r="BT89" s="229">
        <v>0.14230000000000001</v>
      </c>
      <c r="BU89" s="230">
        <v>5959903</v>
      </c>
      <c r="BV89" s="230">
        <v>7029824</v>
      </c>
      <c r="BW89" s="230">
        <v>-1069921</v>
      </c>
      <c r="BX89" s="229">
        <v>-0.1522</v>
      </c>
      <c r="BY89" s="230">
        <v>15191</v>
      </c>
      <c r="BZ89" s="230">
        <v>15127</v>
      </c>
      <c r="CA89" s="228">
        <v>64</v>
      </c>
      <c r="CB89" s="229">
        <v>4.1999999999999997E-3</v>
      </c>
      <c r="CC89" s="230">
        <v>13270</v>
      </c>
      <c r="CD89" s="230">
        <v>13634</v>
      </c>
      <c r="CE89" s="228">
        <v>-364</v>
      </c>
      <c r="CF89" s="229">
        <v>-2.6700000000000002E-2</v>
      </c>
      <c r="CG89" s="230">
        <v>1235</v>
      </c>
      <c r="CH89" s="228">
        <v>899</v>
      </c>
      <c r="CI89" s="228">
        <v>336</v>
      </c>
      <c r="CJ89" s="229">
        <v>0.3735</v>
      </c>
      <c r="CK89" s="228">
        <v>686</v>
      </c>
      <c r="CL89" s="228">
        <v>593</v>
      </c>
      <c r="CM89" s="228">
        <v>92</v>
      </c>
      <c r="CN89" s="229">
        <v>0.1555</v>
      </c>
      <c r="CO89" s="230">
        <v>3484</v>
      </c>
      <c r="CP89" s="230">
        <v>3277</v>
      </c>
      <c r="CQ89" s="228">
        <v>208</v>
      </c>
      <c r="CR89" s="229">
        <v>6.3399999999999998E-2</v>
      </c>
      <c r="CS89" s="230">
        <v>2021</v>
      </c>
      <c r="CT89" s="230">
        <v>2012</v>
      </c>
      <c r="CU89" s="228">
        <v>9</v>
      </c>
      <c r="CV89" s="229">
        <v>4.4999999999999997E-3</v>
      </c>
      <c r="CW89" s="230">
        <v>20696</v>
      </c>
      <c r="CX89" s="230">
        <v>20415</v>
      </c>
      <c r="CY89" s="228">
        <v>281</v>
      </c>
      <c r="CZ89" s="229">
        <v>1.37E-2</v>
      </c>
      <c r="DA89" s="228">
        <v>14.75</v>
      </c>
      <c r="DB89" s="228">
        <v>14.48</v>
      </c>
      <c r="DC89" s="228">
        <v>0.27</v>
      </c>
      <c r="DD89" s="228">
        <v>0.27</v>
      </c>
      <c r="DE89" s="228">
        <v>22.07</v>
      </c>
      <c r="DF89" s="228">
        <v>22.11</v>
      </c>
      <c r="DG89" s="228">
        <v>-7.32</v>
      </c>
      <c r="DH89" s="228">
        <v>-0.04</v>
      </c>
      <c r="DI89" s="228">
        <v>14.97</v>
      </c>
      <c r="DJ89" s="228">
        <v>14.33</v>
      </c>
      <c r="DK89" s="228">
        <v>0.64</v>
      </c>
      <c r="DL89" s="228">
        <v>0.64</v>
      </c>
      <c r="DM89" s="228">
        <v>14.34</v>
      </c>
      <c r="DN89" s="228">
        <v>14.77</v>
      </c>
      <c r="DO89" s="228">
        <v>-0.43</v>
      </c>
      <c r="DP89" s="228">
        <v>-0.43</v>
      </c>
      <c r="DQ89" s="228">
        <v>0.57999999999999996</v>
      </c>
      <c r="DR89" s="228">
        <v>0.61</v>
      </c>
      <c r="DS89" s="228">
        <v>-0.03</v>
      </c>
      <c r="DT89" s="229">
        <v>-4.9200000000000001E-2</v>
      </c>
      <c r="DU89" s="231">
        <v>1500</v>
      </c>
      <c r="DV89" s="231">
        <v>1420</v>
      </c>
      <c r="DW89" s="228">
        <v>0.54</v>
      </c>
      <c r="DX89" s="228">
        <v>0.51</v>
      </c>
      <c r="DY89" s="228">
        <v>0.03</v>
      </c>
      <c r="DZ89" s="229">
        <v>5.8799999999999998E-2</v>
      </c>
      <c r="EA89" s="229">
        <v>0.12640000000000001</v>
      </c>
      <c r="EB89" s="230">
        <v>10430000</v>
      </c>
      <c r="EC89" s="229">
        <v>5.8999999999999999E-3</v>
      </c>
      <c r="ED89" s="229">
        <v>0.12640000000000001</v>
      </c>
      <c r="EE89" s="228">
        <v>8.66</v>
      </c>
      <c r="EF89" s="229">
        <v>6.1000000000000004E-3</v>
      </c>
      <c r="EG89" s="230">
        <v>4125973</v>
      </c>
      <c r="EH89" s="230">
        <v>4524878</v>
      </c>
      <c r="EI89" s="229">
        <v>-8.8200000000000001E-2</v>
      </c>
      <c r="EJ89" s="229">
        <v>0.69230000000000003</v>
      </c>
      <c r="EK89" s="231">
        <v>3554.5</v>
      </c>
      <c r="EL89" s="231">
        <v>1888.1</v>
      </c>
      <c r="EM89" s="231">
        <v>1744.72</v>
      </c>
      <c r="EN89" s="228">
        <v>0</v>
      </c>
      <c r="EO89" s="231">
        <v>7187.32</v>
      </c>
      <c r="EP89" s="231">
        <v>6315.64</v>
      </c>
      <c r="EQ89" s="228">
        <v>871.68</v>
      </c>
      <c r="ER89" s="229">
        <v>0.13800000000000001</v>
      </c>
      <c r="ES89" s="231">
        <v>3610.19</v>
      </c>
      <c r="ET89" s="231">
        <v>1993.75</v>
      </c>
      <c r="EU89" s="231">
        <v>15205.23</v>
      </c>
      <c r="EV89" s="231">
        <v>1159570344</v>
      </c>
      <c r="EW89" s="231">
        <v>20809.18</v>
      </c>
      <c r="EX89" s="231">
        <v>20591.87</v>
      </c>
      <c r="EY89" s="228">
        <v>217.31</v>
      </c>
      <c r="EZ89" s="229">
        <v>1.06E-2</v>
      </c>
      <c r="FA89" s="229">
        <v>0.12470000000000001</v>
      </c>
      <c r="FB89" s="227" t="s">
        <v>567</v>
      </c>
      <c r="FC89">
        <f t="shared" si="1"/>
        <v>1921</v>
      </c>
    </row>
    <row r="90" spans="1:159" ht="17.25" thickBot="1" x14ac:dyDescent="0.3">
      <c r="A90" s="226">
        <v>45889</v>
      </c>
      <c r="B90" s="227" t="s">
        <v>175</v>
      </c>
      <c r="C90" s="227" t="s">
        <v>472</v>
      </c>
      <c r="D90" s="228">
        <v>325</v>
      </c>
      <c r="E90" s="228">
        <v>8</v>
      </c>
      <c r="F90" s="231">
        <v>1975.2</v>
      </c>
      <c r="G90" s="231">
        <v>1953.2</v>
      </c>
      <c r="H90" s="228">
        <v>22</v>
      </c>
      <c r="I90" s="229">
        <v>1.1299999999999999E-2</v>
      </c>
      <c r="J90" s="231">
        <v>1968.5</v>
      </c>
      <c r="K90" s="231">
        <v>1952.9</v>
      </c>
      <c r="L90" s="228">
        <v>15.6</v>
      </c>
      <c r="M90" s="229">
        <v>8.0000000000000002E-3</v>
      </c>
      <c r="N90" s="231">
        <v>1975.2</v>
      </c>
      <c r="O90" s="231">
        <v>1953.2</v>
      </c>
      <c r="P90" s="228">
        <v>22</v>
      </c>
      <c r="Q90" s="229">
        <v>1.1299999999999999E-2</v>
      </c>
      <c r="R90" s="231">
        <v>1984.1</v>
      </c>
      <c r="S90" s="231">
        <v>1962.1</v>
      </c>
      <c r="T90" s="228">
        <v>22</v>
      </c>
      <c r="U90" s="229">
        <v>1.12E-2</v>
      </c>
      <c r="V90" s="231">
        <v>1957</v>
      </c>
      <c r="W90" s="231">
        <v>1957</v>
      </c>
      <c r="X90" s="228">
        <v>0</v>
      </c>
      <c r="Y90" s="229">
        <v>0</v>
      </c>
      <c r="Z90" s="228">
        <v>6.7</v>
      </c>
      <c r="AA90" s="228">
        <v>0.3</v>
      </c>
      <c r="AB90" s="228">
        <v>6.4</v>
      </c>
      <c r="AC90" s="229">
        <v>3.3999999999999998E-3</v>
      </c>
      <c r="AD90" s="228">
        <v>6.7</v>
      </c>
      <c r="AE90" s="228">
        <v>0.3</v>
      </c>
      <c r="AF90" s="228">
        <v>6.4</v>
      </c>
      <c r="AG90" s="229">
        <v>3.3999999999999998E-3</v>
      </c>
      <c r="AH90" s="228">
        <v>15.6</v>
      </c>
      <c r="AI90" s="228">
        <v>9.1999999999999993</v>
      </c>
      <c r="AJ90" s="228">
        <v>6.4</v>
      </c>
      <c r="AK90" s="229">
        <v>7.9000000000000008E-3</v>
      </c>
      <c r="AL90" s="228">
        <v>-11.5</v>
      </c>
      <c r="AM90" s="228">
        <v>4.0999999999999996</v>
      </c>
      <c r="AN90" s="228">
        <v>-15.6</v>
      </c>
      <c r="AO90" s="229">
        <v>-5.7999999999999996E-3</v>
      </c>
      <c r="AP90" s="231">
        <v>1969.15</v>
      </c>
      <c r="AQ90" s="231">
        <v>1976.31</v>
      </c>
      <c r="AR90" s="228">
        <v>0</v>
      </c>
      <c r="AS90" s="228">
        <v>69</v>
      </c>
      <c r="AT90" s="228">
        <v>94</v>
      </c>
      <c r="AU90" s="228">
        <v>-25</v>
      </c>
      <c r="AV90" s="229">
        <v>-0.26419999999999999</v>
      </c>
      <c r="AW90" s="228">
        <v>61</v>
      </c>
      <c r="AX90" s="228">
        <v>86</v>
      </c>
      <c r="AY90" s="228">
        <v>-25</v>
      </c>
      <c r="AZ90" s="229">
        <v>-0.29260000000000003</v>
      </c>
      <c r="BA90" s="228">
        <v>8</v>
      </c>
      <c r="BB90" s="228">
        <v>7</v>
      </c>
      <c r="BC90" s="228">
        <v>1</v>
      </c>
      <c r="BD90" s="229">
        <v>0.11210000000000001</v>
      </c>
      <c r="BE90" s="228">
        <v>0</v>
      </c>
      <c r="BF90" s="228">
        <v>1</v>
      </c>
      <c r="BG90" s="228">
        <v>-1</v>
      </c>
      <c r="BH90" s="229">
        <v>-1</v>
      </c>
      <c r="BI90" s="228">
        <v>211</v>
      </c>
      <c r="BJ90" s="228">
        <v>145</v>
      </c>
      <c r="BK90" s="228">
        <v>66</v>
      </c>
      <c r="BL90" s="229">
        <v>0.45660000000000001</v>
      </c>
      <c r="BM90" s="228">
        <v>65</v>
      </c>
      <c r="BN90" s="228">
        <v>90</v>
      </c>
      <c r="BO90" s="228">
        <v>-25</v>
      </c>
      <c r="BP90" s="229">
        <v>-0.28249999999999997</v>
      </c>
      <c r="BQ90" s="228">
        <v>345</v>
      </c>
      <c r="BR90" s="228">
        <v>328</v>
      </c>
      <c r="BS90" s="228">
        <v>16</v>
      </c>
      <c r="BT90" s="229">
        <v>4.8899999999999999E-2</v>
      </c>
      <c r="BU90" s="230">
        <v>184272</v>
      </c>
      <c r="BV90" s="230">
        <v>459429</v>
      </c>
      <c r="BW90" s="230">
        <v>-275157</v>
      </c>
      <c r="BX90" s="229">
        <v>-0.59889999999999999</v>
      </c>
      <c r="BY90" s="230">
        <v>1003</v>
      </c>
      <c r="BZ90" s="228">
        <v>988</v>
      </c>
      <c r="CA90" s="228">
        <v>15</v>
      </c>
      <c r="CB90" s="229">
        <v>1.52E-2</v>
      </c>
      <c r="CC90" s="228">
        <v>987</v>
      </c>
      <c r="CD90" s="228">
        <v>976</v>
      </c>
      <c r="CE90" s="228">
        <v>12</v>
      </c>
      <c r="CF90" s="229">
        <v>1.18E-2</v>
      </c>
      <c r="CG90" s="228">
        <v>15</v>
      </c>
      <c r="CH90" s="228">
        <v>12</v>
      </c>
      <c r="CI90" s="228">
        <v>3</v>
      </c>
      <c r="CJ90" s="229">
        <v>0.29670000000000002</v>
      </c>
      <c r="CK90" s="228">
        <v>1</v>
      </c>
      <c r="CL90" s="228">
        <v>1</v>
      </c>
      <c r="CM90" s="228">
        <v>0</v>
      </c>
      <c r="CN90" s="229">
        <v>0</v>
      </c>
      <c r="CO90" s="228">
        <v>140</v>
      </c>
      <c r="CP90" s="228">
        <v>125</v>
      </c>
      <c r="CQ90" s="228">
        <v>15</v>
      </c>
      <c r="CR90" s="229">
        <v>0.12379999999999999</v>
      </c>
      <c r="CS90" s="228">
        <v>110</v>
      </c>
      <c r="CT90" s="228">
        <v>110</v>
      </c>
      <c r="CU90" s="228">
        <v>-1</v>
      </c>
      <c r="CV90" s="229">
        <v>-5.7999999999999996E-3</v>
      </c>
      <c r="CW90" s="230">
        <v>1253</v>
      </c>
      <c r="CX90" s="230">
        <v>1223</v>
      </c>
      <c r="CY90" s="228">
        <v>30</v>
      </c>
      <c r="CZ90" s="229">
        <v>2.4400000000000002E-2</v>
      </c>
      <c r="DA90" s="228">
        <v>22.77</v>
      </c>
      <c r="DB90" s="228">
        <v>23.06</v>
      </c>
      <c r="DC90" s="228">
        <v>-0.28999999999999998</v>
      </c>
      <c r="DD90" s="228">
        <v>-0.28999999999999998</v>
      </c>
      <c r="DE90" s="228">
        <v>29.21</v>
      </c>
      <c r="DF90" s="228">
        <v>29.26</v>
      </c>
      <c r="DG90" s="228">
        <v>-6.44</v>
      </c>
      <c r="DH90" s="228">
        <v>-0.05</v>
      </c>
      <c r="DI90" s="228">
        <v>22.59</v>
      </c>
      <c r="DJ90" s="228">
        <v>22.22</v>
      </c>
      <c r="DK90" s="228">
        <v>0.37</v>
      </c>
      <c r="DL90" s="228">
        <v>0.37</v>
      </c>
      <c r="DM90" s="228">
        <v>23.35</v>
      </c>
      <c r="DN90" s="228">
        <v>24.41</v>
      </c>
      <c r="DO90" s="228">
        <v>-1.06</v>
      </c>
      <c r="DP90" s="228">
        <v>-1.06</v>
      </c>
      <c r="DQ90" s="228">
        <v>0.78</v>
      </c>
      <c r="DR90" s="228">
        <v>0.88</v>
      </c>
      <c r="DS90" s="228">
        <v>-0.1</v>
      </c>
      <c r="DT90" s="229">
        <v>-0.11360000000000001</v>
      </c>
      <c r="DU90" s="231">
        <v>2000</v>
      </c>
      <c r="DV90" s="231">
        <v>2000</v>
      </c>
      <c r="DW90" s="228">
        <v>0.31</v>
      </c>
      <c r="DX90" s="228">
        <v>0.62</v>
      </c>
      <c r="DY90" s="228">
        <v>-0.31</v>
      </c>
      <c r="DZ90" s="229">
        <v>-0.5</v>
      </c>
      <c r="EA90" s="229">
        <v>1.5699999999999999E-2</v>
      </c>
      <c r="EB90" s="230">
        <v>62075</v>
      </c>
      <c r="EC90" s="229">
        <v>4.4999999999999997E-3</v>
      </c>
      <c r="ED90" s="229">
        <v>1.5699999999999999E-2</v>
      </c>
      <c r="EE90" s="228">
        <v>7.16</v>
      </c>
      <c r="EF90" s="229">
        <v>3.5999999999999999E-3</v>
      </c>
      <c r="EG90" s="230">
        <v>108694</v>
      </c>
      <c r="EH90" s="230">
        <v>270946</v>
      </c>
      <c r="EI90" s="229">
        <v>-0.5988</v>
      </c>
      <c r="EJ90" s="229">
        <v>0.58989999999999998</v>
      </c>
      <c r="EK90" s="228">
        <v>218.82</v>
      </c>
      <c r="EL90" s="228">
        <v>63.5</v>
      </c>
      <c r="EM90" s="228">
        <v>68.64</v>
      </c>
      <c r="EN90" s="228">
        <v>0</v>
      </c>
      <c r="EO90" s="228">
        <v>350.96</v>
      </c>
      <c r="EP90" s="228">
        <v>325.70999999999998</v>
      </c>
      <c r="EQ90" s="228">
        <v>25.25</v>
      </c>
      <c r="ER90" s="229">
        <v>7.7499999999999999E-2</v>
      </c>
      <c r="ES90" s="228">
        <v>142.72999999999999</v>
      </c>
      <c r="ET90" s="228">
        <v>105.82</v>
      </c>
      <c r="EU90" s="231">
        <v>1002.97</v>
      </c>
      <c r="EV90" s="231">
        <v>48215701</v>
      </c>
      <c r="EW90" s="231">
        <v>1251.52</v>
      </c>
      <c r="EX90" s="231">
        <v>1209.79</v>
      </c>
      <c r="EY90" s="228">
        <v>41.73</v>
      </c>
      <c r="EZ90" s="229">
        <v>3.4500000000000003E-2</v>
      </c>
      <c r="FA90" s="229">
        <v>0.13159999999999999</v>
      </c>
      <c r="FB90" s="227" t="s">
        <v>555</v>
      </c>
      <c r="FC90">
        <f t="shared" si="1"/>
        <v>16</v>
      </c>
    </row>
    <row r="91" spans="1:159" ht="17.25" thickBot="1" x14ac:dyDescent="0.3">
      <c r="A91" s="226">
        <v>45889</v>
      </c>
      <c r="B91" s="227" t="s">
        <v>175</v>
      </c>
      <c r="C91" s="227" t="s">
        <v>233</v>
      </c>
      <c r="D91" s="228">
        <v>925</v>
      </c>
      <c r="E91" s="228">
        <v>8</v>
      </c>
      <c r="F91" s="228">
        <v>634.04999999999995</v>
      </c>
      <c r="G91" s="228">
        <v>634.1</v>
      </c>
      <c r="H91" s="228">
        <v>-0.05</v>
      </c>
      <c r="I91" s="229">
        <v>-1E-4</v>
      </c>
      <c r="J91" s="228">
        <v>632.04999999999995</v>
      </c>
      <c r="K91" s="228">
        <v>633.45000000000005</v>
      </c>
      <c r="L91" s="228">
        <v>-1.4</v>
      </c>
      <c r="M91" s="229">
        <v>-2.2000000000000001E-3</v>
      </c>
      <c r="N91" s="228">
        <v>634.04999999999995</v>
      </c>
      <c r="O91" s="228">
        <v>634.1</v>
      </c>
      <c r="P91" s="228">
        <v>-0.05</v>
      </c>
      <c r="Q91" s="229">
        <v>-1E-4</v>
      </c>
      <c r="R91" s="228">
        <v>637.20000000000005</v>
      </c>
      <c r="S91" s="228">
        <v>638.1</v>
      </c>
      <c r="T91" s="228">
        <v>-0.9</v>
      </c>
      <c r="U91" s="229">
        <v>-1.4E-3</v>
      </c>
      <c r="V91" s="228">
        <v>640.6</v>
      </c>
      <c r="W91" s="228">
        <v>641.04999999999995</v>
      </c>
      <c r="X91" s="228">
        <v>-0.45</v>
      </c>
      <c r="Y91" s="229">
        <v>-6.9999999999999999E-4</v>
      </c>
      <c r="Z91" s="228">
        <v>2</v>
      </c>
      <c r="AA91" s="228">
        <v>0.65</v>
      </c>
      <c r="AB91" s="228">
        <v>1.35</v>
      </c>
      <c r="AC91" s="229">
        <v>3.2000000000000002E-3</v>
      </c>
      <c r="AD91" s="228">
        <v>2</v>
      </c>
      <c r="AE91" s="228">
        <v>0.65</v>
      </c>
      <c r="AF91" s="228">
        <v>1.35</v>
      </c>
      <c r="AG91" s="229">
        <v>3.2000000000000002E-3</v>
      </c>
      <c r="AH91" s="228">
        <v>5.15</v>
      </c>
      <c r="AI91" s="228">
        <v>4.6500000000000004</v>
      </c>
      <c r="AJ91" s="228">
        <v>0.5</v>
      </c>
      <c r="AK91" s="229">
        <v>8.0999999999999996E-3</v>
      </c>
      <c r="AL91" s="228">
        <v>8.5500000000000007</v>
      </c>
      <c r="AM91" s="228">
        <v>7.6</v>
      </c>
      <c r="AN91" s="228">
        <v>0.95</v>
      </c>
      <c r="AO91" s="229">
        <v>1.35E-2</v>
      </c>
      <c r="AP91" s="228">
        <v>635.41999999999996</v>
      </c>
      <c r="AQ91" s="228">
        <v>638.47</v>
      </c>
      <c r="AR91" s="228">
        <v>0</v>
      </c>
      <c r="AS91" s="228">
        <v>68</v>
      </c>
      <c r="AT91" s="228">
        <v>76</v>
      </c>
      <c r="AU91" s="228">
        <v>-8</v>
      </c>
      <c r="AV91" s="229">
        <v>-9.9000000000000005E-2</v>
      </c>
      <c r="AW91" s="228">
        <v>53</v>
      </c>
      <c r="AX91" s="228">
        <v>66</v>
      </c>
      <c r="AY91" s="228">
        <v>-13</v>
      </c>
      <c r="AZ91" s="229">
        <v>-0.19489999999999999</v>
      </c>
      <c r="BA91" s="228">
        <v>15</v>
      </c>
      <c r="BB91" s="228">
        <v>9</v>
      </c>
      <c r="BC91" s="228">
        <v>6</v>
      </c>
      <c r="BD91" s="229">
        <v>0.64290000000000003</v>
      </c>
      <c r="BE91" s="228">
        <v>0</v>
      </c>
      <c r="BF91" s="228">
        <v>1</v>
      </c>
      <c r="BG91" s="228">
        <v>0</v>
      </c>
      <c r="BH91" s="229">
        <v>-0.7</v>
      </c>
      <c r="BI91" s="228">
        <v>110</v>
      </c>
      <c r="BJ91" s="228">
        <v>191</v>
      </c>
      <c r="BK91" s="228">
        <v>-81</v>
      </c>
      <c r="BL91" s="229">
        <v>-0.4244</v>
      </c>
      <c r="BM91" s="228">
        <v>32</v>
      </c>
      <c r="BN91" s="228">
        <v>65</v>
      </c>
      <c r="BO91" s="228">
        <v>-33</v>
      </c>
      <c r="BP91" s="229">
        <v>-0.51219999999999999</v>
      </c>
      <c r="BQ91" s="228">
        <v>210</v>
      </c>
      <c r="BR91" s="228">
        <v>331</v>
      </c>
      <c r="BS91" s="228">
        <v>-122</v>
      </c>
      <c r="BT91" s="229">
        <v>-0.36709999999999998</v>
      </c>
      <c r="BU91" s="230">
        <v>425318</v>
      </c>
      <c r="BV91" s="230">
        <v>445452</v>
      </c>
      <c r="BW91" s="230">
        <v>-20134</v>
      </c>
      <c r="BX91" s="229">
        <v>-4.5199999999999997E-2</v>
      </c>
      <c r="BY91" s="228">
        <v>817</v>
      </c>
      <c r="BZ91" s="228">
        <v>807</v>
      </c>
      <c r="CA91" s="228">
        <v>10</v>
      </c>
      <c r="CB91" s="229">
        <v>1.24E-2</v>
      </c>
      <c r="CC91" s="228">
        <v>792</v>
      </c>
      <c r="CD91" s="228">
        <v>789</v>
      </c>
      <c r="CE91" s="228">
        <v>4</v>
      </c>
      <c r="CF91" s="229">
        <v>4.7000000000000002E-3</v>
      </c>
      <c r="CG91" s="228">
        <v>24</v>
      </c>
      <c r="CH91" s="228">
        <v>17</v>
      </c>
      <c r="CI91" s="228">
        <v>6</v>
      </c>
      <c r="CJ91" s="229">
        <v>0.36859999999999998</v>
      </c>
      <c r="CK91" s="228">
        <v>1</v>
      </c>
      <c r="CL91" s="228">
        <v>1</v>
      </c>
      <c r="CM91" s="228">
        <v>0</v>
      </c>
      <c r="CN91" s="229">
        <v>0</v>
      </c>
      <c r="CO91" s="228">
        <v>181</v>
      </c>
      <c r="CP91" s="228">
        <v>182</v>
      </c>
      <c r="CQ91" s="228">
        <v>-1</v>
      </c>
      <c r="CR91" s="229">
        <v>-4.4999999999999997E-3</v>
      </c>
      <c r="CS91" s="228">
        <v>130</v>
      </c>
      <c r="CT91" s="228">
        <v>124</v>
      </c>
      <c r="CU91" s="228">
        <v>6</v>
      </c>
      <c r="CV91" s="229">
        <v>4.8599999999999997E-2</v>
      </c>
      <c r="CW91" s="230">
        <v>1129</v>
      </c>
      <c r="CX91" s="230">
        <v>1113</v>
      </c>
      <c r="CY91" s="228">
        <v>15</v>
      </c>
      <c r="CZ91" s="229">
        <v>1.37E-2</v>
      </c>
      <c r="DA91" s="228">
        <v>26.58</v>
      </c>
      <c r="DB91" s="228">
        <v>25.62</v>
      </c>
      <c r="DC91" s="228">
        <v>0.96</v>
      </c>
      <c r="DD91" s="228">
        <v>0.96</v>
      </c>
      <c r="DE91" s="228">
        <v>29.84</v>
      </c>
      <c r="DF91" s="228">
        <v>29.92</v>
      </c>
      <c r="DG91" s="228">
        <v>-3.26</v>
      </c>
      <c r="DH91" s="228">
        <v>-0.08</v>
      </c>
      <c r="DI91" s="228">
        <v>26.67</v>
      </c>
      <c r="DJ91" s="228">
        <v>25.45</v>
      </c>
      <c r="DK91" s="228">
        <v>1.22</v>
      </c>
      <c r="DL91" s="228">
        <v>1.22</v>
      </c>
      <c r="DM91" s="228">
        <v>26.29</v>
      </c>
      <c r="DN91" s="228">
        <v>26.12</v>
      </c>
      <c r="DO91" s="228">
        <v>0.17</v>
      </c>
      <c r="DP91" s="228">
        <v>0.17</v>
      </c>
      <c r="DQ91" s="228">
        <v>0.72</v>
      </c>
      <c r="DR91" s="228">
        <v>0.68</v>
      </c>
      <c r="DS91" s="228">
        <v>0.04</v>
      </c>
      <c r="DT91" s="229">
        <v>5.8799999999999998E-2</v>
      </c>
      <c r="DU91" s="228">
        <v>650</v>
      </c>
      <c r="DV91" s="228">
        <v>650</v>
      </c>
      <c r="DW91" s="228">
        <v>0.28999999999999998</v>
      </c>
      <c r="DX91" s="228">
        <v>0.34</v>
      </c>
      <c r="DY91" s="228">
        <v>-0.05</v>
      </c>
      <c r="DZ91" s="229">
        <v>-0.14710000000000001</v>
      </c>
      <c r="EA91" s="229">
        <v>2.9899999999999999E-2</v>
      </c>
      <c r="EB91" s="230">
        <v>285825</v>
      </c>
      <c r="EC91" s="229">
        <v>5.0000000000000001E-3</v>
      </c>
      <c r="ED91" s="229">
        <v>2.9899999999999999E-2</v>
      </c>
      <c r="EE91" s="228">
        <v>3.05</v>
      </c>
      <c r="EF91" s="229">
        <v>4.7999999999999996E-3</v>
      </c>
      <c r="EG91" s="230">
        <v>272199</v>
      </c>
      <c r="EH91" s="230">
        <v>219285</v>
      </c>
      <c r="EI91" s="229">
        <v>0.24129999999999999</v>
      </c>
      <c r="EJ91" s="229">
        <v>0.64</v>
      </c>
      <c r="EK91" s="228">
        <v>113.81</v>
      </c>
      <c r="EL91" s="228">
        <v>31.25</v>
      </c>
      <c r="EM91" s="228">
        <v>68.55</v>
      </c>
      <c r="EN91" s="228">
        <v>0</v>
      </c>
      <c r="EO91" s="228">
        <v>213.6</v>
      </c>
      <c r="EP91" s="228">
        <v>337.49</v>
      </c>
      <c r="EQ91" s="228">
        <v>-123.88</v>
      </c>
      <c r="ER91" s="229">
        <v>-0.36709999999999998</v>
      </c>
      <c r="ES91" s="228">
        <v>186.19</v>
      </c>
      <c r="ET91" s="228">
        <v>127.41</v>
      </c>
      <c r="EU91" s="228">
        <v>817.06</v>
      </c>
      <c r="EV91" s="231">
        <v>78208959</v>
      </c>
      <c r="EW91" s="231">
        <v>1130.6600000000001</v>
      </c>
      <c r="EX91" s="231">
        <v>1115.5899999999999</v>
      </c>
      <c r="EY91" s="228">
        <v>15.07</v>
      </c>
      <c r="EZ91" s="229">
        <v>1.35E-2</v>
      </c>
      <c r="FA91" s="229">
        <v>0.2276</v>
      </c>
      <c r="FB91" s="227" t="s">
        <v>567</v>
      </c>
      <c r="FC91">
        <f t="shared" si="1"/>
        <v>25</v>
      </c>
    </row>
    <row r="92" spans="1:159" ht="17.25" thickBot="1" x14ac:dyDescent="0.3">
      <c r="A92" s="226">
        <v>45889</v>
      </c>
      <c r="B92" s="227" t="s">
        <v>188</v>
      </c>
      <c r="C92" s="227" t="s">
        <v>234</v>
      </c>
      <c r="D92" s="228">
        <v>71475</v>
      </c>
      <c r="E92" s="228">
        <v>8</v>
      </c>
      <c r="F92" s="228">
        <v>6.79</v>
      </c>
      <c r="G92" s="228">
        <v>6.6</v>
      </c>
      <c r="H92" s="228">
        <v>0.19</v>
      </c>
      <c r="I92" s="229">
        <v>2.8799999999999999E-2</v>
      </c>
      <c r="J92" s="228">
        <v>6.79</v>
      </c>
      <c r="K92" s="228">
        <v>6.58</v>
      </c>
      <c r="L92" s="228">
        <v>0.21</v>
      </c>
      <c r="M92" s="229">
        <v>3.1899999999999998E-2</v>
      </c>
      <c r="N92" s="228">
        <v>6.79</v>
      </c>
      <c r="O92" s="228">
        <v>6.6</v>
      </c>
      <c r="P92" s="228">
        <v>0.19</v>
      </c>
      <c r="Q92" s="229">
        <v>2.8799999999999999E-2</v>
      </c>
      <c r="R92" s="228">
        <v>6.84</v>
      </c>
      <c r="S92" s="228">
        <v>6.64</v>
      </c>
      <c r="T92" s="228">
        <v>0.2</v>
      </c>
      <c r="U92" s="229">
        <v>3.0099999999999998E-2</v>
      </c>
      <c r="V92" s="228">
        <v>6.88</v>
      </c>
      <c r="W92" s="228">
        <v>6.68</v>
      </c>
      <c r="X92" s="228">
        <v>0.2</v>
      </c>
      <c r="Y92" s="229">
        <v>2.9899999999999999E-2</v>
      </c>
      <c r="Z92" s="228">
        <v>0</v>
      </c>
      <c r="AA92" s="228">
        <v>0.02</v>
      </c>
      <c r="AB92" s="228">
        <v>-0.02</v>
      </c>
      <c r="AC92" s="229">
        <v>0</v>
      </c>
      <c r="AD92" s="228">
        <v>0</v>
      </c>
      <c r="AE92" s="228">
        <v>0.02</v>
      </c>
      <c r="AF92" s="228">
        <v>-0.02</v>
      </c>
      <c r="AG92" s="229">
        <v>0</v>
      </c>
      <c r="AH92" s="228">
        <v>0.05</v>
      </c>
      <c r="AI92" s="228">
        <v>0.06</v>
      </c>
      <c r="AJ92" s="228">
        <v>-0.01</v>
      </c>
      <c r="AK92" s="229">
        <v>7.4000000000000003E-3</v>
      </c>
      <c r="AL92" s="228">
        <v>0.09</v>
      </c>
      <c r="AM92" s="228">
        <v>0.1</v>
      </c>
      <c r="AN92" s="228">
        <v>-0.01</v>
      </c>
      <c r="AO92" s="229">
        <v>1.3299999999999999E-2</v>
      </c>
      <c r="AP92" s="228">
        <v>6.8</v>
      </c>
      <c r="AQ92" s="228">
        <v>6.85</v>
      </c>
      <c r="AR92" s="228">
        <v>0</v>
      </c>
      <c r="AS92" s="228">
        <v>686</v>
      </c>
      <c r="AT92" s="230">
        <v>1075</v>
      </c>
      <c r="AU92" s="228">
        <v>-390</v>
      </c>
      <c r="AV92" s="229">
        <v>-0.36230000000000001</v>
      </c>
      <c r="AW92" s="228">
        <v>461</v>
      </c>
      <c r="AX92" s="228">
        <v>636</v>
      </c>
      <c r="AY92" s="228">
        <v>-175</v>
      </c>
      <c r="AZ92" s="229">
        <v>-0.27489999999999998</v>
      </c>
      <c r="BA92" s="228">
        <v>205</v>
      </c>
      <c r="BB92" s="228">
        <v>428</v>
      </c>
      <c r="BC92" s="228">
        <v>-222</v>
      </c>
      <c r="BD92" s="229">
        <v>-0.52039999999999997</v>
      </c>
      <c r="BE92" s="228">
        <v>20</v>
      </c>
      <c r="BF92" s="228">
        <v>12</v>
      </c>
      <c r="BG92" s="228">
        <v>8</v>
      </c>
      <c r="BH92" s="229">
        <v>0.63560000000000005</v>
      </c>
      <c r="BI92" s="228">
        <v>711</v>
      </c>
      <c r="BJ92" s="228">
        <v>323</v>
      </c>
      <c r="BK92" s="228">
        <v>388</v>
      </c>
      <c r="BL92" s="229">
        <v>1.2021999999999999</v>
      </c>
      <c r="BM92" s="228">
        <v>201</v>
      </c>
      <c r="BN92" s="228">
        <v>84</v>
      </c>
      <c r="BO92" s="228">
        <v>117</v>
      </c>
      <c r="BP92" s="229">
        <v>1.3874</v>
      </c>
      <c r="BQ92" s="230">
        <v>1598</v>
      </c>
      <c r="BR92" s="230">
        <v>1483</v>
      </c>
      <c r="BS92" s="228">
        <v>115</v>
      </c>
      <c r="BT92" s="229">
        <v>7.7799999999999994E-2</v>
      </c>
      <c r="BU92" s="230">
        <v>612005677</v>
      </c>
      <c r="BV92" s="230">
        <v>396053206</v>
      </c>
      <c r="BW92" s="230">
        <v>215952471</v>
      </c>
      <c r="BX92" s="229">
        <v>0.54530000000000001</v>
      </c>
      <c r="BY92" s="230">
        <v>3754</v>
      </c>
      <c r="BZ92" s="230">
        <v>3714</v>
      </c>
      <c r="CA92" s="228">
        <v>40</v>
      </c>
      <c r="CB92" s="229">
        <v>1.09E-2</v>
      </c>
      <c r="CC92" s="230">
        <v>2997</v>
      </c>
      <c r="CD92" s="230">
        <v>3056</v>
      </c>
      <c r="CE92" s="228">
        <v>-59</v>
      </c>
      <c r="CF92" s="229">
        <v>-1.9300000000000001E-2</v>
      </c>
      <c r="CG92" s="228">
        <v>710</v>
      </c>
      <c r="CH92" s="228">
        <v>616</v>
      </c>
      <c r="CI92" s="228">
        <v>94</v>
      </c>
      <c r="CJ92" s="229">
        <v>0.152</v>
      </c>
      <c r="CK92" s="228">
        <v>47</v>
      </c>
      <c r="CL92" s="228">
        <v>41</v>
      </c>
      <c r="CM92" s="228">
        <v>6</v>
      </c>
      <c r="CN92" s="229">
        <v>0.13569999999999999</v>
      </c>
      <c r="CO92" s="228">
        <v>955</v>
      </c>
      <c r="CP92" s="228">
        <v>960</v>
      </c>
      <c r="CQ92" s="228">
        <v>-5</v>
      </c>
      <c r="CR92" s="229">
        <v>-4.8999999999999998E-3</v>
      </c>
      <c r="CS92" s="228">
        <v>480</v>
      </c>
      <c r="CT92" s="228">
        <v>480</v>
      </c>
      <c r="CU92" s="228">
        <v>0</v>
      </c>
      <c r="CV92" s="229">
        <v>8.9999999999999998E-4</v>
      </c>
      <c r="CW92" s="230">
        <v>5189</v>
      </c>
      <c r="CX92" s="230">
        <v>5153</v>
      </c>
      <c r="CY92" s="228">
        <v>36</v>
      </c>
      <c r="CZ92" s="229">
        <v>7.0000000000000001E-3</v>
      </c>
      <c r="DA92" s="228">
        <v>59.13</v>
      </c>
      <c r="DB92" s="228">
        <v>58.23</v>
      </c>
      <c r="DC92" s="228">
        <v>0.9</v>
      </c>
      <c r="DD92" s="228">
        <v>0.9</v>
      </c>
      <c r="DE92" s="228">
        <v>65.88</v>
      </c>
      <c r="DF92" s="228">
        <v>65.94</v>
      </c>
      <c r="DG92" s="228">
        <v>-6.75</v>
      </c>
      <c r="DH92" s="228">
        <v>-0.06</v>
      </c>
      <c r="DI92" s="228">
        <v>58.85</v>
      </c>
      <c r="DJ92" s="228">
        <v>58.07</v>
      </c>
      <c r="DK92" s="228">
        <v>0.78</v>
      </c>
      <c r="DL92" s="228">
        <v>0.78</v>
      </c>
      <c r="DM92" s="228">
        <v>60.15</v>
      </c>
      <c r="DN92" s="228">
        <v>58.84</v>
      </c>
      <c r="DO92" s="228">
        <v>1.31</v>
      </c>
      <c r="DP92" s="228">
        <v>1.31</v>
      </c>
      <c r="DQ92" s="228">
        <v>0.5</v>
      </c>
      <c r="DR92" s="228">
        <v>0.5</v>
      </c>
      <c r="DS92" s="228">
        <v>0</v>
      </c>
      <c r="DT92" s="229">
        <v>0</v>
      </c>
      <c r="DU92" s="228">
        <v>8</v>
      </c>
      <c r="DV92" s="228">
        <v>6</v>
      </c>
      <c r="DW92" s="228">
        <v>0.28000000000000003</v>
      </c>
      <c r="DX92" s="228">
        <v>0.26</v>
      </c>
      <c r="DY92" s="228">
        <v>0.02</v>
      </c>
      <c r="DZ92" s="229">
        <v>7.6899999999999996E-2</v>
      </c>
      <c r="EA92" s="229">
        <v>0.20169999999999999</v>
      </c>
      <c r="EB92" s="230">
        <v>968915100</v>
      </c>
      <c r="EC92" s="229">
        <v>7.4000000000000003E-3</v>
      </c>
      <c r="ED92" s="229">
        <v>0.20169999999999999</v>
      </c>
      <c r="EE92" s="228">
        <v>0.05</v>
      </c>
      <c r="EF92" s="229">
        <v>7.4000000000000003E-3</v>
      </c>
      <c r="EG92" s="230">
        <v>159605101</v>
      </c>
      <c r="EH92" s="230">
        <v>83779496</v>
      </c>
      <c r="EI92" s="229">
        <v>0.90510000000000002</v>
      </c>
      <c r="EJ92" s="229">
        <v>0.26079999999999998</v>
      </c>
      <c r="EK92" s="228">
        <v>787.44</v>
      </c>
      <c r="EL92" s="228">
        <v>230.49</v>
      </c>
      <c r="EM92" s="228">
        <v>688.95</v>
      </c>
      <c r="EN92" s="228">
        <v>0</v>
      </c>
      <c r="EO92" s="231">
        <v>1706.88</v>
      </c>
      <c r="EP92" s="231">
        <v>1486.01</v>
      </c>
      <c r="EQ92" s="228">
        <v>220.87</v>
      </c>
      <c r="ER92" s="229">
        <v>0.14860000000000001</v>
      </c>
      <c r="ES92" s="231">
        <v>1098.3800000000001</v>
      </c>
      <c r="ET92" s="228">
        <v>479.11</v>
      </c>
      <c r="EU92" s="231">
        <v>3759.77</v>
      </c>
      <c r="EV92" s="231">
        <v>16128051291</v>
      </c>
      <c r="EW92" s="231">
        <v>5337.26</v>
      </c>
      <c r="EX92" s="231">
        <v>5188.04</v>
      </c>
      <c r="EY92" s="228">
        <v>149.22</v>
      </c>
      <c r="EZ92" s="229">
        <v>2.8799999999999999E-2</v>
      </c>
      <c r="FA92" s="229">
        <v>0.47389999999999999</v>
      </c>
      <c r="FB92" s="227" t="s">
        <v>555</v>
      </c>
      <c r="FC92">
        <f t="shared" si="1"/>
        <v>757</v>
      </c>
    </row>
    <row r="93" spans="1:159" ht="17.25" thickBot="1" x14ac:dyDescent="0.3">
      <c r="A93" s="226">
        <v>45889</v>
      </c>
      <c r="B93" s="227" t="s">
        <v>172</v>
      </c>
      <c r="C93" s="227" t="s">
        <v>235</v>
      </c>
      <c r="D93" s="228">
        <v>9275</v>
      </c>
      <c r="E93" s="228">
        <v>8</v>
      </c>
      <c r="F93" s="228">
        <v>71.27</v>
      </c>
      <c r="G93" s="228">
        <v>71.489999999999995</v>
      </c>
      <c r="H93" s="228">
        <v>-0.22</v>
      </c>
      <c r="I93" s="229">
        <v>-3.0999999999999999E-3</v>
      </c>
      <c r="J93" s="228">
        <v>71.25</v>
      </c>
      <c r="K93" s="228">
        <v>71.290000000000006</v>
      </c>
      <c r="L93" s="228">
        <v>-0.04</v>
      </c>
      <c r="M93" s="229">
        <v>-5.9999999999999995E-4</v>
      </c>
      <c r="N93" s="228">
        <v>71.27</v>
      </c>
      <c r="O93" s="228">
        <v>71.489999999999995</v>
      </c>
      <c r="P93" s="228">
        <v>-0.22</v>
      </c>
      <c r="Q93" s="229">
        <v>-3.0999999999999999E-3</v>
      </c>
      <c r="R93" s="228">
        <v>71.69</v>
      </c>
      <c r="S93" s="228">
        <v>71.91</v>
      </c>
      <c r="T93" s="228">
        <v>-0.22</v>
      </c>
      <c r="U93" s="229">
        <v>-3.0999999999999999E-3</v>
      </c>
      <c r="V93" s="228">
        <v>72.040000000000006</v>
      </c>
      <c r="W93" s="228">
        <v>72.260000000000005</v>
      </c>
      <c r="X93" s="228">
        <v>-0.22</v>
      </c>
      <c r="Y93" s="229">
        <v>-3.0000000000000001E-3</v>
      </c>
      <c r="Z93" s="228">
        <v>0.02</v>
      </c>
      <c r="AA93" s="228">
        <v>0.2</v>
      </c>
      <c r="AB93" s="228">
        <v>-0.18</v>
      </c>
      <c r="AC93" s="229">
        <v>2.9999999999999997E-4</v>
      </c>
      <c r="AD93" s="228">
        <v>0.02</v>
      </c>
      <c r="AE93" s="228">
        <v>0.2</v>
      </c>
      <c r="AF93" s="228">
        <v>-0.18</v>
      </c>
      <c r="AG93" s="229">
        <v>2.9999999999999997E-4</v>
      </c>
      <c r="AH93" s="228">
        <v>0.44</v>
      </c>
      <c r="AI93" s="228">
        <v>0.62</v>
      </c>
      <c r="AJ93" s="228">
        <v>-0.18</v>
      </c>
      <c r="AK93" s="229">
        <v>6.1999999999999998E-3</v>
      </c>
      <c r="AL93" s="228">
        <v>0.79</v>
      </c>
      <c r="AM93" s="228">
        <v>0.97</v>
      </c>
      <c r="AN93" s="228">
        <v>-0.18</v>
      </c>
      <c r="AO93" s="229">
        <v>1.11E-2</v>
      </c>
      <c r="AP93" s="228">
        <v>71.400000000000006</v>
      </c>
      <c r="AQ93" s="228">
        <v>71.81</v>
      </c>
      <c r="AR93" s="228">
        <v>0</v>
      </c>
      <c r="AS93" s="228">
        <v>369</v>
      </c>
      <c r="AT93" s="228">
        <v>509</v>
      </c>
      <c r="AU93" s="228">
        <v>-140</v>
      </c>
      <c r="AV93" s="229">
        <v>-0.27510000000000001</v>
      </c>
      <c r="AW93" s="228">
        <v>244</v>
      </c>
      <c r="AX93" s="228">
        <v>390</v>
      </c>
      <c r="AY93" s="228">
        <v>-146</v>
      </c>
      <c r="AZ93" s="229">
        <v>-0.37469999999999998</v>
      </c>
      <c r="BA93" s="228">
        <v>116</v>
      </c>
      <c r="BB93" s="228">
        <v>101</v>
      </c>
      <c r="BC93" s="228">
        <v>15</v>
      </c>
      <c r="BD93" s="229">
        <v>0.14829999999999999</v>
      </c>
      <c r="BE93" s="228">
        <v>9</v>
      </c>
      <c r="BF93" s="228">
        <v>17</v>
      </c>
      <c r="BG93" s="228">
        <v>-9</v>
      </c>
      <c r="BH93" s="229">
        <v>-0.50570000000000004</v>
      </c>
      <c r="BI93" s="228">
        <v>324</v>
      </c>
      <c r="BJ93" s="228">
        <v>774</v>
      </c>
      <c r="BK93" s="228">
        <v>-450</v>
      </c>
      <c r="BL93" s="229">
        <v>-0.58140000000000003</v>
      </c>
      <c r="BM93" s="228">
        <v>212</v>
      </c>
      <c r="BN93" s="228">
        <v>539</v>
      </c>
      <c r="BO93" s="228">
        <v>-327</v>
      </c>
      <c r="BP93" s="229">
        <v>-0.60609999999999997</v>
      </c>
      <c r="BQ93" s="228">
        <v>905</v>
      </c>
      <c r="BR93" s="230">
        <v>1822</v>
      </c>
      <c r="BS93" s="228">
        <v>-917</v>
      </c>
      <c r="BT93" s="229">
        <v>-0.50319999999999998</v>
      </c>
      <c r="BU93" s="230">
        <v>9752254</v>
      </c>
      <c r="BV93" s="230">
        <v>20192235</v>
      </c>
      <c r="BW93" s="230">
        <v>-10439981</v>
      </c>
      <c r="BX93" s="229">
        <v>-0.51700000000000002</v>
      </c>
      <c r="BY93" s="230">
        <v>2966</v>
      </c>
      <c r="BZ93" s="230">
        <v>2927</v>
      </c>
      <c r="CA93" s="228">
        <v>39</v>
      </c>
      <c r="CB93" s="229">
        <v>1.34E-2</v>
      </c>
      <c r="CC93" s="230">
        <v>2650</v>
      </c>
      <c r="CD93" s="230">
        <v>2695</v>
      </c>
      <c r="CE93" s="228">
        <v>-45</v>
      </c>
      <c r="CF93" s="229">
        <v>-1.6899999999999998E-2</v>
      </c>
      <c r="CG93" s="228">
        <v>283</v>
      </c>
      <c r="CH93" s="228">
        <v>205</v>
      </c>
      <c r="CI93" s="228">
        <v>79</v>
      </c>
      <c r="CJ93" s="229">
        <v>0.3851</v>
      </c>
      <c r="CK93" s="228">
        <v>33</v>
      </c>
      <c r="CL93" s="228">
        <v>27</v>
      </c>
      <c r="CM93" s="228">
        <v>6</v>
      </c>
      <c r="CN93" s="229">
        <v>0.216</v>
      </c>
      <c r="CO93" s="228">
        <v>688</v>
      </c>
      <c r="CP93" s="228">
        <v>672</v>
      </c>
      <c r="CQ93" s="228">
        <v>15</v>
      </c>
      <c r="CR93" s="229">
        <v>2.2800000000000001E-2</v>
      </c>
      <c r="CS93" s="228">
        <v>535</v>
      </c>
      <c r="CT93" s="228">
        <v>548</v>
      </c>
      <c r="CU93" s="228">
        <v>-13</v>
      </c>
      <c r="CV93" s="229">
        <v>-2.4199999999999999E-2</v>
      </c>
      <c r="CW93" s="230">
        <v>4189</v>
      </c>
      <c r="CX93" s="230">
        <v>4147</v>
      </c>
      <c r="CY93" s="228">
        <v>41</v>
      </c>
      <c r="CZ93" s="229">
        <v>0.01</v>
      </c>
      <c r="DA93" s="228">
        <v>24.42</v>
      </c>
      <c r="DB93" s="228">
        <v>24.74</v>
      </c>
      <c r="DC93" s="228">
        <v>-0.32</v>
      </c>
      <c r="DD93" s="228">
        <v>-0.32</v>
      </c>
      <c r="DE93" s="228">
        <v>35.69</v>
      </c>
      <c r="DF93" s="228">
        <v>35.78</v>
      </c>
      <c r="DG93" s="228">
        <v>-11.27</v>
      </c>
      <c r="DH93" s="228">
        <v>-0.09</v>
      </c>
      <c r="DI93" s="228">
        <v>23.57</v>
      </c>
      <c r="DJ93" s="228">
        <v>23.87</v>
      </c>
      <c r="DK93" s="228">
        <v>-0.3</v>
      </c>
      <c r="DL93" s="228">
        <v>-0.3</v>
      </c>
      <c r="DM93" s="228">
        <v>25.72</v>
      </c>
      <c r="DN93" s="228">
        <v>25.99</v>
      </c>
      <c r="DO93" s="228">
        <v>-0.27</v>
      </c>
      <c r="DP93" s="228">
        <v>-0.27</v>
      </c>
      <c r="DQ93" s="228">
        <v>0.78</v>
      </c>
      <c r="DR93" s="228">
        <v>0.82</v>
      </c>
      <c r="DS93" s="228">
        <v>-0.04</v>
      </c>
      <c r="DT93" s="229">
        <v>-4.8800000000000003E-2</v>
      </c>
      <c r="DU93" s="228">
        <v>75</v>
      </c>
      <c r="DV93" s="228">
        <v>70</v>
      </c>
      <c r="DW93" s="228">
        <v>0.66</v>
      </c>
      <c r="DX93" s="228">
        <v>0.7</v>
      </c>
      <c r="DY93" s="228">
        <v>-0.04</v>
      </c>
      <c r="DZ93" s="229">
        <v>-5.7099999999999998E-2</v>
      </c>
      <c r="EA93" s="229">
        <v>0.1067</v>
      </c>
      <c r="EB93" s="230">
        <v>32527425</v>
      </c>
      <c r="EC93" s="229">
        <v>5.8999999999999999E-3</v>
      </c>
      <c r="ED93" s="229">
        <v>0.1067</v>
      </c>
      <c r="EE93" s="228">
        <v>0.41</v>
      </c>
      <c r="EF93" s="229">
        <v>5.7000000000000002E-3</v>
      </c>
      <c r="EG93" s="230">
        <v>4825155</v>
      </c>
      <c r="EH93" s="230">
        <v>10735039</v>
      </c>
      <c r="EI93" s="229">
        <v>-0.55049999999999999</v>
      </c>
      <c r="EJ93" s="229">
        <v>0.49480000000000002</v>
      </c>
      <c r="EK93" s="228">
        <v>334.1</v>
      </c>
      <c r="EL93" s="228">
        <v>211.46</v>
      </c>
      <c r="EM93" s="228">
        <v>370.1</v>
      </c>
      <c r="EN93" s="228">
        <v>0</v>
      </c>
      <c r="EO93" s="228">
        <v>915.66</v>
      </c>
      <c r="EP93" s="231">
        <v>1832.01</v>
      </c>
      <c r="EQ93" s="228">
        <v>-916.34</v>
      </c>
      <c r="ER93" s="229">
        <v>-0.50019999999999998</v>
      </c>
      <c r="ES93" s="228">
        <v>715.59</v>
      </c>
      <c r="ET93" s="228">
        <v>516.12</v>
      </c>
      <c r="EU93" s="231">
        <v>2968.2</v>
      </c>
      <c r="EV93" s="231">
        <v>1466865171</v>
      </c>
      <c r="EW93" s="231">
        <v>4199.91</v>
      </c>
      <c r="EX93" s="231">
        <v>4164.9399999999996</v>
      </c>
      <c r="EY93" s="228">
        <v>34.97</v>
      </c>
      <c r="EZ93" s="229">
        <v>8.3999999999999995E-3</v>
      </c>
      <c r="FA93" s="229">
        <v>0.4007</v>
      </c>
      <c r="FB93" s="227" t="s">
        <v>567</v>
      </c>
      <c r="FC93">
        <f t="shared" si="1"/>
        <v>316</v>
      </c>
    </row>
    <row r="94" spans="1:159" ht="17.25" thickBot="1" x14ac:dyDescent="0.3">
      <c r="A94" s="226">
        <v>45889</v>
      </c>
      <c r="B94" s="227" t="s">
        <v>161</v>
      </c>
      <c r="C94" s="227" t="s">
        <v>514</v>
      </c>
      <c r="D94" s="228">
        <v>3750</v>
      </c>
      <c r="E94" s="228">
        <v>8</v>
      </c>
      <c r="F94" s="228">
        <v>143.63999999999999</v>
      </c>
      <c r="G94" s="228">
        <v>142.19999999999999</v>
      </c>
      <c r="H94" s="228">
        <v>1.44</v>
      </c>
      <c r="I94" s="229">
        <v>1.01E-2</v>
      </c>
      <c r="J94" s="228">
        <v>143.15</v>
      </c>
      <c r="K94" s="228">
        <v>141.59</v>
      </c>
      <c r="L94" s="228">
        <v>1.56</v>
      </c>
      <c r="M94" s="229">
        <v>1.0999999999999999E-2</v>
      </c>
      <c r="N94" s="228">
        <v>143.63999999999999</v>
      </c>
      <c r="O94" s="228">
        <v>142.19999999999999</v>
      </c>
      <c r="P94" s="228">
        <v>1.44</v>
      </c>
      <c r="Q94" s="229">
        <v>1.01E-2</v>
      </c>
      <c r="R94" s="228">
        <v>144.19</v>
      </c>
      <c r="S94" s="228">
        <v>142.75</v>
      </c>
      <c r="T94" s="228">
        <v>1.44</v>
      </c>
      <c r="U94" s="229">
        <v>1.01E-2</v>
      </c>
      <c r="V94" s="228">
        <v>144.65</v>
      </c>
      <c r="W94" s="228">
        <v>143.31</v>
      </c>
      <c r="X94" s="228">
        <v>1.34</v>
      </c>
      <c r="Y94" s="229">
        <v>9.4000000000000004E-3</v>
      </c>
      <c r="Z94" s="228">
        <v>0.49</v>
      </c>
      <c r="AA94" s="228">
        <v>0.61</v>
      </c>
      <c r="AB94" s="228">
        <v>-0.12</v>
      </c>
      <c r="AC94" s="229">
        <v>3.3999999999999998E-3</v>
      </c>
      <c r="AD94" s="228">
        <v>0.49</v>
      </c>
      <c r="AE94" s="228">
        <v>0.61</v>
      </c>
      <c r="AF94" s="228">
        <v>-0.12</v>
      </c>
      <c r="AG94" s="229">
        <v>3.3999999999999998E-3</v>
      </c>
      <c r="AH94" s="228">
        <v>1.04</v>
      </c>
      <c r="AI94" s="228">
        <v>1.1599999999999999</v>
      </c>
      <c r="AJ94" s="228">
        <v>-0.12</v>
      </c>
      <c r="AK94" s="229">
        <v>7.3000000000000001E-3</v>
      </c>
      <c r="AL94" s="228">
        <v>1.5</v>
      </c>
      <c r="AM94" s="228">
        <v>1.72</v>
      </c>
      <c r="AN94" s="228">
        <v>-0.22</v>
      </c>
      <c r="AO94" s="229">
        <v>1.0500000000000001E-2</v>
      </c>
      <c r="AP94" s="228">
        <v>143.28</v>
      </c>
      <c r="AQ94" s="228">
        <v>143.83000000000001</v>
      </c>
      <c r="AR94" s="228">
        <v>0</v>
      </c>
      <c r="AS94" s="228">
        <v>132</v>
      </c>
      <c r="AT94" s="228">
        <v>121</v>
      </c>
      <c r="AU94" s="228">
        <v>11</v>
      </c>
      <c r="AV94" s="229">
        <v>8.6900000000000005E-2</v>
      </c>
      <c r="AW94" s="228">
        <v>97</v>
      </c>
      <c r="AX94" s="228">
        <v>93</v>
      </c>
      <c r="AY94" s="228">
        <v>4</v>
      </c>
      <c r="AZ94" s="229">
        <v>4.6300000000000001E-2</v>
      </c>
      <c r="BA94" s="228">
        <v>33</v>
      </c>
      <c r="BB94" s="228">
        <v>27</v>
      </c>
      <c r="BC94" s="228">
        <v>5</v>
      </c>
      <c r="BD94" s="229">
        <v>0.19719999999999999</v>
      </c>
      <c r="BE94" s="228">
        <v>2</v>
      </c>
      <c r="BF94" s="228">
        <v>1</v>
      </c>
      <c r="BG94" s="228">
        <v>1</v>
      </c>
      <c r="BH94" s="229">
        <v>0.8</v>
      </c>
      <c r="BI94" s="228">
        <v>464</v>
      </c>
      <c r="BJ94" s="228">
        <v>327</v>
      </c>
      <c r="BK94" s="228">
        <v>137</v>
      </c>
      <c r="BL94" s="229">
        <v>0.41870000000000002</v>
      </c>
      <c r="BM94" s="228">
        <v>301</v>
      </c>
      <c r="BN94" s="228">
        <v>232</v>
      </c>
      <c r="BO94" s="228">
        <v>69</v>
      </c>
      <c r="BP94" s="229">
        <v>0.29670000000000002</v>
      </c>
      <c r="BQ94" s="228">
        <v>897</v>
      </c>
      <c r="BR94" s="228">
        <v>680</v>
      </c>
      <c r="BS94" s="228">
        <v>216</v>
      </c>
      <c r="BT94" s="229">
        <v>0.31790000000000002</v>
      </c>
      <c r="BU94" s="230">
        <v>8187525</v>
      </c>
      <c r="BV94" s="230">
        <v>8084304</v>
      </c>
      <c r="BW94" s="230">
        <v>103221</v>
      </c>
      <c r="BX94" s="229">
        <v>1.2800000000000001E-2</v>
      </c>
      <c r="BY94" s="228">
        <v>678</v>
      </c>
      <c r="BZ94" s="228">
        <v>672</v>
      </c>
      <c r="CA94" s="228">
        <v>6</v>
      </c>
      <c r="CB94" s="229">
        <v>8.3000000000000001E-3</v>
      </c>
      <c r="CC94" s="228">
        <v>589</v>
      </c>
      <c r="CD94" s="228">
        <v>598</v>
      </c>
      <c r="CE94" s="228">
        <v>-9</v>
      </c>
      <c r="CF94" s="229">
        <v>-1.5100000000000001E-2</v>
      </c>
      <c r="CG94" s="228">
        <v>84</v>
      </c>
      <c r="CH94" s="228">
        <v>70</v>
      </c>
      <c r="CI94" s="228">
        <v>14</v>
      </c>
      <c r="CJ94" s="229">
        <v>0.19950000000000001</v>
      </c>
      <c r="CK94" s="228">
        <v>5</v>
      </c>
      <c r="CL94" s="228">
        <v>5</v>
      </c>
      <c r="CM94" s="228">
        <v>1</v>
      </c>
      <c r="CN94" s="229">
        <v>0.16470000000000001</v>
      </c>
      <c r="CO94" s="228">
        <v>620</v>
      </c>
      <c r="CP94" s="228">
        <v>642</v>
      </c>
      <c r="CQ94" s="228">
        <v>-21</v>
      </c>
      <c r="CR94" s="229">
        <v>-3.3399999999999999E-2</v>
      </c>
      <c r="CS94" s="228">
        <v>464</v>
      </c>
      <c r="CT94" s="228">
        <v>462</v>
      </c>
      <c r="CU94" s="228">
        <v>2</v>
      </c>
      <c r="CV94" s="229">
        <v>4.1000000000000003E-3</v>
      </c>
      <c r="CW94" s="230">
        <v>1762</v>
      </c>
      <c r="CX94" s="230">
        <v>1776</v>
      </c>
      <c r="CY94" s="228">
        <v>-14</v>
      </c>
      <c r="CZ94" s="229">
        <v>-7.9000000000000008E-3</v>
      </c>
      <c r="DA94" s="228">
        <v>38.630000000000003</v>
      </c>
      <c r="DB94" s="228">
        <v>39.22</v>
      </c>
      <c r="DC94" s="228">
        <v>-0.59</v>
      </c>
      <c r="DD94" s="228">
        <v>-0.59</v>
      </c>
      <c r="DE94" s="228">
        <v>62.23</v>
      </c>
      <c r="DF94" s="228">
        <v>62.37</v>
      </c>
      <c r="DG94" s="228">
        <v>-23.6</v>
      </c>
      <c r="DH94" s="228">
        <v>-0.14000000000000001</v>
      </c>
      <c r="DI94" s="228">
        <v>37.83</v>
      </c>
      <c r="DJ94" s="228">
        <v>38.53</v>
      </c>
      <c r="DK94" s="228">
        <v>-0.7</v>
      </c>
      <c r="DL94" s="228">
        <v>-0.7</v>
      </c>
      <c r="DM94" s="228">
        <v>39.86</v>
      </c>
      <c r="DN94" s="228">
        <v>40.19</v>
      </c>
      <c r="DO94" s="228">
        <v>-0.33</v>
      </c>
      <c r="DP94" s="228">
        <v>-0.33</v>
      </c>
      <c r="DQ94" s="228">
        <v>0.75</v>
      </c>
      <c r="DR94" s="228">
        <v>0.72</v>
      </c>
      <c r="DS94" s="228">
        <v>0.03</v>
      </c>
      <c r="DT94" s="229">
        <v>4.1700000000000001E-2</v>
      </c>
      <c r="DU94" s="228">
        <v>150</v>
      </c>
      <c r="DV94" s="228">
        <v>135</v>
      </c>
      <c r="DW94" s="228">
        <v>0.65</v>
      </c>
      <c r="DX94" s="228">
        <v>0.71</v>
      </c>
      <c r="DY94" s="228">
        <v>-0.06</v>
      </c>
      <c r="DZ94" s="229">
        <v>-8.4500000000000006E-2</v>
      </c>
      <c r="EA94" s="229">
        <v>0.13120000000000001</v>
      </c>
      <c r="EB94" s="230">
        <v>5167500</v>
      </c>
      <c r="EC94" s="229">
        <v>3.8E-3</v>
      </c>
      <c r="ED94" s="229">
        <v>0.13120000000000001</v>
      </c>
      <c r="EE94" s="228">
        <v>0.55000000000000004</v>
      </c>
      <c r="EF94" s="229">
        <v>3.8E-3</v>
      </c>
      <c r="EG94" s="230">
        <v>3582784</v>
      </c>
      <c r="EH94" s="230">
        <v>3629165</v>
      </c>
      <c r="EI94" s="229">
        <v>-1.2800000000000001E-2</v>
      </c>
      <c r="EJ94" s="229">
        <v>0.43759999999999999</v>
      </c>
      <c r="EK94" s="228">
        <v>485.31</v>
      </c>
      <c r="EL94" s="228">
        <v>293.52999999999997</v>
      </c>
      <c r="EM94" s="228">
        <v>131.83000000000001</v>
      </c>
      <c r="EN94" s="228">
        <v>0</v>
      </c>
      <c r="EO94" s="228">
        <v>910.67</v>
      </c>
      <c r="EP94" s="228">
        <v>682.84</v>
      </c>
      <c r="EQ94" s="228">
        <v>227.83</v>
      </c>
      <c r="ER94" s="229">
        <v>0.33360000000000001</v>
      </c>
      <c r="ES94" s="228">
        <v>682.85</v>
      </c>
      <c r="ET94" s="228">
        <v>449.2</v>
      </c>
      <c r="EU94" s="228">
        <v>677.93</v>
      </c>
      <c r="EV94" s="231">
        <v>177860058</v>
      </c>
      <c r="EW94" s="231">
        <v>1809.97</v>
      </c>
      <c r="EX94" s="231">
        <v>1815.65</v>
      </c>
      <c r="EY94" s="228">
        <v>-5.68</v>
      </c>
      <c r="EZ94" s="229">
        <v>-3.0999999999999999E-3</v>
      </c>
      <c r="FA94" s="229">
        <v>0.6895</v>
      </c>
      <c r="FB94" s="227" t="s">
        <v>555</v>
      </c>
      <c r="FC94">
        <f t="shared" si="1"/>
        <v>89</v>
      </c>
    </row>
    <row r="95" spans="1:159" ht="17.25" thickBot="1" x14ac:dyDescent="0.3">
      <c r="A95" s="226">
        <v>45889</v>
      </c>
      <c r="B95" s="227" t="s">
        <v>193</v>
      </c>
      <c r="C95" s="227" t="s">
        <v>236</v>
      </c>
      <c r="D95" s="228">
        <v>2750</v>
      </c>
      <c r="E95" s="228">
        <v>8</v>
      </c>
      <c r="F95" s="228">
        <v>205.82</v>
      </c>
      <c r="G95" s="228">
        <v>204.81</v>
      </c>
      <c r="H95" s="228">
        <v>1.01</v>
      </c>
      <c r="I95" s="229">
        <v>4.8999999999999998E-3</v>
      </c>
      <c r="J95" s="228">
        <v>205.23</v>
      </c>
      <c r="K95" s="228">
        <v>204.54</v>
      </c>
      <c r="L95" s="228">
        <v>0.69</v>
      </c>
      <c r="M95" s="229">
        <v>3.3999999999999998E-3</v>
      </c>
      <c r="N95" s="228">
        <v>205.82</v>
      </c>
      <c r="O95" s="228">
        <v>204.81</v>
      </c>
      <c r="P95" s="228">
        <v>1.01</v>
      </c>
      <c r="Q95" s="229">
        <v>4.8999999999999998E-3</v>
      </c>
      <c r="R95" s="228">
        <v>205.48</v>
      </c>
      <c r="S95" s="228">
        <v>204.47</v>
      </c>
      <c r="T95" s="228">
        <v>1.01</v>
      </c>
      <c r="U95" s="229">
        <v>4.8999999999999998E-3</v>
      </c>
      <c r="V95" s="228">
        <v>206.11</v>
      </c>
      <c r="W95" s="228">
        <v>204.45</v>
      </c>
      <c r="X95" s="228">
        <v>1.66</v>
      </c>
      <c r="Y95" s="229">
        <v>8.0999999999999996E-3</v>
      </c>
      <c r="Z95" s="228">
        <v>0.59</v>
      </c>
      <c r="AA95" s="228">
        <v>0.27</v>
      </c>
      <c r="AB95" s="228">
        <v>0.32</v>
      </c>
      <c r="AC95" s="229">
        <v>2.8999999999999998E-3</v>
      </c>
      <c r="AD95" s="228">
        <v>0.59</v>
      </c>
      <c r="AE95" s="228">
        <v>0.27</v>
      </c>
      <c r="AF95" s="228">
        <v>0.32</v>
      </c>
      <c r="AG95" s="229">
        <v>2.8999999999999998E-3</v>
      </c>
      <c r="AH95" s="228">
        <v>0.25</v>
      </c>
      <c r="AI95" s="228">
        <v>-7.0000000000000007E-2</v>
      </c>
      <c r="AJ95" s="228">
        <v>0.32</v>
      </c>
      <c r="AK95" s="229">
        <v>1.1999999999999999E-3</v>
      </c>
      <c r="AL95" s="228">
        <v>0.88</v>
      </c>
      <c r="AM95" s="228">
        <v>-0.09</v>
      </c>
      <c r="AN95" s="228">
        <v>0.97</v>
      </c>
      <c r="AO95" s="229">
        <v>4.3E-3</v>
      </c>
      <c r="AP95" s="228">
        <v>205.47</v>
      </c>
      <c r="AQ95" s="228">
        <v>204.94</v>
      </c>
      <c r="AR95" s="228">
        <v>0</v>
      </c>
      <c r="AS95" s="228">
        <v>136</v>
      </c>
      <c r="AT95" s="228">
        <v>78</v>
      </c>
      <c r="AU95" s="228">
        <v>58</v>
      </c>
      <c r="AV95" s="229">
        <v>0.73360000000000003</v>
      </c>
      <c r="AW95" s="228">
        <v>109</v>
      </c>
      <c r="AX95" s="228">
        <v>60</v>
      </c>
      <c r="AY95" s="228">
        <v>50</v>
      </c>
      <c r="AZ95" s="229">
        <v>0.83109999999999995</v>
      </c>
      <c r="BA95" s="228">
        <v>23</v>
      </c>
      <c r="BB95" s="228">
        <v>17</v>
      </c>
      <c r="BC95" s="228">
        <v>6</v>
      </c>
      <c r="BD95" s="229">
        <v>0.35310000000000002</v>
      </c>
      <c r="BE95" s="228">
        <v>3</v>
      </c>
      <c r="BF95" s="228">
        <v>2</v>
      </c>
      <c r="BG95" s="228">
        <v>2</v>
      </c>
      <c r="BH95" s="229">
        <v>1.1786000000000001</v>
      </c>
      <c r="BI95" s="228">
        <v>214</v>
      </c>
      <c r="BJ95" s="228">
        <v>90</v>
      </c>
      <c r="BK95" s="228">
        <v>125</v>
      </c>
      <c r="BL95" s="229">
        <v>1.3932</v>
      </c>
      <c r="BM95" s="228">
        <v>58</v>
      </c>
      <c r="BN95" s="228">
        <v>28</v>
      </c>
      <c r="BO95" s="228">
        <v>30</v>
      </c>
      <c r="BP95" s="229">
        <v>1.0538000000000001</v>
      </c>
      <c r="BQ95" s="228">
        <v>409</v>
      </c>
      <c r="BR95" s="228">
        <v>196</v>
      </c>
      <c r="BS95" s="228">
        <v>212</v>
      </c>
      <c r="BT95" s="229">
        <v>1.0807</v>
      </c>
      <c r="BU95" s="230">
        <v>3542431</v>
      </c>
      <c r="BV95" s="230">
        <v>912973</v>
      </c>
      <c r="BW95" s="230">
        <v>2629458</v>
      </c>
      <c r="BX95" s="229">
        <v>2.8801000000000001</v>
      </c>
      <c r="BY95" s="228">
        <v>394</v>
      </c>
      <c r="BZ95" s="228">
        <v>375</v>
      </c>
      <c r="CA95" s="228">
        <v>19</v>
      </c>
      <c r="CB95" s="229">
        <v>5.04E-2</v>
      </c>
      <c r="CC95" s="228">
        <v>330</v>
      </c>
      <c r="CD95" s="228">
        <v>319</v>
      </c>
      <c r="CE95" s="228">
        <v>11</v>
      </c>
      <c r="CF95" s="229">
        <v>3.4099999999999998E-2</v>
      </c>
      <c r="CG95" s="228">
        <v>56</v>
      </c>
      <c r="CH95" s="228">
        <v>51</v>
      </c>
      <c r="CI95" s="228">
        <v>5</v>
      </c>
      <c r="CJ95" s="229">
        <v>0.1053</v>
      </c>
      <c r="CK95" s="228">
        <v>8</v>
      </c>
      <c r="CL95" s="228">
        <v>5</v>
      </c>
      <c r="CM95" s="228">
        <v>3</v>
      </c>
      <c r="CN95" s="229">
        <v>0.49480000000000002</v>
      </c>
      <c r="CO95" s="228">
        <v>177</v>
      </c>
      <c r="CP95" s="228">
        <v>169</v>
      </c>
      <c r="CQ95" s="228">
        <v>8</v>
      </c>
      <c r="CR95" s="229">
        <v>4.65E-2</v>
      </c>
      <c r="CS95" s="228">
        <v>116</v>
      </c>
      <c r="CT95" s="228">
        <v>114</v>
      </c>
      <c r="CU95" s="228">
        <v>2</v>
      </c>
      <c r="CV95" s="229">
        <v>1.7399999999999999E-2</v>
      </c>
      <c r="CW95" s="228">
        <v>687</v>
      </c>
      <c r="CX95" s="228">
        <v>658</v>
      </c>
      <c r="CY95" s="228">
        <v>29</v>
      </c>
      <c r="CZ95" s="229">
        <v>4.3700000000000003E-2</v>
      </c>
      <c r="DA95" s="228">
        <v>31.54</v>
      </c>
      <c r="DB95" s="228">
        <v>31.58</v>
      </c>
      <c r="DC95" s="228">
        <v>-0.04</v>
      </c>
      <c r="DD95" s="228">
        <v>-0.04</v>
      </c>
      <c r="DE95" s="228">
        <v>44.3</v>
      </c>
      <c r="DF95" s="228">
        <v>44.41</v>
      </c>
      <c r="DG95" s="228">
        <v>-12.76</v>
      </c>
      <c r="DH95" s="228">
        <v>-0.11</v>
      </c>
      <c r="DI95" s="228">
        <v>31.77</v>
      </c>
      <c r="DJ95" s="228">
        <v>32.04</v>
      </c>
      <c r="DK95" s="228">
        <v>-0.27</v>
      </c>
      <c r="DL95" s="228">
        <v>-0.27</v>
      </c>
      <c r="DM95" s="228">
        <v>30.7</v>
      </c>
      <c r="DN95" s="228">
        <v>30.14</v>
      </c>
      <c r="DO95" s="228">
        <v>0.56000000000000005</v>
      </c>
      <c r="DP95" s="228">
        <v>0.56000000000000005</v>
      </c>
      <c r="DQ95" s="228">
        <v>0.65</v>
      </c>
      <c r="DR95" s="228">
        <v>0.67</v>
      </c>
      <c r="DS95" s="228">
        <v>-0.02</v>
      </c>
      <c r="DT95" s="229">
        <v>-2.9899999999999999E-2</v>
      </c>
      <c r="DU95" s="228">
        <v>210</v>
      </c>
      <c r="DV95" s="228">
        <v>200</v>
      </c>
      <c r="DW95" s="228">
        <v>0.27</v>
      </c>
      <c r="DX95" s="228">
        <v>0.32</v>
      </c>
      <c r="DY95" s="228">
        <v>-0.05</v>
      </c>
      <c r="DZ95" s="229">
        <v>-0.15620000000000001</v>
      </c>
      <c r="EA95" s="229">
        <v>0.16270000000000001</v>
      </c>
      <c r="EB95" s="230">
        <v>2722500</v>
      </c>
      <c r="EC95" s="229">
        <v>-1.6999999999999999E-3</v>
      </c>
      <c r="ED95" s="229">
        <v>0.16270000000000001</v>
      </c>
      <c r="EE95" s="228">
        <v>-0.53</v>
      </c>
      <c r="EF95" s="229">
        <v>-2.5999999999999999E-3</v>
      </c>
      <c r="EG95" s="230">
        <v>1741848</v>
      </c>
      <c r="EH95" s="230">
        <v>365516</v>
      </c>
      <c r="EI95" s="229">
        <v>3.7654000000000001</v>
      </c>
      <c r="EJ95" s="229">
        <v>0.49170000000000003</v>
      </c>
      <c r="EK95" s="228">
        <v>222.01</v>
      </c>
      <c r="EL95" s="228">
        <v>58.36</v>
      </c>
      <c r="EM95" s="228">
        <v>135.6</v>
      </c>
      <c r="EN95" s="228">
        <v>0</v>
      </c>
      <c r="EO95" s="228">
        <v>415.98</v>
      </c>
      <c r="EP95" s="228">
        <v>199.34</v>
      </c>
      <c r="EQ95" s="228">
        <v>216.64</v>
      </c>
      <c r="ER95" s="229">
        <v>1.0868</v>
      </c>
      <c r="ES95" s="228">
        <v>186.93</v>
      </c>
      <c r="ET95" s="228">
        <v>111.88</v>
      </c>
      <c r="EU95" s="228">
        <v>393.8</v>
      </c>
      <c r="EV95" s="231">
        <v>154000160</v>
      </c>
      <c r="EW95" s="228">
        <v>692.61</v>
      </c>
      <c r="EX95" s="228">
        <v>662</v>
      </c>
      <c r="EY95" s="228">
        <v>30.61</v>
      </c>
      <c r="EZ95" s="229">
        <v>4.6199999999999998E-2</v>
      </c>
      <c r="FA95" s="229">
        <v>0.2167</v>
      </c>
      <c r="FB95" s="227" t="s">
        <v>555</v>
      </c>
      <c r="FC95">
        <f t="shared" si="1"/>
        <v>64</v>
      </c>
    </row>
    <row r="96" spans="1:159" ht="17.25" thickBot="1" x14ac:dyDescent="0.3">
      <c r="A96" s="226">
        <v>45889</v>
      </c>
      <c r="B96" s="227" t="s">
        <v>175</v>
      </c>
      <c r="C96" s="227" t="s">
        <v>668</v>
      </c>
      <c r="D96" s="228">
        <v>1650</v>
      </c>
      <c r="E96" s="228">
        <v>8</v>
      </c>
      <c r="F96" s="228">
        <v>471.55</v>
      </c>
      <c r="G96" s="228">
        <v>472.25</v>
      </c>
      <c r="H96" s="228">
        <v>-0.7</v>
      </c>
      <c r="I96" s="229">
        <v>-1.5E-3</v>
      </c>
      <c r="J96" s="228">
        <v>471.5</v>
      </c>
      <c r="K96" s="228">
        <v>471.9</v>
      </c>
      <c r="L96" s="228">
        <v>-0.4</v>
      </c>
      <c r="M96" s="229">
        <v>-8.0000000000000004E-4</v>
      </c>
      <c r="N96" s="228">
        <v>471.55</v>
      </c>
      <c r="O96" s="228">
        <v>472.25</v>
      </c>
      <c r="P96" s="228">
        <v>-0.7</v>
      </c>
      <c r="Q96" s="229">
        <v>-1.5E-3</v>
      </c>
      <c r="R96" s="228">
        <v>473.45</v>
      </c>
      <c r="S96" s="228">
        <v>474.05</v>
      </c>
      <c r="T96" s="228">
        <v>-0.6</v>
      </c>
      <c r="U96" s="229">
        <v>-1.2999999999999999E-3</v>
      </c>
      <c r="V96" s="228">
        <v>474.9</v>
      </c>
      <c r="W96" s="228">
        <v>476.3</v>
      </c>
      <c r="X96" s="228">
        <v>-1.4</v>
      </c>
      <c r="Y96" s="229">
        <v>-2.8999999999999998E-3</v>
      </c>
      <c r="Z96" s="228">
        <v>0.05</v>
      </c>
      <c r="AA96" s="228">
        <v>0.35</v>
      </c>
      <c r="AB96" s="228">
        <v>-0.3</v>
      </c>
      <c r="AC96" s="229">
        <v>1E-4</v>
      </c>
      <c r="AD96" s="228">
        <v>0.05</v>
      </c>
      <c r="AE96" s="228">
        <v>0.35</v>
      </c>
      <c r="AF96" s="228">
        <v>-0.3</v>
      </c>
      <c r="AG96" s="229">
        <v>1E-4</v>
      </c>
      <c r="AH96" s="228">
        <v>1.95</v>
      </c>
      <c r="AI96" s="228">
        <v>2.15</v>
      </c>
      <c r="AJ96" s="228">
        <v>-0.2</v>
      </c>
      <c r="AK96" s="229">
        <v>4.1000000000000003E-3</v>
      </c>
      <c r="AL96" s="228">
        <v>3.4</v>
      </c>
      <c r="AM96" s="228">
        <v>4.4000000000000004</v>
      </c>
      <c r="AN96" s="228">
        <v>-1</v>
      </c>
      <c r="AO96" s="229">
        <v>7.1999999999999998E-3</v>
      </c>
      <c r="AP96" s="228">
        <v>471.5</v>
      </c>
      <c r="AQ96" s="228">
        <v>473.51</v>
      </c>
      <c r="AR96" s="228">
        <v>0</v>
      </c>
      <c r="AS96" s="228">
        <v>131</v>
      </c>
      <c r="AT96" s="228">
        <v>308</v>
      </c>
      <c r="AU96" s="228">
        <v>-178</v>
      </c>
      <c r="AV96" s="229">
        <v>-0.57569999999999999</v>
      </c>
      <c r="AW96" s="228">
        <v>114</v>
      </c>
      <c r="AX96" s="228">
        <v>280</v>
      </c>
      <c r="AY96" s="228">
        <v>-166</v>
      </c>
      <c r="AZ96" s="229">
        <v>-0.59230000000000005</v>
      </c>
      <c r="BA96" s="228">
        <v>16</v>
      </c>
      <c r="BB96" s="228">
        <v>25</v>
      </c>
      <c r="BC96" s="228">
        <v>-9</v>
      </c>
      <c r="BD96" s="229">
        <v>-0.36220000000000002</v>
      </c>
      <c r="BE96" s="228">
        <v>1</v>
      </c>
      <c r="BF96" s="228">
        <v>3</v>
      </c>
      <c r="BG96" s="228">
        <v>-2</v>
      </c>
      <c r="BH96" s="229">
        <v>-0.8</v>
      </c>
      <c r="BI96" s="228">
        <v>264</v>
      </c>
      <c r="BJ96" s="228">
        <v>915</v>
      </c>
      <c r="BK96" s="228">
        <v>-650</v>
      </c>
      <c r="BL96" s="229">
        <v>-0.71099999999999997</v>
      </c>
      <c r="BM96" s="228">
        <v>130</v>
      </c>
      <c r="BN96" s="228">
        <v>277</v>
      </c>
      <c r="BO96" s="228">
        <v>-147</v>
      </c>
      <c r="BP96" s="229">
        <v>-0.53049999999999997</v>
      </c>
      <c r="BQ96" s="228">
        <v>525</v>
      </c>
      <c r="BR96" s="230">
        <v>1500</v>
      </c>
      <c r="BS96" s="228">
        <v>-975</v>
      </c>
      <c r="BT96" s="229">
        <v>-0.64980000000000004</v>
      </c>
      <c r="BU96" s="230">
        <v>1012396</v>
      </c>
      <c r="BV96" s="230">
        <v>2564287</v>
      </c>
      <c r="BW96" s="230">
        <v>-1551891</v>
      </c>
      <c r="BX96" s="229">
        <v>-0.60519999999999996</v>
      </c>
      <c r="BY96" s="228">
        <v>626</v>
      </c>
      <c r="BZ96" s="228">
        <v>636</v>
      </c>
      <c r="CA96" s="228">
        <v>-10</v>
      </c>
      <c r="CB96" s="229">
        <v>-1.6E-2</v>
      </c>
      <c r="CC96" s="228">
        <v>600</v>
      </c>
      <c r="CD96" s="228">
        <v>616</v>
      </c>
      <c r="CE96" s="228">
        <v>-16</v>
      </c>
      <c r="CF96" s="229">
        <v>-2.58E-2</v>
      </c>
      <c r="CG96" s="228">
        <v>23</v>
      </c>
      <c r="CH96" s="228">
        <v>18</v>
      </c>
      <c r="CI96" s="228">
        <v>6</v>
      </c>
      <c r="CJ96" s="229">
        <v>0.31</v>
      </c>
      <c r="CK96" s="228">
        <v>3</v>
      </c>
      <c r="CL96" s="228">
        <v>3</v>
      </c>
      <c r="CM96" s="228">
        <v>0</v>
      </c>
      <c r="CN96" s="229">
        <v>6.0600000000000001E-2</v>
      </c>
      <c r="CO96" s="228">
        <v>254</v>
      </c>
      <c r="CP96" s="228">
        <v>264</v>
      </c>
      <c r="CQ96" s="228">
        <v>-11</v>
      </c>
      <c r="CR96" s="229">
        <v>-0.04</v>
      </c>
      <c r="CS96" s="228">
        <v>147</v>
      </c>
      <c r="CT96" s="228">
        <v>152</v>
      </c>
      <c r="CU96" s="228">
        <v>-5</v>
      </c>
      <c r="CV96" s="229">
        <v>-3.1699999999999999E-2</v>
      </c>
      <c r="CW96" s="230">
        <v>1027</v>
      </c>
      <c r="CX96" s="230">
        <v>1053</v>
      </c>
      <c r="CY96" s="228">
        <v>-26</v>
      </c>
      <c r="CZ96" s="229">
        <v>-2.4299999999999999E-2</v>
      </c>
      <c r="DA96" s="228">
        <v>34.299999999999997</v>
      </c>
      <c r="DB96" s="228">
        <v>36.61</v>
      </c>
      <c r="DC96" s="228">
        <v>-2.31</v>
      </c>
      <c r="DD96" s="228">
        <v>-2.31</v>
      </c>
      <c r="DE96" s="228">
        <v>55.03</v>
      </c>
      <c r="DF96" s="228">
        <v>55.17</v>
      </c>
      <c r="DG96" s="228">
        <v>-20.73</v>
      </c>
      <c r="DH96" s="228">
        <v>-0.14000000000000001</v>
      </c>
      <c r="DI96" s="228">
        <v>34.549999999999997</v>
      </c>
      <c r="DJ96" s="228">
        <v>36.15</v>
      </c>
      <c r="DK96" s="228">
        <v>-1.6</v>
      </c>
      <c r="DL96" s="228">
        <v>-1.6</v>
      </c>
      <c r="DM96" s="228">
        <v>33.81</v>
      </c>
      <c r="DN96" s="228">
        <v>38.119999999999997</v>
      </c>
      <c r="DO96" s="228">
        <v>-4.3099999999999996</v>
      </c>
      <c r="DP96" s="228">
        <v>-4.3099999999999996</v>
      </c>
      <c r="DQ96" s="228">
        <v>0.57999999999999996</v>
      </c>
      <c r="DR96" s="228">
        <v>0.56999999999999995</v>
      </c>
      <c r="DS96" s="228">
        <v>0.01</v>
      </c>
      <c r="DT96" s="229">
        <v>1.7500000000000002E-2</v>
      </c>
      <c r="DU96" s="228">
        <v>500</v>
      </c>
      <c r="DV96" s="228">
        <v>450</v>
      </c>
      <c r="DW96" s="228">
        <v>0.49</v>
      </c>
      <c r="DX96" s="228">
        <v>0.3</v>
      </c>
      <c r="DY96" s="228">
        <v>0.19</v>
      </c>
      <c r="DZ96" s="229">
        <v>0.63329999999999997</v>
      </c>
      <c r="EA96" s="229">
        <v>4.1599999999999998E-2</v>
      </c>
      <c r="EB96" s="230">
        <v>432300</v>
      </c>
      <c r="EC96" s="229">
        <v>4.0000000000000001E-3</v>
      </c>
      <c r="ED96" s="229">
        <v>4.1599999999999998E-2</v>
      </c>
      <c r="EE96" s="228">
        <v>2.0099999999999998</v>
      </c>
      <c r="EF96" s="229">
        <v>4.3E-3</v>
      </c>
      <c r="EG96" s="230">
        <v>376142</v>
      </c>
      <c r="EH96" s="230">
        <v>913124</v>
      </c>
      <c r="EI96" s="229">
        <v>-0.58809999999999996</v>
      </c>
      <c r="EJ96" s="229">
        <v>0.3715</v>
      </c>
      <c r="EK96" s="228">
        <v>276</v>
      </c>
      <c r="EL96" s="228">
        <v>129.27000000000001</v>
      </c>
      <c r="EM96" s="228">
        <v>130.93</v>
      </c>
      <c r="EN96" s="228">
        <v>0</v>
      </c>
      <c r="EO96" s="228">
        <v>536.20000000000005</v>
      </c>
      <c r="EP96" s="231">
        <v>1520.24</v>
      </c>
      <c r="EQ96" s="228">
        <v>-984.04</v>
      </c>
      <c r="ER96" s="229">
        <v>-0.64729999999999999</v>
      </c>
      <c r="ES96" s="228">
        <v>263.17</v>
      </c>
      <c r="ET96" s="228">
        <v>140.49</v>
      </c>
      <c r="EU96" s="228">
        <v>626.22</v>
      </c>
      <c r="EV96" s="231">
        <v>63851160</v>
      </c>
      <c r="EW96" s="231">
        <v>1029.8800000000001</v>
      </c>
      <c r="EX96" s="231">
        <v>1055.22</v>
      </c>
      <c r="EY96" s="228">
        <v>-25.34</v>
      </c>
      <c r="EZ96" s="229">
        <v>-2.4E-2</v>
      </c>
      <c r="FA96" s="229">
        <v>0.34110000000000001</v>
      </c>
      <c r="FB96" s="227" t="s">
        <v>568</v>
      </c>
      <c r="FC96">
        <f t="shared" si="1"/>
        <v>26</v>
      </c>
    </row>
    <row r="97" spans="1:159" ht="17.25" thickBot="1" x14ac:dyDescent="0.3">
      <c r="A97" s="226">
        <v>45889</v>
      </c>
      <c r="B97" s="227" t="s">
        <v>206</v>
      </c>
      <c r="C97" s="227" t="s">
        <v>501</v>
      </c>
      <c r="D97" s="228">
        <v>1000</v>
      </c>
      <c r="E97" s="228">
        <v>8</v>
      </c>
      <c r="F97" s="228">
        <v>807.4</v>
      </c>
      <c r="G97" s="228">
        <v>777.6</v>
      </c>
      <c r="H97" s="228">
        <v>29.8</v>
      </c>
      <c r="I97" s="229">
        <v>3.8300000000000001E-2</v>
      </c>
      <c r="J97" s="228">
        <v>806.8</v>
      </c>
      <c r="K97" s="228">
        <v>775.15</v>
      </c>
      <c r="L97" s="228">
        <v>31.65</v>
      </c>
      <c r="M97" s="229">
        <v>4.0800000000000003E-2</v>
      </c>
      <c r="N97" s="228">
        <v>807.4</v>
      </c>
      <c r="O97" s="228">
        <v>777.6</v>
      </c>
      <c r="P97" s="228">
        <v>29.8</v>
      </c>
      <c r="Q97" s="229">
        <v>3.8300000000000001E-2</v>
      </c>
      <c r="R97" s="228">
        <v>812.1</v>
      </c>
      <c r="S97" s="228">
        <v>782.15</v>
      </c>
      <c r="T97" s="228">
        <v>29.95</v>
      </c>
      <c r="U97" s="229">
        <v>3.8300000000000001E-2</v>
      </c>
      <c r="V97" s="228">
        <v>816.3</v>
      </c>
      <c r="W97" s="228">
        <v>785.95</v>
      </c>
      <c r="X97" s="228">
        <v>30.35</v>
      </c>
      <c r="Y97" s="229">
        <v>3.8600000000000002E-2</v>
      </c>
      <c r="Z97" s="228">
        <v>0.6</v>
      </c>
      <c r="AA97" s="228">
        <v>2.4500000000000002</v>
      </c>
      <c r="AB97" s="228">
        <v>-1.85</v>
      </c>
      <c r="AC97" s="229">
        <v>6.9999999999999999E-4</v>
      </c>
      <c r="AD97" s="228">
        <v>0.6</v>
      </c>
      <c r="AE97" s="228">
        <v>2.4500000000000002</v>
      </c>
      <c r="AF97" s="228">
        <v>-1.85</v>
      </c>
      <c r="AG97" s="229">
        <v>6.9999999999999999E-4</v>
      </c>
      <c r="AH97" s="228">
        <v>5.3</v>
      </c>
      <c r="AI97" s="228">
        <v>7</v>
      </c>
      <c r="AJ97" s="228">
        <v>-1.7</v>
      </c>
      <c r="AK97" s="229">
        <v>6.6E-3</v>
      </c>
      <c r="AL97" s="228">
        <v>9.5</v>
      </c>
      <c r="AM97" s="228">
        <v>10.8</v>
      </c>
      <c r="AN97" s="228">
        <v>-1.3</v>
      </c>
      <c r="AO97" s="229">
        <v>1.18E-2</v>
      </c>
      <c r="AP97" s="228">
        <v>800.41</v>
      </c>
      <c r="AQ97" s="228">
        <v>805.74</v>
      </c>
      <c r="AR97" s="228">
        <v>0</v>
      </c>
      <c r="AS97" s="228">
        <v>910</v>
      </c>
      <c r="AT97" s="228">
        <v>216</v>
      </c>
      <c r="AU97" s="228">
        <v>694</v>
      </c>
      <c r="AV97" s="229">
        <v>3.2126999999999999</v>
      </c>
      <c r="AW97" s="228">
        <v>760</v>
      </c>
      <c r="AX97" s="228">
        <v>185</v>
      </c>
      <c r="AY97" s="228">
        <v>575</v>
      </c>
      <c r="AZ97" s="229">
        <v>3.1032999999999999</v>
      </c>
      <c r="BA97" s="228">
        <v>139</v>
      </c>
      <c r="BB97" s="228">
        <v>27</v>
      </c>
      <c r="BC97" s="228">
        <v>112</v>
      </c>
      <c r="BD97" s="229">
        <v>4.0765000000000002</v>
      </c>
      <c r="BE97" s="228">
        <v>10</v>
      </c>
      <c r="BF97" s="228">
        <v>3</v>
      </c>
      <c r="BG97" s="228">
        <v>7</v>
      </c>
      <c r="BH97" s="229">
        <v>2.1707000000000001</v>
      </c>
      <c r="BI97" s="230">
        <v>7584</v>
      </c>
      <c r="BJ97" s="228">
        <v>605</v>
      </c>
      <c r="BK97" s="230">
        <v>6979</v>
      </c>
      <c r="BL97" s="229">
        <v>11.528</v>
      </c>
      <c r="BM97" s="230">
        <v>2178</v>
      </c>
      <c r="BN97" s="228">
        <v>269</v>
      </c>
      <c r="BO97" s="230">
        <v>1909</v>
      </c>
      <c r="BP97" s="229">
        <v>7.0875000000000004</v>
      </c>
      <c r="BQ97" s="230">
        <v>10673</v>
      </c>
      <c r="BR97" s="230">
        <v>1091</v>
      </c>
      <c r="BS97" s="230">
        <v>9582</v>
      </c>
      <c r="BT97" s="229">
        <v>8.7849000000000004</v>
      </c>
      <c r="BU97" s="230">
        <v>9703525</v>
      </c>
      <c r="BV97" s="230">
        <v>2725669</v>
      </c>
      <c r="BW97" s="230">
        <v>6977856</v>
      </c>
      <c r="BX97" s="229">
        <v>2.5600999999999998</v>
      </c>
      <c r="BY97" s="230">
        <v>2081</v>
      </c>
      <c r="BZ97" s="230">
        <v>2135</v>
      </c>
      <c r="CA97" s="228">
        <v>-54</v>
      </c>
      <c r="CB97" s="229">
        <v>-2.5499999999999998E-2</v>
      </c>
      <c r="CC97" s="230">
        <v>1953</v>
      </c>
      <c r="CD97" s="230">
        <v>2038</v>
      </c>
      <c r="CE97" s="228">
        <v>-85</v>
      </c>
      <c r="CF97" s="229">
        <v>-4.1500000000000002E-2</v>
      </c>
      <c r="CG97" s="228">
        <v>114</v>
      </c>
      <c r="CH97" s="228">
        <v>86</v>
      </c>
      <c r="CI97" s="228">
        <v>28</v>
      </c>
      <c r="CJ97" s="229">
        <v>0.33050000000000002</v>
      </c>
      <c r="CK97" s="228">
        <v>14</v>
      </c>
      <c r="CL97" s="228">
        <v>12</v>
      </c>
      <c r="CM97" s="228">
        <v>2</v>
      </c>
      <c r="CN97" s="229">
        <v>0.1565</v>
      </c>
      <c r="CO97" s="228">
        <v>714</v>
      </c>
      <c r="CP97" s="228">
        <v>490</v>
      </c>
      <c r="CQ97" s="228">
        <v>225</v>
      </c>
      <c r="CR97" s="229">
        <v>0.45929999999999999</v>
      </c>
      <c r="CS97" s="228">
        <v>587</v>
      </c>
      <c r="CT97" s="228">
        <v>375</v>
      </c>
      <c r="CU97" s="228">
        <v>213</v>
      </c>
      <c r="CV97" s="229">
        <v>0.56759999999999999</v>
      </c>
      <c r="CW97" s="230">
        <v>3382</v>
      </c>
      <c r="CX97" s="230">
        <v>2999</v>
      </c>
      <c r="CY97" s="228">
        <v>383</v>
      </c>
      <c r="CZ97" s="229">
        <v>0.12770000000000001</v>
      </c>
      <c r="DA97" s="228">
        <v>26.49</v>
      </c>
      <c r="DB97" s="228">
        <v>22.35</v>
      </c>
      <c r="DC97" s="228">
        <v>4.1399999999999997</v>
      </c>
      <c r="DD97" s="228">
        <v>4.1399999999999997</v>
      </c>
      <c r="DE97" s="228">
        <v>37.909999999999997</v>
      </c>
      <c r="DF97" s="228">
        <v>37.619999999999997</v>
      </c>
      <c r="DG97" s="228">
        <v>-11.42</v>
      </c>
      <c r="DH97" s="228">
        <v>0.28999999999999998</v>
      </c>
      <c r="DI97" s="228">
        <v>26.29</v>
      </c>
      <c r="DJ97" s="228">
        <v>22.25</v>
      </c>
      <c r="DK97" s="228">
        <v>4.04</v>
      </c>
      <c r="DL97" s="228">
        <v>4.04</v>
      </c>
      <c r="DM97" s="228">
        <v>27.2</v>
      </c>
      <c r="DN97" s="228">
        <v>22.56</v>
      </c>
      <c r="DO97" s="228">
        <v>4.6399999999999997</v>
      </c>
      <c r="DP97" s="228">
        <v>4.6399999999999997</v>
      </c>
      <c r="DQ97" s="228">
        <v>0.82</v>
      </c>
      <c r="DR97" s="228">
        <v>0.77</v>
      </c>
      <c r="DS97" s="228">
        <v>0.05</v>
      </c>
      <c r="DT97" s="229">
        <v>6.4899999999999999E-2</v>
      </c>
      <c r="DU97" s="228">
        <v>800</v>
      </c>
      <c r="DV97" s="228">
        <v>780</v>
      </c>
      <c r="DW97" s="228">
        <v>0.28999999999999998</v>
      </c>
      <c r="DX97" s="228">
        <v>0.44</v>
      </c>
      <c r="DY97" s="228">
        <v>-0.15</v>
      </c>
      <c r="DZ97" s="229">
        <v>-0.34089999999999998</v>
      </c>
      <c r="EA97" s="229">
        <v>6.13E-2</v>
      </c>
      <c r="EB97" s="230">
        <v>1206000</v>
      </c>
      <c r="EC97" s="229">
        <v>5.7999999999999996E-3</v>
      </c>
      <c r="ED97" s="229">
        <v>6.13E-2</v>
      </c>
      <c r="EE97" s="228">
        <v>5.33</v>
      </c>
      <c r="EF97" s="229">
        <v>6.7000000000000002E-3</v>
      </c>
      <c r="EG97" s="230">
        <v>4515103</v>
      </c>
      <c r="EH97" s="230">
        <v>2144152</v>
      </c>
      <c r="EI97" s="229">
        <v>1.1057999999999999</v>
      </c>
      <c r="EJ97" s="229">
        <v>0.46529999999999999</v>
      </c>
      <c r="EK97" s="231">
        <v>7718.76</v>
      </c>
      <c r="EL97" s="231">
        <v>2132.52</v>
      </c>
      <c r="EM97" s="228">
        <v>903.04</v>
      </c>
      <c r="EN97" s="228">
        <v>0</v>
      </c>
      <c r="EO97" s="231">
        <v>10754.32</v>
      </c>
      <c r="EP97" s="231">
        <v>1061.06</v>
      </c>
      <c r="EQ97" s="231">
        <v>9693.25</v>
      </c>
      <c r="ER97" s="229">
        <v>9.1354000000000006</v>
      </c>
      <c r="ES97" s="228">
        <v>716.7</v>
      </c>
      <c r="ET97" s="228">
        <v>555.15</v>
      </c>
      <c r="EU97" s="231">
        <v>2081.48</v>
      </c>
      <c r="EV97" s="231">
        <v>176172833</v>
      </c>
      <c r="EW97" s="231">
        <v>3353.34</v>
      </c>
      <c r="EX97" s="231">
        <v>2882.46</v>
      </c>
      <c r="EY97" s="228">
        <v>470.88</v>
      </c>
      <c r="EZ97" s="229">
        <v>0.16339999999999999</v>
      </c>
      <c r="FA97" s="229">
        <v>0.23780000000000001</v>
      </c>
      <c r="FB97" s="227" t="s">
        <v>556</v>
      </c>
      <c r="FC97">
        <f t="shared" si="1"/>
        <v>128</v>
      </c>
    </row>
    <row r="98" spans="1:159" ht="17.25" thickBot="1" x14ac:dyDescent="0.3">
      <c r="A98" s="226">
        <v>45889</v>
      </c>
      <c r="B98" s="227" t="s">
        <v>172</v>
      </c>
      <c r="C98" s="227" t="s">
        <v>579</v>
      </c>
      <c r="D98" s="228">
        <v>1000</v>
      </c>
      <c r="E98" s="228">
        <v>8</v>
      </c>
      <c r="F98" s="228">
        <v>671.5</v>
      </c>
      <c r="G98" s="228">
        <v>673</v>
      </c>
      <c r="H98" s="228">
        <v>-1.5</v>
      </c>
      <c r="I98" s="229">
        <v>-2.2000000000000001E-3</v>
      </c>
      <c r="J98" s="228">
        <v>670.05</v>
      </c>
      <c r="K98" s="228">
        <v>671.65</v>
      </c>
      <c r="L98" s="228">
        <v>-1.6</v>
      </c>
      <c r="M98" s="229">
        <v>-2.3999999999999998E-3</v>
      </c>
      <c r="N98" s="228">
        <v>671.5</v>
      </c>
      <c r="O98" s="228">
        <v>673</v>
      </c>
      <c r="P98" s="228">
        <v>-1.5</v>
      </c>
      <c r="Q98" s="229">
        <v>-2.2000000000000001E-3</v>
      </c>
      <c r="R98" s="228">
        <v>673.1</v>
      </c>
      <c r="S98" s="228">
        <v>674.05</v>
      </c>
      <c r="T98" s="228">
        <v>-0.95</v>
      </c>
      <c r="U98" s="229">
        <v>-1.4E-3</v>
      </c>
      <c r="V98" s="228">
        <v>673.85</v>
      </c>
      <c r="W98" s="228">
        <v>674.65</v>
      </c>
      <c r="X98" s="228">
        <v>-0.8</v>
      </c>
      <c r="Y98" s="229">
        <v>-1.1999999999999999E-3</v>
      </c>
      <c r="Z98" s="228">
        <v>1.45</v>
      </c>
      <c r="AA98" s="228">
        <v>1.35</v>
      </c>
      <c r="AB98" s="228">
        <v>0.1</v>
      </c>
      <c r="AC98" s="229">
        <v>2.2000000000000001E-3</v>
      </c>
      <c r="AD98" s="228">
        <v>1.45</v>
      </c>
      <c r="AE98" s="228">
        <v>1.35</v>
      </c>
      <c r="AF98" s="228">
        <v>0.1</v>
      </c>
      <c r="AG98" s="229">
        <v>2.2000000000000001E-3</v>
      </c>
      <c r="AH98" s="228">
        <v>3.05</v>
      </c>
      <c r="AI98" s="228">
        <v>2.4</v>
      </c>
      <c r="AJ98" s="228">
        <v>0.65</v>
      </c>
      <c r="AK98" s="229">
        <v>4.5999999999999999E-3</v>
      </c>
      <c r="AL98" s="228">
        <v>3.8</v>
      </c>
      <c r="AM98" s="228">
        <v>3</v>
      </c>
      <c r="AN98" s="228">
        <v>0.8</v>
      </c>
      <c r="AO98" s="229">
        <v>5.7000000000000002E-3</v>
      </c>
      <c r="AP98" s="228">
        <v>671.24</v>
      </c>
      <c r="AQ98" s="228">
        <v>673.11</v>
      </c>
      <c r="AR98" s="228">
        <v>0</v>
      </c>
      <c r="AS98" s="228">
        <v>77</v>
      </c>
      <c r="AT98" s="228">
        <v>158</v>
      </c>
      <c r="AU98" s="228">
        <v>-81</v>
      </c>
      <c r="AV98" s="229">
        <v>-0.51339999999999997</v>
      </c>
      <c r="AW98" s="228">
        <v>64</v>
      </c>
      <c r="AX98" s="228">
        <v>132</v>
      </c>
      <c r="AY98" s="228">
        <v>-68</v>
      </c>
      <c r="AZ98" s="229">
        <v>-0.51680000000000004</v>
      </c>
      <c r="BA98" s="228">
        <v>13</v>
      </c>
      <c r="BB98" s="228">
        <v>26</v>
      </c>
      <c r="BC98" s="228">
        <v>-13</v>
      </c>
      <c r="BD98" s="229">
        <v>-0.49490000000000001</v>
      </c>
      <c r="BE98" s="228">
        <v>0</v>
      </c>
      <c r="BF98" s="228">
        <v>0</v>
      </c>
      <c r="BG98" s="228">
        <v>0</v>
      </c>
      <c r="BH98" s="229">
        <v>-0.6</v>
      </c>
      <c r="BI98" s="228">
        <v>131</v>
      </c>
      <c r="BJ98" s="228">
        <v>246</v>
      </c>
      <c r="BK98" s="228">
        <v>-115</v>
      </c>
      <c r="BL98" s="229">
        <v>-0.46700000000000003</v>
      </c>
      <c r="BM98" s="228">
        <v>45</v>
      </c>
      <c r="BN98" s="228">
        <v>78</v>
      </c>
      <c r="BO98" s="228">
        <v>-33</v>
      </c>
      <c r="BP98" s="229">
        <v>-0.4249</v>
      </c>
      <c r="BQ98" s="228">
        <v>253</v>
      </c>
      <c r="BR98" s="228">
        <v>482</v>
      </c>
      <c r="BS98" s="228">
        <v>-229</v>
      </c>
      <c r="BT98" s="229">
        <v>-0.47549999999999998</v>
      </c>
      <c r="BU98" s="230">
        <v>703473</v>
      </c>
      <c r="BV98" s="230">
        <v>926756</v>
      </c>
      <c r="BW98" s="230">
        <v>-223283</v>
      </c>
      <c r="BX98" s="229">
        <v>-0.2409</v>
      </c>
      <c r="BY98" s="228">
        <v>480</v>
      </c>
      <c r="BZ98" s="228">
        <v>484</v>
      </c>
      <c r="CA98" s="228">
        <v>-5</v>
      </c>
      <c r="CB98" s="229">
        <v>-9.5999999999999992E-3</v>
      </c>
      <c r="CC98" s="228">
        <v>439</v>
      </c>
      <c r="CD98" s="228">
        <v>447</v>
      </c>
      <c r="CE98" s="228">
        <v>-8</v>
      </c>
      <c r="CF98" s="229">
        <v>-1.8599999999999998E-2</v>
      </c>
      <c r="CG98" s="228">
        <v>39</v>
      </c>
      <c r="CH98" s="228">
        <v>36</v>
      </c>
      <c r="CI98" s="228">
        <v>4</v>
      </c>
      <c r="CJ98" s="229">
        <v>0.104</v>
      </c>
      <c r="CK98" s="228">
        <v>1</v>
      </c>
      <c r="CL98" s="228">
        <v>1</v>
      </c>
      <c r="CM98" s="228">
        <v>0</v>
      </c>
      <c r="CN98" s="229">
        <v>0</v>
      </c>
      <c r="CO98" s="228">
        <v>191</v>
      </c>
      <c r="CP98" s="228">
        <v>186</v>
      </c>
      <c r="CQ98" s="228">
        <v>5</v>
      </c>
      <c r="CR98" s="229">
        <v>2.6700000000000002E-2</v>
      </c>
      <c r="CS98" s="228">
        <v>134</v>
      </c>
      <c r="CT98" s="228">
        <v>137</v>
      </c>
      <c r="CU98" s="228">
        <v>-3</v>
      </c>
      <c r="CV98" s="229">
        <v>-1.9599999999999999E-2</v>
      </c>
      <c r="CW98" s="228">
        <v>805</v>
      </c>
      <c r="CX98" s="228">
        <v>807</v>
      </c>
      <c r="CY98" s="228">
        <v>-2</v>
      </c>
      <c r="CZ98" s="229">
        <v>-2.8999999999999998E-3</v>
      </c>
      <c r="DA98" s="228">
        <v>27.81</v>
      </c>
      <c r="DB98" s="228">
        <v>28.22</v>
      </c>
      <c r="DC98" s="228">
        <v>-0.41</v>
      </c>
      <c r="DD98" s="228">
        <v>-0.41</v>
      </c>
      <c r="DE98" s="228">
        <v>40.54</v>
      </c>
      <c r="DF98" s="228">
        <v>40.65</v>
      </c>
      <c r="DG98" s="228">
        <v>-12.73</v>
      </c>
      <c r="DH98" s="228">
        <v>-0.11</v>
      </c>
      <c r="DI98" s="228">
        <v>27.92</v>
      </c>
      <c r="DJ98" s="228">
        <v>28.29</v>
      </c>
      <c r="DK98" s="228">
        <v>-0.37</v>
      </c>
      <c r="DL98" s="228">
        <v>-0.37</v>
      </c>
      <c r="DM98" s="228">
        <v>27.46</v>
      </c>
      <c r="DN98" s="228">
        <v>28.01</v>
      </c>
      <c r="DO98" s="228">
        <v>-0.55000000000000004</v>
      </c>
      <c r="DP98" s="228">
        <v>-0.55000000000000004</v>
      </c>
      <c r="DQ98" s="228">
        <v>0.7</v>
      </c>
      <c r="DR98" s="228">
        <v>0.73</v>
      </c>
      <c r="DS98" s="228">
        <v>-0.03</v>
      </c>
      <c r="DT98" s="229">
        <v>-4.1099999999999998E-2</v>
      </c>
      <c r="DU98" s="228">
        <v>670</v>
      </c>
      <c r="DV98" s="228">
        <v>670</v>
      </c>
      <c r="DW98" s="228">
        <v>0.34</v>
      </c>
      <c r="DX98" s="228">
        <v>0.32</v>
      </c>
      <c r="DY98" s="228">
        <v>0.02</v>
      </c>
      <c r="DZ98" s="229">
        <v>6.25E-2</v>
      </c>
      <c r="EA98" s="229">
        <v>8.4900000000000003E-2</v>
      </c>
      <c r="EB98" s="230">
        <v>551000</v>
      </c>
      <c r="EC98" s="229">
        <v>2.3999999999999998E-3</v>
      </c>
      <c r="ED98" s="229">
        <v>8.4900000000000003E-2</v>
      </c>
      <c r="EE98" s="228">
        <v>1.87</v>
      </c>
      <c r="EF98" s="229">
        <v>2.8E-3</v>
      </c>
      <c r="EG98" s="230">
        <v>342347</v>
      </c>
      <c r="EH98" s="230">
        <v>316317</v>
      </c>
      <c r="EI98" s="229">
        <v>8.2299999999999998E-2</v>
      </c>
      <c r="EJ98" s="229">
        <v>0.48670000000000002</v>
      </c>
      <c r="EK98" s="228">
        <v>134.69999999999999</v>
      </c>
      <c r="EL98" s="228">
        <v>44.34</v>
      </c>
      <c r="EM98" s="228">
        <v>77.099999999999994</v>
      </c>
      <c r="EN98" s="228">
        <v>0</v>
      </c>
      <c r="EO98" s="228">
        <v>256.14</v>
      </c>
      <c r="EP98" s="228">
        <v>490.14</v>
      </c>
      <c r="EQ98" s="228">
        <v>-234</v>
      </c>
      <c r="ER98" s="229">
        <v>-0.47739999999999999</v>
      </c>
      <c r="ES98" s="228">
        <v>193.69</v>
      </c>
      <c r="ET98" s="228">
        <v>127.38</v>
      </c>
      <c r="EU98" s="228">
        <v>479.62</v>
      </c>
      <c r="EV98" s="231">
        <v>70482876</v>
      </c>
      <c r="EW98" s="228">
        <v>800.69</v>
      </c>
      <c r="EX98" s="228">
        <v>803.87</v>
      </c>
      <c r="EY98" s="228">
        <v>-3.18</v>
      </c>
      <c r="EZ98" s="229">
        <v>-4.0000000000000001E-3</v>
      </c>
      <c r="FA98" s="229">
        <v>0.1701</v>
      </c>
      <c r="FB98" s="227" t="s">
        <v>568</v>
      </c>
      <c r="FC98">
        <f t="shared" si="1"/>
        <v>41</v>
      </c>
    </row>
    <row r="99" spans="1:159" ht="17.25" thickBot="1" x14ac:dyDescent="0.3">
      <c r="A99" s="226">
        <v>45889</v>
      </c>
      <c r="B99" s="227" t="s">
        <v>181</v>
      </c>
      <c r="C99" s="227" t="s">
        <v>570</v>
      </c>
      <c r="D99" s="228">
        <v>1</v>
      </c>
      <c r="E99" s="228">
        <v>8</v>
      </c>
      <c r="F99" s="228">
        <v>11.79</v>
      </c>
      <c r="G99" s="228">
        <v>11.79</v>
      </c>
      <c r="H99" s="228">
        <v>0</v>
      </c>
      <c r="I99" s="229">
        <v>-4.0000000000000002E-4</v>
      </c>
      <c r="J99" s="228">
        <v>11.79</v>
      </c>
      <c r="K99" s="228">
        <v>11.79</v>
      </c>
      <c r="L99" s="228">
        <v>0</v>
      </c>
      <c r="M99" s="229">
        <v>-4.0000000000000002E-4</v>
      </c>
      <c r="N99" s="228">
        <v>0</v>
      </c>
      <c r="O99" s="228">
        <v>0</v>
      </c>
      <c r="P99" s="228">
        <v>0</v>
      </c>
      <c r="Q99" s="229">
        <v>0</v>
      </c>
      <c r="R99" s="228">
        <v>0</v>
      </c>
      <c r="S99" s="228">
        <v>0</v>
      </c>
      <c r="T99" s="228">
        <v>0</v>
      </c>
      <c r="U99" s="229">
        <v>0</v>
      </c>
      <c r="V99" s="228">
        <v>0</v>
      </c>
      <c r="W99" s="228">
        <v>0</v>
      </c>
      <c r="X99" s="228">
        <v>0</v>
      </c>
      <c r="Y99" s="229">
        <v>0</v>
      </c>
      <c r="Z99" s="228">
        <v>0</v>
      </c>
      <c r="AA99" s="228">
        <v>0</v>
      </c>
      <c r="AB99" s="228">
        <v>0</v>
      </c>
      <c r="AC99" s="229">
        <v>0</v>
      </c>
      <c r="AD99" s="228">
        <v>0</v>
      </c>
      <c r="AE99" s="228">
        <v>0</v>
      </c>
      <c r="AF99" s="228">
        <v>0</v>
      </c>
      <c r="AG99" s="229">
        <v>0</v>
      </c>
      <c r="AH99" s="228">
        <v>0</v>
      </c>
      <c r="AI99" s="228">
        <v>0</v>
      </c>
      <c r="AJ99" s="228">
        <v>0</v>
      </c>
      <c r="AK99" s="229">
        <v>0</v>
      </c>
      <c r="AL99" s="228">
        <v>0</v>
      </c>
      <c r="AM99" s="228">
        <v>0</v>
      </c>
      <c r="AN99" s="228">
        <v>0</v>
      </c>
      <c r="AO99" s="229">
        <v>0</v>
      </c>
      <c r="AP99" s="228">
        <v>0</v>
      </c>
      <c r="AQ99" s="228">
        <v>0</v>
      </c>
      <c r="AR99" s="228">
        <v>0</v>
      </c>
      <c r="AS99" s="228">
        <v>0</v>
      </c>
      <c r="AT99" s="228">
        <v>0</v>
      </c>
      <c r="AU99" s="228">
        <v>0</v>
      </c>
      <c r="AV99" s="229">
        <v>0</v>
      </c>
      <c r="AW99" s="228">
        <v>0</v>
      </c>
      <c r="AX99" s="228">
        <v>0</v>
      </c>
      <c r="AY99" s="228">
        <v>0</v>
      </c>
      <c r="AZ99" s="229">
        <v>0</v>
      </c>
      <c r="BA99" s="228">
        <v>0</v>
      </c>
      <c r="BB99" s="228">
        <v>0</v>
      </c>
      <c r="BC99" s="228">
        <v>0</v>
      </c>
      <c r="BD99" s="229">
        <v>0</v>
      </c>
      <c r="BE99" s="228">
        <v>0</v>
      </c>
      <c r="BF99" s="228">
        <v>0</v>
      </c>
      <c r="BG99" s="228">
        <v>0</v>
      </c>
      <c r="BH99" s="229">
        <v>0</v>
      </c>
      <c r="BI99" s="228">
        <v>0</v>
      </c>
      <c r="BJ99" s="228">
        <v>0</v>
      </c>
      <c r="BK99" s="228">
        <v>0</v>
      </c>
      <c r="BL99" s="229">
        <v>0</v>
      </c>
      <c r="BM99" s="228">
        <v>0</v>
      </c>
      <c r="BN99" s="228">
        <v>0</v>
      </c>
      <c r="BO99" s="228">
        <v>0</v>
      </c>
      <c r="BP99" s="229">
        <v>0</v>
      </c>
      <c r="BQ99" s="228">
        <v>0</v>
      </c>
      <c r="BR99" s="228">
        <v>0</v>
      </c>
      <c r="BS99" s="228">
        <v>0</v>
      </c>
      <c r="BT99" s="229">
        <v>0</v>
      </c>
      <c r="BU99" s="228">
        <v>0</v>
      </c>
      <c r="BV99" s="228">
        <v>0</v>
      </c>
      <c r="BW99" s="228">
        <v>0</v>
      </c>
      <c r="BX99" s="229">
        <v>0</v>
      </c>
      <c r="BY99" s="228">
        <v>0</v>
      </c>
      <c r="BZ99" s="228">
        <v>0</v>
      </c>
      <c r="CA99" s="228">
        <v>0</v>
      </c>
      <c r="CB99" s="229">
        <v>0</v>
      </c>
      <c r="CC99" s="228">
        <v>0</v>
      </c>
      <c r="CD99" s="228">
        <v>0</v>
      </c>
      <c r="CE99" s="228">
        <v>0</v>
      </c>
      <c r="CF99" s="229">
        <v>0</v>
      </c>
      <c r="CG99" s="228">
        <v>0</v>
      </c>
      <c r="CH99" s="228">
        <v>0</v>
      </c>
      <c r="CI99" s="228">
        <v>0</v>
      </c>
      <c r="CJ99" s="229">
        <v>0</v>
      </c>
      <c r="CK99" s="228">
        <v>0</v>
      </c>
      <c r="CL99" s="228">
        <v>0</v>
      </c>
      <c r="CM99" s="228">
        <v>0</v>
      </c>
      <c r="CN99" s="229">
        <v>0</v>
      </c>
      <c r="CO99" s="228">
        <v>0</v>
      </c>
      <c r="CP99" s="228">
        <v>0</v>
      </c>
      <c r="CQ99" s="228">
        <v>0</v>
      </c>
      <c r="CR99" s="229">
        <v>0</v>
      </c>
      <c r="CS99" s="228">
        <v>0</v>
      </c>
      <c r="CT99" s="228">
        <v>0</v>
      </c>
      <c r="CU99" s="228">
        <v>0</v>
      </c>
      <c r="CV99" s="229">
        <v>0</v>
      </c>
      <c r="CW99" s="228">
        <v>0</v>
      </c>
      <c r="CX99" s="228">
        <v>0</v>
      </c>
      <c r="CY99" s="228">
        <v>0</v>
      </c>
      <c r="CZ99" s="229">
        <v>0</v>
      </c>
      <c r="DA99" s="228">
        <v>0</v>
      </c>
      <c r="DB99" s="228">
        <v>0</v>
      </c>
      <c r="DC99" s="228">
        <v>0</v>
      </c>
      <c r="DD99" s="228">
        <v>0</v>
      </c>
      <c r="DE99" s="228">
        <v>0</v>
      </c>
      <c r="DF99" s="228">
        <v>0</v>
      </c>
      <c r="DG99" s="228">
        <v>0</v>
      </c>
      <c r="DH99" s="228">
        <v>0</v>
      </c>
      <c r="DI99" s="228">
        <v>0</v>
      </c>
      <c r="DJ99" s="228">
        <v>0</v>
      </c>
      <c r="DK99" s="228">
        <v>0</v>
      </c>
      <c r="DL99" s="228">
        <v>0</v>
      </c>
      <c r="DM99" s="228">
        <v>0</v>
      </c>
      <c r="DN99" s="228">
        <v>0</v>
      </c>
      <c r="DO99" s="228">
        <v>0</v>
      </c>
      <c r="DP99" s="228">
        <v>0</v>
      </c>
      <c r="DQ99" s="228">
        <v>0</v>
      </c>
      <c r="DR99" s="228">
        <v>0</v>
      </c>
      <c r="DS99" s="228">
        <v>0</v>
      </c>
      <c r="DT99" s="229">
        <v>0</v>
      </c>
      <c r="DU99" s="228">
        <v>0</v>
      </c>
      <c r="DV99" s="228">
        <v>0</v>
      </c>
      <c r="DW99" s="228">
        <v>0</v>
      </c>
      <c r="DX99" s="228">
        <v>0</v>
      </c>
      <c r="DY99" s="228">
        <v>0</v>
      </c>
      <c r="DZ99" s="229">
        <v>0</v>
      </c>
      <c r="EA99" s="229">
        <v>0</v>
      </c>
      <c r="EB99" s="228">
        <v>0</v>
      </c>
      <c r="EC99" s="229">
        <v>0</v>
      </c>
      <c r="ED99" s="229">
        <v>0</v>
      </c>
      <c r="EE99" s="228">
        <v>0</v>
      </c>
      <c r="EF99" s="229">
        <v>0</v>
      </c>
      <c r="EG99" s="228">
        <v>0</v>
      </c>
      <c r="EH99" s="228">
        <v>0</v>
      </c>
      <c r="EI99" s="229">
        <v>0</v>
      </c>
      <c r="EJ99" s="229">
        <v>0</v>
      </c>
      <c r="EK99" s="228">
        <v>0</v>
      </c>
      <c r="EL99" s="228">
        <v>0</v>
      </c>
      <c r="EM99" s="228">
        <v>0</v>
      </c>
      <c r="EN99" s="228">
        <v>0</v>
      </c>
      <c r="EO99" s="228">
        <v>0</v>
      </c>
      <c r="EP99" s="228">
        <v>0</v>
      </c>
      <c r="EQ99" s="228">
        <v>0</v>
      </c>
      <c r="ER99" s="229">
        <v>0</v>
      </c>
      <c r="ES99" s="228">
        <v>0</v>
      </c>
      <c r="ET99" s="228">
        <v>0</v>
      </c>
      <c r="EU99" s="228">
        <v>0</v>
      </c>
      <c r="EV99" s="228">
        <v>0</v>
      </c>
      <c r="EW99" s="228">
        <v>0</v>
      </c>
      <c r="EX99" s="228">
        <v>0</v>
      </c>
      <c r="EY99" s="228">
        <v>0</v>
      </c>
      <c r="EZ99" s="229">
        <v>0</v>
      </c>
      <c r="FA99" s="229">
        <v>0</v>
      </c>
      <c r="FB99" s="227" t="s">
        <v>237</v>
      </c>
      <c r="FC99">
        <f t="shared" si="1"/>
        <v>0</v>
      </c>
    </row>
    <row r="100" spans="1:159" ht="17.25" thickBot="1" x14ac:dyDescent="0.3">
      <c r="A100" s="226">
        <v>45889</v>
      </c>
      <c r="B100" s="227" t="s">
        <v>215</v>
      </c>
      <c r="C100" s="227" t="s">
        <v>238</v>
      </c>
      <c r="D100" s="228">
        <v>150</v>
      </c>
      <c r="E100" s="228">
        <v>8</v>
      </c>
      <c r="F100" s="231">
        <v>6145</v>
      </c>
      <c r="G100" s="231">
        <v>6065.5</v>
      </c>
      <c r="H100" s="228">
        <v>79.5</v>
      </c>
      <c r="I100" s="229">
        <v>1.3100000000000001E-2</v>
      </c>
      <c r="J100" s="231">
        <v>6155.5</v>
      </c>
      <c r="K100" s="231">
        <v>6055.5</v>
      </c>
      <c r="L100" s="228">
        <v>100</v>
      </c>
      <c r="M100" s="229">
        <v>1.6500000000000001E-2</v>
      </c>
      <c r="N100" s="231">
        <v>6145</v>
      </c>
      <c r="O100" s="231">
        <v>6065.5</v>
      </c>
      <c r="P100" s="228">
        <v>79.5</v>
      </c>
      <c r="Q100" s="229">
        <v>1.3100000000000001E-2</v>
      </c>
      <c r="R100" s="231">
        <v>6171.5</v>
      </c>
      <c r="S100" s="231">
        <v>6088.5</v>
      </c>
      <c r="T100" s="228">
        <v>83</v>
      </c>
      <c r="U100" s="229">
        <v>1.3599999999999999E-2</v>
      </c>
      <c r="V100" s="231">
        <v>6180</v>
      </c>
      <c r="W100" s="231">
        <v>6100</v>
      </c>
      <c r="X100" s="228">
        <v>80</v>
      </c>
      <c r="Y100" s="229">
        <v>1.3100000000000001E-2</v>
      </c>
      <c r="Z100" s="228">
        <v>-10.5</v>
      </c>
      <c r="AA100" s="228">
        <v>10</v>
      </c>
      <c r="AB100" s="228">
        <v>-20.5</v>
      </c>
      <c r="AC100" s="229">
        <v>-1.6999999999999999E-3</v>
      </c>
      <c r="AD100" s="228">
        <v>-10.5</v>
      </c>
      <c r="AE100" s="228">
        <v>10</v>
      </c>
      <c r="AF100" s="228">
        <v>-20.5</v>
      </c>
      <c r="AG100" s="229">
        <v>-1.6999999999999999E-3</v>
      </c>
      <c r="AH100" s="228">
        <v>16</v>
      </c>
      <c r="AI100" s="228">
        <v>33</v>
      </c>
      <c r="AJ100" s="228">
        <v>-17</v>
      </c>
      <c r="AK100" s="229">
        <v>2.5999999999999999E-3</v>
      </c>
      <c r="AL100" s="228">
        <v>24.5</v>
      </c>
      <c r="AM100" s="228">
        <v>44.5</v>
      </c>
      <c r="AN100" s="228">
        <v>-20</v>
      </c>
      <c r="AO100" s="229">
        <v>4.0000000000000001E-3</v>
      </c>
      <c r="AP100" s="231">
        <v>6120.87</v>
      </c>
      <c r="AQ100" s="231">
        <v>6145.9</v>
      </c>
      <c r="AR100" s="228">
        <v>0</v>
      </c>
      <c r="AS100" s="228">
        <v>849</v>
      </c>
      <c r="AT100" s="228">
        <v>428</v>
      </c>
      <c r="AU100" s="228">
        <v>421</v>
      </c>
      <c r="AV100" s="229">
        <v>0.98340000000000005</v>
      </c>
      <c r="AW100" s="228">
        <v>581</v>
      </c>
      <c r="AX100" s="228">
        <v>359</v>
      </c>
      <c r="AY100" s="228">
        <v>222</v>
      </c>
      <c r="AZ100" s="229">
        <v>0.61750000000000005</v>
      </c>
      <c r="BA100" s="228">
        <v>258</v>
      </c>
      <c r="BB100" s="228">
        <v>65</v>
      </c>
      <c r="BC100" s="228">
        <v>193</v>
      </c>
      <c r="BD100" s="229">
        <v>2.9943</v>
      </c>
      <c r="BE100" s="228">
        <v>10</v>
      </c>
      <c r="BF100" s="228">
        <v>4</v>
      </c>
      <c r="BG100" s="228">
        <v>6</v>
      </c>
      <c r="BH100" s="229">
        <v>1.4</v>
      </c>
      <c r="BI100" s="230">
        <v>2226</v>
      </c>
      <c r="BJ100" s="230">
        <v>1262</v>
      </c>
      <c r="BK100" s="228">
        <v>964</v>
      </c>
      <c r="BL100" s="229">
        <v>0.76359999999999995</v>
      </c>
      <c r="BM100" s="228">
        <v>982</v>
      </c>
      <c r="BN100" s="228">
        <v>994</v>
      </c>
      <c r="BO100" s="228">
        <v>-11</v>
      </c>
      <c r="BP100" s="229">
        <v>-1.15E-2</v>
      </c>
      <c r="BQ100" s="230">
        <v>4058</v>
      </c>
      <c r="BR100" s="230">
        <v>2684</v>
      </c>
      <c r="BS100" s="230">
        <v>1373</v>
      </c>
      <c r="BT100" s="229">
        <v>0.51170000000000004</v>
      </c>
      <c r="BU100" s="230">
        <v>512471</v>
      </c>
      <c r="BV100" s="230">
        <v>513106</v>
      </c>
      <c r="BW100" s="228">
        <v>-635</v>
      </c>
      <c r="BX100" s="229">
        <v>-1.1999999999999999E-3</v>
      </c>
      <c r="BY100" s="230">
        <v>4613</v>
      </c>
      <c r="BZ100" s="230">
        <v>4331</v>
      </c>
      <c r="CA100" s="228">
        <v>282</v>
      </c>
      <c r="CB100" s="229">
        <v>6.5199999999999994E-2</v>
      </c>
      <c r="CC100" s="230">
        <v>4241</v>
      </c>
      <c r="CD100" s="230">
        <v>4124</v>
      </c>
      <c r="CE100" s="228">
        <v>118</v>
      </c>
      <c r="CF100" s="229">
        <v>2.8500000000000001E-2</v>
      </c>
      <c r="CG100" s="228">
        <v>360</v>
      </c>
      <c r="CH100" s="228">
        <v>196</v>
      </c>
      <c r="CI100" s="228">
        <v>164</v>
      </c>
      <c r="CJ100" s="229">
        <v>0.83289999999999997</v>
      </c>
      <c r="CK100" s="228">
        <v>12</v>
      </c>
      <c r="CL100" s="228">
        <v>11</v>
      </c>
      <c r="CM100" s="228">
        <v>1</v>
      </c>
      <c r="CN100" s="229">
        <v>0.1111</v>
      </c>
      <c r="CO100" s="228">
        <v>979</v>
      </c>
      <c r="CP100" s="228">
        <v>938</v>
      </c>
      <c r="CQ100" s="228">
        <v>41</v>
      </c>
      <c r="CR100" s="229">
        <v>4.4200000000000003E-2</v>
      </c>
      <c r="CS100" s="230">
        <v>1000</v>
      </c>
      <c r="CT100" s="228">
        <v>904</v>
      </c>
      <c r="CU100" s="228">
        <v>97</v>
      </c>
      <c r="CV100" s="229">
        <v>0.1071</v>
      </c>
      <c r="CW100" s="230">
        <v>6593</v>
      </c>
      <c r="CX100" s="230">
        <v>6172</v>
      </c>
      <c r="CY100" s="228">
        <v>421</v>
      </c>
      <c r="CZ100" s="229">
        <v>6.8099999999999994E-2</v>
      </c>
      <c r="DA100" s="228">
        <v>25.4</v>
      </c>
      <c r="DB100" s="228">
        <v>25.05</v>
      </c>
      <c r="DC100" s="228">
        <v>0.35</v>
      </c>
      <c r="DD100" s="228">
        <v>0.35</v>
      </c>
      <c r="DE100" s="228">
        <v>34.17</v>
      </c>
      <c r="DF100" s="228">
        <v>34.19</v>
      </c>
      <c r="DG100" s="228">
        <v>-8.77</v>
      </c>
      <c r="DH100" s="228">
        <v>-0.02</v>
      </c>
      <c r="DI100" s="228">
        <v>24.13</v>
      </c>
      <c r="DJ100" s="228">
        <v>23.39</v>
      </c>
      <c r="DK100" s="228">
        <v>0.74</v>
      </c>
      <c r="DL100" s="228">
        <v>0.74</v>
      </c>
      <c r="DM100" s="228">
        <v>28.27</v>
      </c>
      <c r="DN100" s="228">
        <v>27.16</v>
      </c>
      <c r="DO100" s="228">
        <v>1.1100000000000001</v>
      </c>
      <c r="DP100" s="228">
        <v>1.1100000000000001</v>
      </c>
      <c r="DQ100" s="228">
        <v>1.02</v>
      </c>
      <c r="DR100" s="228">
        <v>0.96</v>
      </c>
      <c r="DS100" s="228">
        <v>0.06</v>
      </c>
      <c r="DT100" s="229">
        <v>6.25E-2</v>
      </c>
      <c r="DU100" s="231">
        <v>6300</v>
      </c>
      <c r="DV100" s="231">
        <v>5500</v>
      </c>
      <c r="DW100" s="228">
        <v>0.44</v>
      </c>
      <c r="DX100" s="228">
        <v>0.79</v>
      </c>
      <c r="DY100" s="228">
        <v>-0.35</v>
      </c>
      <c r="DZ100" s="229">
        <v>-0.443</v>
      </c>
      <c r="EA100" s="229">
        <v>8.0600000000000005E-2</v>
      </c>
      <c r="EB100" s="230">
        <v>337050</v>
      </c>
      <c r="EC100" s="229">
        <v>4.3E-3</v>
      </c>
      <c r="ED100" s="229">
        <v>8.0600000000000005E-2</v>
      </c>
      <c r="EE100" s="228">
        <v>25.03</v>
      </c>
      <c r="EF100" s="229">
        <v>4.1000000000000003E-3</v>
      </c>
      <c r="EG100" s="230">
        <v>325555</v>
      </c>
      <c r="EH100" s="230">
        <v>329431</v>
      </c>
      <c r="EI100" s="229">
        <v>-1.18E-2</v>
      </c>
      <c r="EJ100" s="229">
        <v>0.63529999999999998</v>
      </c>
      <c r="EK100" s="231">
        <v>2271.83</v>
      </c>
      <c r="EL100" s="228">
        <v>955.34</v>
      </c>
      <c r="EM100" s="228">
        <v>846.62</v>
      </c>
      <c r="EN100" s="228">
        <v>0</v>
      </c>
      <c r="EO100" s="231">
        <v>4073.79</v>
      </c>
      <c r="EP100" s="231">
        <v>2661.5</v>
      </c>
      <c r="EQ100" s="231">
        <v>1412.29</v>
      </c>
      <c r="ER100" s="229">
        <v>0.53059999999999996</v>
      </c>
      <c r="ES100" s="228">
        <v>979.84</v>
      </c>
      <c r="ET100" s="228">
        <v>941.62</v>
      </c>
      <c r="EU100" s="231">
        <v>4614.79</v>
      </c>
      <c r="EV100" s="231">
        <v>43643814</v>
      </c>
      <c r="EW100" s="231">
        <v>6536.25</v>
      </c>
      <c r="EX100" s="231">
        <v>6057.48</v>
      </c>
      <c r="EY100" s="228">
        <v>478.77</v>
      </c>
      <c r="EZ100" s="229">
        <v>7.9000000000000001E-2</v>
      </c>
      <c r="FA100" s="229">
        <v>0.24579999999999999</v>
      </c>
      <c r="FB100" s="227" t="s">
        <v>555</v>
      </c>
      <c r="FC100">
        <f t="shared" si="1"/>
        <v>372</v>
      </c>
    </row>
    <row r="101" spans="1:159" ht="17.25" thickBot="1" x14ac:dyDescent="0.3">
      <c r="A101" s="226">
        <v>45889</v>
      </c>
      <c r="B101" s="227" t="s">
        <v>172</v>
      </c>
      <c r="C101" s="227" t="s">
        <v>239</v>
      </c>
      <c r="D101" s="228">
        <v>700</v>
      </c>
      <c r="E101" s="228">
        <v>8</v>
      </c>
      <c r="F101" s="228">
        <v>780.1</v>
      </c>
      <c r="G101" s="228">
        <v>786.35</v>
      </c>
      <c r="H101" s="228">
        <v>-6.25</v>
      </c>
      <c r="I101" s="229">
        <v>-7.9000000000000008E-3</v>
      </c>
      <c r="J101" s="228">
        <v>778.2</v>
      </c>
      <c r="K101" s="228">
        <v>785.5</v>
      </c>
      <c r="L101" s="228">
        <v>-7.3</v>
      </c>
      <c r="M101" s="229">
        <v>-9.2999999999999992E-3</v>
      </c>
      <c r="N101" s="228">
        <v>780.1</v>
      </c>
      <c r="O101" s="228">
        <v>786.35</v>
      </c>
      <c r="P101" s="228">
        <v>-6.25</v>
      </c>
      <c r="Q101" s="229">
        <v>-7.9000000000000008E-3</v>
      </c>
      <c r="R101" s="228">
        <v>784.5</v>
      </c>
      <c r="S101" s="228">
        <v>791.1</v>
      </c>
      <c r="T101" s="228">
        <v>-6.6</v>
      </c>
      <c r="U101" s="229">
        <v>-8.3000000000000001E-3</v>
      </c>
      <c r="V101" s="228">
        <v>788.65</v>
      </c>
      <c r="W101" s="228">
        <v>794.45</v>
      </c>
      <c r="X101" s="228">
        <v>-5.8</v>
      </c>
      <c r="Y101" s="229">
        <v>-7.3000000000000001E-3</v>
      </c>
      <c r="Z101" s="228">
        <v>1.9</v>
      </c>
      <c r="AA101" s="228">
        <v>0.85</v>
      </c>
      <c r="AB101" s="228">
        <v>1.05</v>
      </c>
      <c r="AC101" s="229">
        <v>2.3999999999999998E-3</v>
      </c>
      <c r="AD101" s="228">
        <v>1.9</v>
      </c>
      <c r="AE101" s="228">
        <v>0.85</v>
      </c>
      <c r="AF101" s="228">
        <v>1.05</v>
      </c>
      <c r="AG101" s="229">
        <v>2.3999999999999998E-3</v>
      </c>
      <c r="AH101" s="228">
        <v>6.3</v>
      </c>
      <c r="AI101" s="228">
        <v>5.6</v>
      </c>
      <c r="AJ101" s="228">
        <v>0.7</v>
      </c>
      <c r="AK101" s="229">
        <v>8.0999999999999996E-3</v>
      </c>
      <c r="AL101" s="228">
        <v>10.45</v>
      </c>
      <c r="AM101" s="228">
        <v>8.9499999999999993</v>
      </c>
      <c r="AN101" s="228">
        <v>1.5</v>
      </c>
      <c r="AO101" s="229">
        <v>1.34E-2</v>
      </c>
      <c r="AP101" s="228">
        <v>782.69</v>
      </c>
      <c r="AQ101" s="228">
        <v>786.4</v>
      </c>
      <c r="AR101" s="228">
        <v>0</v>
      </c>
      <c r="AS101" s="228">
        <v>499</v>
      </c>
      <c r="AT101" s="228">
        <v>382</v>
      </c>
      <c r="AU101" s="228">
        <v>117</v>
      </c>
      <c r="AV101" s="229">
        <v>0.30649999999999999</v>
      </c>
      <c r="AW101" s="228">
        <v>363</v>
      </c>
      <c r="AX101" s="228">
        <v>342</v>
      </c>
      <c r="AY101" s="228">
        <v>21</v>
      </c>
      <c r="AZ101" s="229">
        <v>6.0199999999999997E-2</v>
      </c>
      <c r="BA101" s="228">
        <v>133</v>
      </c>
      <c r="BB101" s="228">
        <v>35</v>
      </c>
      <c r="BC101" s="228">
        <v>98</v>
      </c>
      <c r="BD101" s="229">
        <v>2.8378000000000001</v>
      </c>
      <c r="BE101" s="228">
        <v>4</v>
      </c>
      <c r="BF101" s="228">
        <v>6</v>
      </c>
      <c r="BG101" s="228">
        <v>-2</v>
      </c>
      <c r="BH101" s="229">
        <v>-0.33660000000000001</v>
      </c>
      <c r="BI101" s="228">
        <v>953</v>
      </c>
      <c r="BJ101" s="228">
        <v>879</v>
      </c>
      <c r="BK101" s="228">
        <v>74</v>
      </c>
      <c r="BL101" s="229">
        <v>8.3799999999999999E-2</v>
      </c>
      <c r="BM101" s="228">
        <v>463</v>
      </c>
      <c r="BN101" s="228">
        <v>491</v>
      </c>
      <c r="BO101" s="228">
        <v>-27</v>
      </c>
      <c r="BP101" s="229">
        <v>-5.6000000000000001E-2</v>
      </c>
      <c r="BQ101" s="230">
        <v>1915</v>
      </c>
      <c r="BR101" s="230">
        <v>1752</v>
      </c>
      <c r="BS101" s="228">
        <v>163</v>
      </c>
      <c r="BT101" s="229">
        <v>9.3299999999999994E-2</v>
      </c>
      <c r="BU101" s="230">
        <v>2415050</v>
      </c>
      <c r="BV101" s="230">
        <v>2852294</v>
      </c>
      <c r="BW101" s="230">
        <v>-437244</v>
      </c>
      <c r="BX101" s="229">
        <v>-0.15329999999999999</v>
      </c>
      <c r="BY101" s="230">
        <v>4048</v>
      </c>
      <c r="BZ101" s="230">
        <v>4000</v>
      </c>
      <c r="CA101" s="228">
        <v>48</v>
      </c>
      <c r="CB101" s="229">
        <v>1.21E-2</v>
      </c>
      <c r="CC101" s="230">
        <v>3719</v>
      </c>
      <c r="CD101" s="230">
        <v>3778</v>
      </c>
      <c r="CE101" s="228">
        <v>-59</v>
      </c>
      <c r="CF101" s="229">
        <v>-1.5599999999999999E-2</v>
      </c>
      <c r="CG101" s="228">
        <v>307</v>
      </c>
      <c r="CH101" s="228">
        <v>202</v>
      </c>
      <c r="CI101" s="228">
        <v>106</v>
      </c>
      <c r="CJ101" s="229">
        <v>0.52259999999999995</v>
      </c>
      <c r="CK101" s="228">
        <v>22</v>
      </c>
      <c r="CL101" s="228">
        <v>20</v>
      </c>
      <c r="CM101" s="228">
        <v>2</v>
      </c>
      <c r="CN101" s="229">
        <v>9.3399999999999997E-2</v>
      </c>
      <c r="CO101" s="230">
        <v>1463</v>
      </c>
      <c r="CP101" s="230">
        <v>1392</v>
      </c>
      <c r="CQ101" s="228">
        <v>71</v>
      </c>
      <c r="CR101" s="229">
        <v>5.0900000000000001E-2</v>
      </c>
      <c r="CS101" s="228">
        <v>852</v>
      </c>
      <c r="CT101" s="228">
        <v>867</v>
      </c>
      <c r="CU101" s="228">
        <v>-15</v>
      </c>
      <c r="CV101" s="229">
        <v>-1.6899999999999998E-2</v>
      </c>
      <c r="CW101" s="230">
        <v>6363</v>
      </c>
      <c r="CX101" s="230">
        <v>6259</v>
      </c>
      <c r="CY101" s="228">
        <v>105</v>
      </c>
      <c r="CZ101" s="229">
        <v>1.67E-2</v>
      </c>
      <c r="DA101" s="228">
        <v>30.54</v>
      </c>
      <c r="DB101" s="228">
        <v>29.15</v>
      </c>
      <c r="DC101" s="228">
        <v>1.39</v>
      </c>
      <c r="DD101" s="228">
        <v>1.39</v>
      </c>
      <c r="DE101" s="228">
        <v>50.58</v>
      </c>
      <c r="DF101" s="228">
        <v>50.69</v>
      </c>
      <c r="DG101" s="228">
        <v>-20.04</v>
      </c>
      <c r="DH101" s="228">
        <v>-0.11</v>
      </c>
      <c r="DI101" s="228">
        <v>31.16</v>
      </c>
      <c r="DJ101" s="228">
        <v>29.78</v>
      </c>
      <c r="DK101" s="228">
        <v>1.38</v>
      </c>
      <c r="DL101" s="228">
        <v>1.38</v>
      </c>
      <c r="DM101" s="228">
        <v>29.26</v>
      </c>
      <c r="DN101" s="228">
        <v>28.02</v>
      </c>
      <c r="DO101" s="228">
        <v>1.24</v>
      </c>
      <c r="DP101" s="228">
        <v>1.24</v>
      </c>
      <c r="DQ101" s="228">
        <v>0.57999999999999996</v>
      </c>
      <c r="DR101" s="228">
        <v>0.62</v>
      </c>
      <c r="DS101" s="228">
        <v>-0.04</v>
      </c>
      <c r="DT101" s="229">
        <v>-6.4500000000000002E-2</v>
      </c>
      <c r="DU101" s="228">
        <v>900</v>
      </c>
      <c r="DV101" s="228">
        <v>800</v>
      </c>
      <c r="DW101" s="228">
        <v>0.49</v>
      </c>
      <c r="DX101" s="228">
        <v>0.56000000000000005</v>
      </c>
      <c r="DY101" s="228">
        <v>-7.0000000000000007E-2</v>
      </c>
      <c r="DZ101" s="229">
        <v>-0.125</v>
      </c>
      <c r="EA101" s="229">
        <v>8.1299999999999997E-2</v>
      </c>
      <c r="EB101" s="230">
        <v>2842700</v>
      </c>
      <c r="EC101" s="229">
        <v>5.5999999999999999E-3</v>
      </c>
      <c r="ED101" s="229">
        <v>8.1299999999999997E-2</v>
      </c>
      <c r="EE101" s="228">
        <v>3.71</v>
      </c>
      <c r="EF101" s="229">
        <v>4.7000000000000002E-3</v>
      </c>
      <c r="EG101" s="230">
        <v>1207431</v>
      </c>
      <c r="EH101" s="230">
        <v>1483326</v>
      </c>
      <c r="EI101" s="229">
        <v>-0.186</v>
      </c>
      <c r="EJ101" s="229">
        <v>0.5</v>
      </c>
      <c r="EK101" s="228">
        <v>999.82</v>
      </c>
      <c r="EL101" s="228">
        <v>466.64</v>
      </c>
      <c r="EM101" s="228">
        <v>501.6</v>
      </c>
      <c r="EN101" s="228">
        <v>0</v>
      </c>
      <c r="EO101" s="231">
        <v>1968.06</v>
      </c>
      <c r="EP101" s="231">
        <v>1809.08</v>
      </c>
      <c r="EQ101" s="228">
        <v>158.97999999999999</v>
      </c>
      <c r="ER101" s="229">
        <v>8.7900000000000006E-2</v>
      </c>
      <c r="ES101" s="231">
        <v>1584.93</v>
      </c>
      <c r="ET101" s="228">
        <v>864.24</v>
      </c>
      <c r="EU101" s="231">
        <v>4050.37</v>
      </c>
      <c r="EV101" s="231">
        <v>125074379</v>
      </c>
      <c r="EW101" s="231">
        <v>6499.54</v>
      </c>
      <c r="EX101" s="231">
        <v>6427.08</v>
      </c>
      <c r="EY101" s="228">
        <v>72.459999999999994</v>
      </c>
      <c r="EZ101" s="229">
        <v>1.1299999999999999E-2</v>
      </c>
      <c r="FA101" s="229">
        <v>0.6522</v>
      </c>
      <c r="FB101" s="227" t="s">
        <v>567</v>
      </c>
      <c r="FC101">
        <f t="shared" si="1"/>
        <v>329</v>
      </c>
    </row>
    <row r="102" spans="1:159" ht="17.25" thickBot="1" x14ac:dyDescent="0.3">
      <c r="A102" s="226">
        <v>45889</v>
      </c>
      <c r="B102" s="227" t="s">
        <v>188</v>
      </c>
      <c r="C102" s="227" t="s">
        <v>473</v>
      </c>
      <c r="D102" s="228">
        <v>1700</v>
      </c>
      <c r="E102" s="228">
        <v>8</v>
      </c>
      <c r="F102" s="228">
        <v>349.4</v>
      </c>
      <c r="G102" s="228">
        <v>341.25</v>
      </c>
      <c r="H102" s="228">
        <v>8.15</v>
      </c>
      <c r="I102" s="229">
        <v>2.3900000000000001E-2</v>
      </c>
      <c r="J102" s="228">
        <v>349.1</v>
      </c>
      <c r="K102" s="228">
        <v>339.95</v>
      </c>
      <c r="L102" s="228">
        <v>9.15</v>
      </c>
      <c r="M102" s="229">
        <v>2.69E-2</v>
      </c>
      <c r="N102" s="228">
        <v>349.4</v>
      </c>
      <c r="O102" s="228">
        <v>341.25</v>
      </c>
      <c r="P102" s="228">
        <v>8.15</v>
      </c>
      <c r="Q102" s="229">
        <v>2.3900000000000001E-2</v>
      </c>
      <c r="R102" s="228">
        <v>351.6</v>
      </c>
      <c r="S102" s="228">
        <v>343</v>
      </c>
      <c r="T102" s="228">
        <v>8.6</v>
      </c>
      <c r="U102" s="229">
        <v>2.5100000000000001E-2</v>
      </c>
      <c r="V102" s="228">
        <v>353.15</v>
      </c>
      <c r="W102" s="228">
        <v>344.4</v>
      </c>
      <c r="X102" s="228">
        <v>8.75</v>
      </c>
      <c r="Y102" s="229">
        <v>2.5399999999999999E-2</v>
      </c>
      <c r="Z102" s="228">
        <v>0.3</v>
      </c>
      <c r="AA102" s="228">
        <v>1.3</v>
      </c>
      <c r="AB102" s="228">
        <v>-1</v>
      </c>
      <c r="AC102" s="229">
        <v>8.9999999999999998E-4</v>
      </c>
      <c r="AD102" s="228">
        <v>0.3</v>
      </c>
      <c r="AE102" s="228">
        <v>1.3</v>
      </c>
      <c r="AF102" s="228">
        <v>-1</v>
      </c>
      <c r="AG102" s="229">
        <v>8.9999999999999998E-4</v>
      </c>
      <c r="AH102" s="228">
        <v>2.5</v>
      </c>
      <c r="AI102" s="228">
        <v>3.05</v>
      </c>
      <c r="AJ102" s="228">
        <v>-0.55000000000000004</v>
      </c>
      <c r="AK102" s="229">
        <v>7.1999999999999998E-3</v>
      </c>
      <c r="AL102" s="228">
        <v>4.05</v>
      </c>
      <c r="AM102" s="228">
        <v>4.45</v>
      </c>
      <c r="AN102" s="228">
        <v>-0.4</v>
      </c>
      <c r="AO102" s="229">
        <v>1.1599999999999999E-2</v>
      </c>
      <c r="AP102" s="228">
        <v>350.69</v>
      </c>
      <c r="AQ102" s="228">
        <v>352.7</v>
      </c>
      <c r="AR102" s="228">
        <v>0</v>
      </c>
      <c r="AS102" s="228">
        <v>948</v>
      </c>
      <c r="AT102" s="228">
        <v>737</v>
      </c>
      <c r="AU102" s="228">
        <v>211</v>
      </c>
      <c r="AV102" s="229">
        <v>0.2863</v>
      </c>
      <c r="AW102" s="228">
        <v>794</v>
      </c>
      <c r="AX102" s="228">
        <v>498</v>
      </c>
      <c r="AY102" s="228">
        <v>295</v>
      </c>
      <c r="AZ102" s="229">
        <v>0.5927</v>
      </c>
      <c r="BA102" s="228">
        <v>146</v>
      </c>
      <c r="BB102" s="228">
        <v>235</v>
      </c>
      <c r="BC102" s="228">
        <v>-89</v>
      </c>
      <c r="BD102" s="229">
        <v>-0.3785</v>
      </c>
      <c r="BE102" s="228">
        <v>8</v>
      </c>
      <c r="BF102" s="228">
        <v>3</v>
      </c>
      <c r="BG102" s="228">
        <v>5</v>
      </c>
      <c r="BH102" s="229">
        <v>1.58</v>
      </c>
      <c r="BI102" s="230">
        <v>3177</v>
      </c>
      <c r="BJ102" s="230">
        <v>1233</v>
      </c>
      <c r="BK102" s="230">
        <v>1944</v>
      </c>
      <c r="BL102" s="229">
        <v>1.5762</v>
      </c>
      <c r="BM102" s="230">
        <v>1225</v>
      </c>
      <c r="BN102" s="228">
        <v>327</v>
      </c>
      <c r="BO102" s="228">
        <v>898</v>
      </c>
      <c r="BP102" s="229">
        <v>2.7416999999999998</v>
      </c>
      <c r="BQ102" s="230">
        <v>5350</v>
      </c>
      <c r="BR102" s="230">
        <v>2297</v>
      </c>
      <c r="BS102" s="230">
        <v>3053</v>
      </c>
      <c r="BT102" s="229">
        <v>1.3287</v>
      </c>
      <c r="BU102" s="230">
        <v>7755030</v>
      </c>
      <c r="BV102" s="230">
        <v>3713755</v>
      </c>
      <c r="BW102" s="230">
        <v>4041275</v>
      </c>
      <c r="BX102" s="229">
        <v>1.0882000000000001</v>
      </c>
      <c r="BY102" s="230">
        <v>2788</v>
      </c>
      <c r="BZ102" s="230">
        <v>2687</v>
      </c>
      <c r="CA102" s="228">
        <v>101</v>
      </c>
      <c r="CB102" s="229">
        <v>3.7499999999999999E-2</v>
      </c>
      <c r="CC102" s="230">
        <v>2425</v>
      </c>
      <c r="CD102" s="230">
        <v>2373</v>
      </c>
      <c r="CE102" s="228">
        <v>52</v>
      </c>
      <c r="CF102" s="229">
        <v>2.1899999999999999E-2</v>
      </c>
      <c r="CG102" s="228">
        <v>349</v>
      </c>
      <c r="CH102" s="228">
        <v>302</v>
      </c>
      <c r="CI102" s="228">
        <v>48</v>
      </c>
      <c r="CJ102" s="229">
        <v>0.15859999999999999</v>
      </c>
      <c r="CK102" s="228">
        <v>13</v>
      </c>
      <c r="CL102" s="228">
        <v>12</v>
      </c>
      <c r="CM102" s="228">
        <v>1</v>
      </c>
      <c r="CN102" s="229">
        <v>6.9000000000000006E-2</v>
      </c>
      <c r="CO102" s="228">
        <v>788</v>
      </c>
      <c r="CP102" s="228">
        <v>874</v>
      </c>
      <c r="CQ102" s="228">
        <v>-87</v>
      </c>
      <c r="CR102" s="229">
        <v>-9.9099999999999994E-2</v>
      </c>
      <c r="CS102" s="228">
        <v>536</v>
      </c>
      <c r="CT102" s="228">
        <v>474</v>
      </c>
      <c r="CU102" s="228">
        <v>62</v>
      </c>
      <c r="CV102" s="229">
        <v>0.13009999999999999</v>
      </c>
      <c r="CW102" s="230">
        <v>4111</v>
      </c>
      <c r="CX102" s="230">
        <v>4036</v>
      </c>
      <c r="CY102" s="228">
        <v>76</v>
      </c>
      <c r="CZ102" s="229">
        <v>1.8800000000000001E-2</v>
      </c>
      <c r="DA102" s="228">
        <v>30.41</v>
      </c>
      <c r="DB102" s="228">
        <v>33.31</v>
      </c>
      <c r="DC102" s="228">
        <v>-2.9</v>
      </c>
      <c r="DD102" s="228">
        <v>-2.9</v>
      </c>
      <c r="DE102" s="228">
        <v>41.62</v>
      </c>
      <c r="DF102" s="228">
        <v>41.56</v>
      </c>
      <c r="DG102" s="228">
        <v>-11.21</v>
      </c>
      <c r="DH102" s="228">
        <v>0.06</v>
      </c>
      <c r="DI102" s="228">
        <v>30.56</v>
      </c>
      <c r="DJ102" s="228">
        <v>33.25</v>
      </c>
      <c r="DK102" s="228">
        <v>-2.69</v>
      </c>
      <c r="DL102" s="228">
        <v>-2.69</v>
      </c>
      <c r="DM102" s="228">
        <v>30.01</v>
      </c>
      <c r="DN102" s="228">
        <v>33.56</v>
      </c>
      <c r="DO102" s="228">
        <v>-3.55</v>
      </c>
      <c r="DP102" s="228">
        <v>-3.55</v>
      </c>
      <c r="DQ102" s="228">
        <v>0.68</v>
      </c>
      <c r="DR102" s="228">
        <v>0.54</v>
      </c>
      <c r="DS102" s="228">
        <v>0.14000000000000001</v>
      </c>
      <c r="DT102" s="229">
        <v>0.25929999999999997</v>
      </c>
      <c r="DU102" s="228">
        <v>360</v>
      </c>
      <c r="DV102" s="228">
        <v>340</v>
      </c>
      <c r="DW102" s="228">
        <v>0.39</v>
      </c>
      <c r="DX102" s="228">
        <v>0.27</v>
      </c>
      <c r="DY102" s="228">
        <v>0.12</v>
      </c>
      <c r="DZ102" s="229">
        <v>0.44440000000000002</v>
      </c>
      <c r="EA102" s="229">
        <v>0.12989999999999999</v>
      </c>
      <c r="EB102" s="230">
        <v>8974300</v>
      </c>
      <c r="EC102" s="229">
        <v>6.3E-3</v>
      </c>
      <c r="ED102" s="229">
        <v>0.12989999999999999</v>
      </c>
      <c r="EE102" s="228">
        <v>2.0099999999999998</v>
      </c>
      <c r="EF102" s="229">
        <v>5.7000000000000002E-3</v>
      </c>
      <c r="EG102" s="230">
        <v>2410014</v>
      </c>
      <c r="EH102" s="230">
        <v>1758864</v>
      </c>
      <c r="EI102" s="229">
        <v>0.37019999999999997</v>
      </c>
      <c r="EJ102" s="229">
        <v>0.31080000000000002</v>
      </c>
      <c r="EK102" s="231">
        <v>3290.75</v>
      </c>
      <c r="EL102" s="231">
        <v>1218.77</v>
      </c>
      <c r="EM102" s="228">
        <v>951.98</v>
      </c>
      <c r="EN102" s="228">
        <v>0</v>
      </c>
      <c r="EO102" s="231">
        <v>5461.49</v>
      </c>
      <c r="EP102" s="231">
        <v>2281.1</v>
      </c>
      <c r="EQ102" s="231">
        <v>3180.39</v>
      </c>
      <c r="ER102" s="229">
        <v>1.3942000000000001</v>
      </c>
      <c r="ES102" s="228">
        <v>837.5</v>
      </c>
      <c r="ET102" s="228">
        <v>540.16</v>
      </c>
      <c r="EU102" s="231">
        <v>2790</v>
      </c>
      <c r="EV102" s="231">
        <v>263607438</v>
      </c>
      <c r="EW102" s="231">
        <v>4167.67</v>
      </c>
      <c r="EX102" s="231">
        <v>4029.01</v>
      </c>
      <c r="EY102" s="228">
        <v>138.66</v>
      </c>
      <c r="EZ102" s="229">
        <v>3.44E-2</v>
      </c>
      <c r="FA102" s="229">
        <v>0.44640000000000002</v>
      </c>
      <c r="FB102" s="227" t="s">
        <v>555</v>
      </c>
      <c r="FC102">
        <f t="shared" si="1"/>
        <v>363</v>
      </c>
    </row>
    <row r="103" spans="1:159" ht="17.25" thickBot="1" x14ac:dyDescent="0.3">
      <c r="A103" s="226">
        <v>45889</v>
      </c>
      <c r="B103" s="227" t="s">
        <v>221</v>
      </c>
      <c r="C103" s="227" t="s">
        <v>240</v>
      </c>
      <c r="D103" s="228">
        <v>400</v>
      </c>
      <c r="E103" s="228">
        <v>8</v>
      </c>
      <c r="F103" s="231">
        <v>1498.5</v>
      </c>
      <c r="G103" s="231">
        <v>1445.5</v>
      </c>
      <c r="H103" s="228">
        <v>53</v>
      </c>
      <c r="I103" s="229">
        <v>3.6700000000000003E-2</v>
      </c>
      <c r="J103" s="231">
        <v>1496.2</v>
      </c>
      <c r="K103" s="231">
        <v>1440</v>
      </c>
      <c r="L103" s="228">
        <v>56.2</v>
      </c>
      <c r="M103" s="229">
        <v>3.9E-2</v>
      </c>
      <c r="N103" s="231">
        <v>1498.5</v>
      </c>
      <c r="O103" s="231">
        <v>1445.5</v>
      </c>
      <c r="P103" s="228">
        <v>53</v>
      </c>
      <c r="Q103" s="229">
        <v>3.6700000000000003E-2</v>
      </c>
      <c r="R103" s="231">
        <v>1506.1</v>
      </c>
      <c r="S103" s="231">
        <v>1453.2</v>
      </c>
      <c r="T103" s="228">
        <v>52.9</v>
      </c>
      <c r="U103" s="229">
        <v>3.6400000000000002E-2</v>
      </c>
      <c r="V103" s="231">
        <v>1501.1</v>
      </c>
      <c r="W103" s="231">
        <v>1450</v>
      </c>
      <c r="X103" s="228">
        <v>51.1</v>
      </c>
      <c r="Y103" s="229">
        <v>3.5200000000000002E-2</v>
      </c>
      <c r="Z103" s="228">
        <v>2.2999999999999998</v>
      </c>
      <c r="AA103" s="228">
        <v>5.5</v>
      </c>
      <c r="AB103" s="228">
        <v>-3.2</v>
      </c>
      <c r="AC103" s="229">
        <v>1.5E-3</v>
      </c>
      <c r="AD103" s="228">
        <v>2.2999999999999998</v>
      </c>
      <c r="AE103" s="228">
        <v>5.5</v>
      </c>
      <c r="AF103" s="228">
        <v>-3.2</v>
      </c>
      <c r="AG103" s="229">
        <v>1.5E-3</v>
      </c>
      <c r="AH103" s="228">
        <v>9.9</v>
      </c>
      <c r="AI103" s="228">
        <v>13.2</v>
      </c>
      <c r="AJ103" s="228">
        <v>-3.3</v>
      </c>
      <c r="AK103" s="229">
        <v>6.6E-3</v>
      </c>
      <c r="AL103" s="228">
        <v>4.9000000000000004</v>
      </c>
      <c r="AM103" s="228">
        <v>10</v>
      </c>
      <c r="AN103" s="228">
        <v>-5.0999999999999996</v>
      </c>
      <c r="AO103" s="229">
        <v>3.3E-3</v>
      </c>
      <c r="AP103" s="231">
        <v>1482.17</v>
      </c>
      <c r="AQ103" s="231">
        <v>1490.78</v>
      </c>
      <c r="AR103" s="228">
        <v>0</v>
      </c>
      <c r="AS103" s="230">
        <v>3071</v>
      </c>
      <c r="AT103" s="228">
        <v>847</v>
      </c>
      <c r="AU103" s="230">
        <v>2224</v>
      </c>
      <c r="AV103" s="229">
        <v>2.6269999999999998</v>
      </c>
      <c r="AW103" s="230">
        <v>2508</v>
      </c>
      <c r="AX103" s="228">
        <v>693</v>
      </c>
      <c r="AY103" s="230">
        <v>1815</v>
      </c>
      <c r="AZ103" s="229">
        <v>2.6191</v>
      </c>
      <c r="BA103" s="228">
        <v>521</v>
      </c>
      <c r="BB103" s="228">
        <v>132</v>
      </c>
      <c r="BC103" s="228">
        <v>389</v>
      </c>
      <c r="BD103" s="229">
        <v>2.9428000000000001</v>
      </c>
      <c r="BE103" s="228">
        <v>42</v>
      </c>
      <c r="BF103" s="228">
        <v>22</v>
      </c>
      <c r="BG103" s="228">
        <v>20</v>
      </c>
      <c r="BH103" s="229">
        <v>0.94720000000000004</v>
      </c>
      <c r="BI103" s="230">
        <v>16828</v>
      </c>
      <c r="BJ103" s="230">
        <v>3379</v>
      </c>
      <c r="BK103" s="230">
        <v>13449</v>
      </c>
      <c r="BL103" s="229">
        <v>3.9805000000000001</v>
      </c>
      <c r="BM103" s="230">
        <v>7361</v>
      </c>
      <c r="BN103" s="230">
        <v>1616</v>
      </c>
      <c r="BO103" s="230">
        <v>5745</v>
      </c>
      <c r="BP103" s="229">
        <v>3.5550000000000002</v>
      </c>
      <c r="BQ103" s="230">
        <v>27260</v>
      </c>
      <c r="BR103" s="230">
        <v>5842</v>
      </c>
      <c r="BS103" s="230">
        <v>21419</v>
      </c>
      <c r="BT103" s="229">
        <v>3.6665999999999999</v>
      </c>
      <c r="BU103" s="230">
        <v>10766512</v>
      </c>
      <c r="BV103" s="230">
        <v>4551030</v>
      </c>
      <c r="BW103" s="230">
        <v>6215482</v>
      </c>
      <c r="BX103" s="229">
        <v>1.3656999999999999</v>
      </c>
      <c r="BY103" s="230">
        <v>12477</v>
      </c>
      <c r="BZ103" s="230">
        <v>12957</v>
      </c>
      <c r="CA103" s="228">
        <v>-481</v>
      </c>
      <c r="CB103" s="229">
        <v>-3.7100000000000001E-2</v>
      </c>
      <c r="CC103" s="230">
        <v>11214</v>
      </c>
      <c r="CD103" s="230">
        <v>11888</v>
      </c>
      <c r="CE103" s="228">
        <v>-673</v>
      </c>
      <c r="CF103" s="229">
        <v>-5.6599999999999998E-2</v>
      </c>
      <c r="CG103" s="230">
        <v>1187</v>
      </c>
      <c r="CH103" s="228">
        <v>989</v>
      </c>
      <c r="CI103" s="228">
        <v>198</v>
      </c>
      <c r="CJ103" s="229">
        <v>0.2006</v>
      </c>
      <c r="CK103" s="228">
        <v>75</v>
      </c>
      <c r="CL103" s="228">
        <v>81</v>
      </c>
      <c r="CM103" s="228">
        <v>-6</v>
      </c>
      <c r="CN103" s="229">
        <v>-6.8400000000000002E-2</v>
      </c>
      <c r="CO103" s="230">
        <v>3807</v>
      </c>
      <c r="CP103" s="230">
        <v>4223</v>
      </c>
      <c r="CQ103" s="228">
        <v>-415</v>
      </c>
      <c r="CR103" s="229">
        <v>-9.8400000000000001E-2</v>
      </c>
      <c r="CS103" s="230">
        <v>2601</v>
      </c>
      <c r="CT103" s="230">
        <v>2342</v>
      </c>
      <c r="CU103" s="228">
        <v>258</v>
      </c>
      <c r="CV103" s="229">
        <v>0.11020000000000001</v>
      </c>
      <c r="CW103" s="230">
        <v>18885</v>
      </c>
      <c r="CX103" s="230">
        <v>19522</v>
      </c>
      <c r="CY103" s="228">
        <v>-638</v>
      </c>
      <c r="CZ103" s="229">
        <v>-3.27E-2</v>
      </c>
      <c r="DA103" s="228">
        <v>24.1</v>
      </c>
      <c r="DB103" s="228">
        <v>25.02</v>
      </c>
      <c r="DC103" s="228">
        <v>-0.92</v>
      </c>
      <c r="DD103" s="228">
        <v>-0.92</v>
      </c>
      <c r="DE103" s="228">
        <v>29.39</v>
      </c>
      <c r="DF103" s="228">
        <v>29.01</v>
      </c>
      <c r="DG103" s="228">
        <v>-5.29</v>
      </c>
      <c r="DH103" s="228">
        <v>0.38</v>
      </c>
      <c r="DI103" s="228">
        <v>23.23</v>
      </c>
      <c r="DJ103" s="228">
        <v>24.92</v>
      </c>
      <c r="DK103" s="228">
        <v>-1.69</v>
      </c>
      <c r="DL103" s="228">
        <v>-1.69</v>
      </c>
      <c r="DM103" s="228">
        <v>26.08</v>
      </c>
      <c r="DN103" s="228">
        <v>25.25</v>
      </c>
      <c r="DO103" s="228">
        <v>0.83</v>
      </c>
      <c r="DP103" s="228">
        <v>0.83</v>
      </c>
      <c r="DQ103" s="228">
        <v>0.68</v>
      </c>
      <c r="DR103" s="228">
        <v>0.55000000000000004</v>
      </c>
      <c r="DS103" s="228">
        <v>0.13</v>
      </c>
      <c r="DT103" s="229">
        <v>0.2364</v>
      </c>
      <c r="DU103" s="231">
        <v>1500</v>
      </c>
      <c r="DV103" s="231">
        <v>1460</v>
      </c>
      <c r="DW103" s="228">
        <v>0.44</v>
      </c>
      <c r="DX103" s="228">
        <v>0.48</v>
      </c>
      <c r="DY103" s="228">
        <v>-0.04</v>
      </c>
      <c r="DZ103" s="229">
        <v>-8.3299999999999999E-2</v>
      </c>
      <c r="EA103" s="229">
        <v>0.1012</v>
      </c>
      <c r="EB103" s="230">
        <v>7138400</v>
      </c>
      <c r="EC103" s="229">
        <v>5.1000000000000004E-3</v>
      </c>
      <c r="ED103" s="229">
        <v>0.1012</v>
      </c>
      <c r="EE103" s="228">
        <v>8.61</v>
      </c>
      <c r="EF103" s="229">
        <v>5.7999999999999996E-3</v>
      </c>
      <c r="EG103" s="230">
        <v>6309188</v>
      </c>
      <c r="EH103" s="230">
        <v>2672344</v>
      </c>
      <c r="EI103" s="229">
        <v>1.3609</v>
      </c>
      <c r="EJ103" s="229">
        <v>0.58599999999999997</v>
      </c>
      <c r="EK103" s="231">
        <v>17140.189999999999</v>
      </c>
      <c r="EL103" s="231">
        <v>7164.38</v>
      </c>
      <c r="EM103" s="231">
        <v>3040.59</v>
      </c>
      <c r="EN103" s="228">
        <v>0</v>
      </c>
      <c r="EO103" s="231">
        <v>27345.17</v>
      </c>
      <c r="EP103" s="231">
        <v>5744.88</v>
      </c>
      <c r="EQ103" s="231">
        <v>21600.29</v>
      </c>
      <c r="ER103" s="229">
        <v>3.7599</v>
      </c>
      <c r="ES103" s="231">
        <v>3934.68</v>
      </c>
      <c r="ET103" s="231">
        <v>2494.14</v>
      </c>
      <c r="EU103" s="231">
        <v>12483.02</v>
      </c>
      <c r="EV103" s="231">
        <v>632016998</v>
      </c>
      <c r="EW103" s="231">
        <v>18911.849999999999</v>
      </c>
      <c r="EX103" s="231">
        <v>19073.259999999998</v>
      </c>
      <c r="EY103" s="228">
        <v>-161.41</v>
      </c>
      <c r="EZ103" s="229">
        <v>-8.5000000000000006E-3</v>
      </c>
      <c r="FA103" s="229">
        <v>0.19939999999999999</v>
      </c>
      <c r="FB103" s="227" t="s">
        <v>556</v>
      </c>
      <c r="FC103">
        <f t="shared" si="1"/>
        <v>1263</v>
      </c>
    </row>
    <row r="104" spans="1:159" ht="17.25" thickBot="1" x14ac:dyDescent="0.3">
      <c r="A104" s="226">
        <v>45889</v>
      </c>
      <c r="B104" s="227" t="s">
        <v>161</v>
      </c>
      <c r="C104" s="227" t="s">
        <v>671</v>
      </c>
      <c r="D104" s="228">
        <v>3272</v>
      </c>
      <c r="E104" s="228">
        <v>8</v>
      </c>
      <c r="F104" s="228">
        <v>144.13</v>
      </c>
      <c r="G104" s="228">
        <v>144.52000000000001</v>
      </c>
      <c r="H104" s="228">
        <v>-0.39</v>
      </c>
      <c r="I104" s="229">
        <v>-2.7000000000000001E-3</v>
      </c>
      <c r="J104" s="228">
        <v>144.19</v>
      </c>
      <c r="K104" s="228">
        <v>144.47999999999999</v>
      </c>
      <c r="L104" s="228">
        <v>-0.28999999999999998</v>
      </c>
      <c r="M104" s="229">
        <v>-2E-3</v>
      </c>
      <c r="N104" s="228">
        <v>144.13</v>
      </c>
      <c r="O104" s="228">
        <v>144.52000000000001</v>
      </c>
      <c r="P104" s="228">
        <v>-0.39</v>
      </c>
      <c r="Q104" s="229">
        <v>-2.7000000000000001E-3</v>
      </c>
      <c r="R104" s="228">
        <v>144.83000000000001</v>
      </c>
      <c r="S104" s="228">
        <v>145.16</v>
      </c>
      <c r="T104" s="228">
        <v>-0.33</v>
      </c>
      <c r="U104" s="229">
        <v>-2.3E-3</v>
      </c>
      <c r="V104" s="228">
        <v>145.77000000000001</v>
      </c>
      <c r="W104" s="228">
        <v>145.91</v>
      </c>
      <c r="X104" s="228">
        <v>-0.14000000000000001</v>
      </c>
      <c r="Y104" s="229">
        <v>-1E-3</v>
      </c>
      <c r="Z104" s="228">
        <v>-0.06</v>
      </c>
      <c r="AA104" s="228">
        <v>0.04</v>
      </c>
      <c r="AB104" s="228">
        <v>-0.1</v>
      </c>
      <c r="AC104" s="229">
        <v>-4.0000000000000002E-4</v>
      </c>
      <c r="AD104" s="228">
        <v>-0.06</v>
      </c>
      <c r="AE104" s="228">
        <v>0.04</v>
      </c>
      <c r="AF104" s="228">
        <v>-0.1</v>
      </c>
      <c r="AG104" s="229">
        <v>-4.0000000000000002E-4</v>
      </c>
      <c r="AH104" s="228">
        <v>0.64</v>
      </c>
      <c r="AI104" s="228">
        <v>0.68</v>
      </c>
      <c r="AJ104" s="228">
        <v>-0.04</v>
      </c>
      <c r="AK104" s="229">
        <v>4.4000000000000003E-3</v>
      </c>
      <c r="AL104" s="228">
        <v>1.58</v>
      </c>
      <c r="AM104" s="228">
        <v>1.43</v>
      </c>
      <c r="AN104" s="228">
        <v>0.15</v>
      </c>
      <c r="AO104" s="229">
        <v>1.0999999999999999E-2</v>
      </c>
      <c r="AP104" s="228">
        <v>143.63999999999999</v>
      </c>
      <c r="AQ104" s="228">
        <v>144.38999999999999</v>
      </c>
      <c r="AR104" s="228">
        <v>0</v>
      </c>
      <c r="AS104" s="228">
        <v>126</v>
      </c>
      <c r="AT104" s="228">
        <v>408</v>
      </c>
      <c r="AU104" s="228">
        <v>-282</v>
      </c>
      <c r="AV104" s="229">
        <v>-0.69220000000000004</v>
      </c>
      <c r="AW104" s="228">
        <v>88</v>
      </c>
      <c r="AX104" s="228">
        <v>337</v>
      </c>
      <c r="AY104" s="228">
        <v>-249</v>
      </c>
      <c r="AZ104" s="229">
        <v>-0.73870000000000002</v>
      </c>
      <c r="BA104" s="228">
        <v>36</v>
      </c>
      <c r="BB104" s="228">
        <v>66</v>
      </c>
      <c r="BC104" s="228">
        <v>-30</v>
      </c>
      <c r="BD104" s="229">
        <v>-0.45650000000000002</v>
      </c>
      <c r="BE104" s="228">
        <v>1</v>
      </c>
      <c r="BF104" s="228">
        <v>4</v>
      </c>
      <c r="BG104" s="228">
        <v>-3</v>
      </c>
      <c r="BH104" s="229">
        <v>-0.66669999999999996</v>
      </c>
      <c r="BI104" s="228">
        <v>322</v>
      </c>
      <c r="BJ104" s="230">
        <v>1912</v>
      </c>
      <c r="BK104" s="230">
        <v>-1590</v>
      </c>
      <c r="BL104" s="229">
        <v>-0.83169999999999999</v>
      </c>
      <c r="BM104" s="228">
        <v>110</v>
      </c>
      <c r="BN104" s="228">
        <v>510</v>
      </c>
      <c r="BO104" s="228">
        <v>-399</v>
      </c>
      <c r="BP104" s="229">
        <v>-0.78320000000000001</v>
      </c>
      <c r="BQ104" s="228">
        <v>558</v>
      </c>
      <c r="BR104" s="230">
        <v>2830</v>
      </c>
      <c r="BS104" s="230">
        <v>-2272</v>
      </c>
      <c r="BT104" s="229">
        <v>-0.80279999999999996</v>
      </c>
      <c r="BU104" s="230">
        <v>6699681</v>
      </c>
      <c r="BV104" s="230">
        <v>33632123</v>
      </c>
      <c r="BW104" s="230">
        <v>-26932442</v>
      </c>
      <c r="BX104" s="229">
        <v>-0.80079999999999996</v>
      </c>
      <c r="BY104" s="228">
        <v>709</v>
      </c>
      <c r="BZ104" s="228">
        <v>697</v>
      </c>
      <c r="CA104" s="228">
        <v>12</v>
      </c>
      <c r="CB104" s="229">
        <v>1.77E-2</v>
      </c>
      <c r="CC104" s="228">
        <v>625</v>
      </c>
      <c r="CD104" s="228">
        <v>632</v>
      </c>
      <c r="CE104" s="228">
        <v>-6</v>
      </c>
      <c r="CF104" s="229">
        <v>-9.9000000000000008E-3</v>
      </c>
      <c r="CG104" s="228">
        <v>77</v>
      </c>
      <c r="CH104" s="228">
        <v>59</v>
      </c>
      <c r="CI104" s="228">
        <v>18</v>
      </c>
      <c r="CJ104" s="229">
        <v>0.30830000000000002</v>
      </c>
      <c r="CK104" s="228">
        <v>7</v>
      </c>
      <c r="CL104" s="228">
        <v>6</v>
      </c>
      <c r="CM104" s="228">
        <v>0</v>
      </c>
      <c r="CN104" s="229">
        <v>6.8699999999999997E-2</v>
      </c>
      <c r="CO104" s="228">
        <v>331</v>
      </c>
      <c r="CP104" s="228">
        <v>352</v>
      </c>
      <c r="CQ104" s="228">
        <v>-21</v>
      </c>
      <c r="CR104" s="229">
        <v>-6.08E-2</v>
      </c>
      <c r="CS104" s="228">
        <v>173</v>
      </c>
      <c r="CT104" s="228">
        <v>179</v>
      </c>
      <c r="CU104" s="228">
        <v>-6</v>
      </c>
      <c r="CV104" s="229">
        <v>-3.2199999999999999E-2</v>
      </c>
      <c r="CW104" s="230">
        <v>1213</v>
      </c>
      <c r="CX104" s="230">
        <v>1227</v>
      </c>
      <c r="CY104" s="228">
        <v>-15</v>
      </c>
      <c r="CZ104" s="229">
        <v>-1.21E-2</v>
      </c>
      <c r="DA104" s="228">
        <v>44.15</v>
      </c>
      <c r="DB104" s="228">
        <v>44.58</v>
      </c>
      <c r="DC104" s="228">
        <v>-0.43</v>
      </c>
      <c r="DD104" s="228">
        <v>-0.43</v>
      </c>
      <c r="DE104" s="228">
        <v>60.94</v>
      </c>
      <c r="DF104" s="228">
        <v>61.09</v>
      </c>
      <c r="DG104" s="228">
        <v>-16.79</v>
      </c>
      <c r="DH104" s="228">
        <v>-0.15</v>
      </c>
      <c r="DI104" s="228">
        <v>43.58</v>
      </c>
      <c r="DJ104" s="228">
        <v>44.81</v>
      </c>
      <c r="DK104" s="228">
        <v>-1.23</v>
      </c>
      <c r="DL104" s="228">
        <v>-1.23</v>
      </c>
      <c r="DM104" s="228">
        <v>45.81</v>
      </c>
      <c r="DN104" s="228">
        <v>43.72</v>
      </c>
      <c r="DO104" s="228">
        <v>2.09</v>
      </c>
      <c r="DP104" s="228">
        <v>2.09</v>
      </c>
      <c r="DQ104" s="228">
        <v>0.52</v>
      </c>
      <c r="DR104" s="228">
        <v>0.51</v>
      </c>
      <c r="DS104" s="228">
        <v>0.01</v>
      </c>
      <c r="DT104" s="229">
        <v>1.9599999999999999E-2</v>
      </c>
      <c r="DU104" s="228">
        <v>150</v>
      </c>
      <c r="DV104" s="228">
        <v>140</v>
      </c>
      <c r="DW104" s="228">
        <v>0.34</v>
      </c>
      <c r="DX104" s="228">
        <v>0.27</v>
      </c>
      <c r="DY104" s="228">
        <v>7.0000000000000007E-2</v>
      </c>
      <c r="DZ104" s="229">
        <v>0.25929999999999997</v>
      </c>
      <c r="EA104" s="229">
        <v>0.1182</v>
      </c>
      <c r="EB104" s="230">
        <v>4525176</v>
      </c>
      <c r="EC104" s="229">
        <v>4.8999999999999998E-3</v>
      </c>
      <c r="ED104" s="229">
        <v>0.1182</v>
      </c>
      <c r="EE104" s="228">
        <v>0.75</v>
      </c>
      <c r="EF104" s="229">
        <v>5.1999999999999998E-3</v>
      </c>
      <c r="EG104" s="230">
        <v>2724925</v>
      </c>
      <c r="EH104" s="230">
        <v>7444302</v>
      </c>
      <c r="EI104" s="229">
        <v>-0.63400000000000001</v>
      </c>
      <c r="EJ104" s="229">
        <v>0.40670000000000001</v>
      </c>
      <c r="EK104" s="228">
        <v>341.02</v>
      </c>
      <c r="EL104" s="228">
        <v>116.52</v>
      </c>
      <c r="EM104" s="228">
        <v>125.31</v>
      </c>
      <c r="EN104" s="228">
        <v>0</v>
      </c>
      <c r="EO104" s="228">
        <v>582.85</v>
      </c>
      <c r="EP104" s="231">
        <v>2942.23</v>
      </c>
      <c r="EQ104" s="231">
        <v>-2359.38</v>
      </c>
      <c r="ER104" s="229">
        <v>-0.80189999999999995</v>
      </c>
      <c r="ES104" s="228">
        <v>353.24</v>
      </c>
      <c r="ET104" s="228">
        <v>172.59</v>
      </c>
      <c r="EU104" s="228">
        <v>709.54</v>
      </c>
      <c r="EV104" s="231">
        <v>183964271</v>
      </c>
      <c r="EW104" s="231">
        <v>1235.3699999999999</v>
      </c>
      <c r="EX104" s="231">
        <v>1251.43</v>
      </c>
      <c r="EY104" s="228">
        <v>-16.059999999999999</v>
      </c>
      <c r="EZ104" s="229">
        <v>-1.2800000000000001E-2</v>
      </c>
      <c r="FA104" s="229">
        <v>0.45739999999999997</v>
      </c>
      <c r="FB104" s="227" t="s">
        <v>567</v>
      </c>
      <c r="FC104">
        <f t="shared" si="1"/>
        <v>84</v>
      </c>
    </row>
    <row r="105" spans="1:159" ht="17.25" thickBot="1" x14ac:dyDescent="0.3">
      <c r="A105" s="226">
        <v>45889</v>
      </c>
      <c r="B105" s="227" t="s">
        <v>193</v>
      </c>
      <c r="C105" s="227" t="s">
        <v>241</v>
      </c>
      <c r="D105" s="228">
        <v>4875</v>
      </c>
      <c r="E105" s="228">
        <v>8</v>
      </c>
      <c r="F105" s="228">
        <v>141.71</v>
      </c>
      <c r="G105" s="228">
        <v>142.47999999999999</v>
      </c>
      <c r="H105" s="228">
        <v>-0.77</v>
      </c>
      <c r="I105" s="229">
        <v>-5.4000000000000003E-3</v>
      </c>
      <c r="J105" s="228">
        <v>141.44</v>
      </c>
      <c r="K105" s="228">
        <v>142.01</v>
      </c>
      <c r="L105" s="228">
        <v>-0.56999999999999995</v>
      </c>
      <c r="M105" s="229">
        <v>-4.0000000000000001E-3</v>
      </c>
      <c r="N105" s="228">
        <v>141.71</v>
      </c>
      <c r="O105" s="228">
        <v>142.47999999999999</v>
      </c>
      <c r="P105" s="228">
        <v>-0.77</v>
      </c>
      <c r="Q105" s="229">
        <v>-5.4000000000000003E-3</v>
      </c>
      <c r="R105" s="228">
        <v>142.51</v>
      </c>
      <c r="S105" s="228">
        <v>143.26</v>
      </c>
      <c r="T105" s="228">
        <v>-0.75</v>
      </c>
      <c r="U105" s="229">
        <v>-5.1999999999999998E-3</v>
      </c>
      <c r="V105" s="228">
        <v>143.07</v>
      </c>
      <c r="W105" s="228">
        <v>143.75</v>
      </c>
      <c r="X105" s="228">
        <v>-0.68</v>
      </c>
      <c r="Y105" s="229">
        <v>-4.7000000000000002E-3</v>
      </c>
      <c r="Z105" s="228">
        <v>0.27</v>
      </c>
      <c r="AA105" s="228">
        <v>0.47</v>
      </c>
      <c r="AB105" s="228">
        <v>-0.2</v>
      </c>
      <c r="AC105" s="229">
        <v>1.9E-3</v>
      </c>
      <c r="AD105" s="228">
        <v>0.27</v>
      </c>
      <c r="AE105" s="228">
        <v>0.47</v>
      </c>
      <c r="AF105" s="228">
        <v>-0.2</v>
      </c>
      <c r="AG105" s="229">
        <v>1.9E-3</v>
      </c>
      <c r="AH105" s="228">
        <v>1.07</v>
      </c>
      <c r="AI105" s="228">
        <v>1.25</v>
      </c>
      <c r="AJ105" s="228">
        <v>-0.18</v>
      </c>
      <c r="AK105" s="229">
        <v>7.6E-3</v>
      </c>
      <c r="AL105" s="228">
        <v>1.63</v>
      </c>
      <c r="AM105" s="228">
        <v>1.74</v>
      </c>
      <c r="AN105" s="228">
        <v>-0.11</v>
      </c>
      <c r="AO105" s="229">
        <v>1.15E-2</v>
      </c>
      <c r="AP105" s="228">
        <v>142.27000000000001</v>
      </c>
      <c r="AQ105" s="228">
        <v>143.07</v>
      </c>
      <c r="AR105" s="228">
        <v>0</v>
      </c>
      <c r="AS105" s="228">
        <v>184</v>
      </c>
      <c r="AT105" s="228">
        <v>226</v>
      </c>
      <c r="AU105" s="228">
        <v>-42</v>
      </c>
      <c r="AV105" s="229">
        <v>-0.1865</v>
      </c>
      <c r="AW105" s="228">
        <v>140</v>
      </c>
      <c r="AX105" s="228">
        <v>176</v>
      </c>
      <c r="AY105" s="228">
        <v>-36</v>
      </c>
      <c r="AZ105" s="229">
        <v>-0.2046</v>
      </c>
      <c r="BA105" s="228">
        <v>42</v>
      </c>
      <c r="BB105" s="228">
        <v>45</v>
      </c>
      <c r="BC105" s="228">
        <v>-3</v>
      </c>
      <c r="BD105" s="229">
        <v>-7.3499999999999996E-2</v>
      </c>
      <c r="BE105" s="228">
        <v>3</v>
      </c>
      <c r="BF105" s="228">
        <v>6</v>
      </c>
      <c r="BG105" s="228">
        <v>-3</v>
      </c>
      <c r="BH105" s="229">
        <v>-0.53090000000000004</v>
      </c>
      <c r="BI105" s="228">
        <v>516</v>
      </c>
      <c r="BJ105" s="228">
        <v>737</v>
      </c>
      <c r="BK105" s="228">
        <v>-221</v>
      </c>
      <c r="BL105" s="229">
        <v>-0.3004</v>
      </c>
      <c r="BM105" s="228">
        <v>395</v>
      </c>
      <c r="BN105" s="228">
        <v>503</v>
      </c>
      <c r="BO105" s="228">
        <v>-108</v>
      </c>
      <c r="BP105" s="229">
        <v>-0.2142</v>
      </c>
      <c r="BQ105" s="230">
        <v>1095</v>
      </c>
      <c r="BR105" s="230">
        <v>1466</v>
      </c>
      <c r="BS105" s="228">
        <v>-371</v>
      </c>
      <c r="BT105" s="229">
        <v>-0.25330000000000003</v>
      </c>
      <c r="BU105" s="230">
        <v>5808263</v>
      </c>
      <c r="BV105" s="230">
        <v>9446484</v>
      </c>
      <c r="BW105" s="230">
        <v>-3638221</v>
      </c>
      <c r="BX105" s="229">
        <v>-0.3851</v>
      </c>
      <c r="BY105" s="230">
        <v>1018</v>
      </c>
      <c r="BZ105" s="230">
        <v>1042</v>
      </c>
      <c r="CA105" s="228">
        <v>-24</v>
      </c>
      <c r="CB105" s="229">
        <v>-2.3E-2</v>
      </c>
      <c r="CC105" s="228">
        <v>918</v>
      </c>
      <c r="CD105" s="228">
        <v>962</v>
      </c>
      <c r="CE105" s="228">
        <v>-43</v>
      </c>
      <c r="CF105" s="229">
        <v>-4.5199999999999997E-2</v>
      </c>
      <c r="CG105" s="228">
        <v>92</v>
      </c>
      <c r="CH105" s="228">
        <v>73</v>
      </c>
      <c r="CI105" s="228">
        <v>19</v>
      </c>
      <c r="CJ105" s="229">
        <v>0.25469999999999998</v>
      </c>
      <c r="CK105" s="228">
        <v>8</v>
      </c>
      <c r="CL105" s="228">
        <v>7</v>
      </c>
      <c r="CM105" s="228">
        <v>1</v>
      </c>
      <c r="CN105" s="229">
        <v>0.1143</v>
      </c>
      <c r="CO105" s="228">
        <v>676</v>
      </c>
      <c r="CP105" s="228">
        <v>691</v>
      </c>
      <c r="CQ105" s="228">
        <v>-15</v>
      </c>
      <c r="CR105" s="229">
        <v>-2.1499999999999998E-2</v>
      </c>
      <c r="CS105" s="228">
        <v>571</v>
      </c>
      <c r="CT105" s="228">
        <v>570</v>
      </c>
      <c r="CU105" s="228">
        <v>2</v>
      </c>
      <c r="CV105" s="229">
        <v>2.8999999999999998E-3</v>
      </c>
      <c r="CW105" s="230">
        <v>2266</v>
      </c>
      <c r="CX105" s="230">
        <v>2303</v>
      </c>
      <c r="CY105" s="228">
        <v>-37</v>
      </c>
      <c r="CZ105" s="229">
        <v>-1.61E-2</v>
      </c>
      <c r="DA105" s="228">
        <v>21.8</v>
      </c>
      <c r="DB105" s="228">
        <v>22.81</v>
      </c>
      <c r="DC105" s="228">
        <v>-1.01</v>
      </c>
      <c r="DD105" s="228">
        <v>-1.01</v>
      </c>
      <c r="DE105" s="228">
        <v>33.97</v>
      </c>
      <c r="DF105" s="228">
        <v>34.049999999999997</v>
      </c>
      <c r="DG105" s="228">
        <v>-12.17</v>
      </c>
      <c r="DH105" s="228">
        <v>-0.08</v>
      </c>
      <c r="DI105" s="228">
        <v>22.07</v>
      </c>
      <c r="DJ105" s="228">
        <v>22.76</v>
      </c>
      <c r="DK105" s="228">
        <v>-0.69</v>
      </c>
      <c r="DL105" s="228">
        <v>-0.69</v>
      </c>
      <c r="DM105" s="228">
        <v>21.44</v>
      </c>
      <c r="DN105" s="228">
        <v>22.88</v>
      </c>
      <c r="DO105" s="228">
        <v>-1.44</v>
      </c>
      <c r="DP105" s="228">
        <v>-1.44</v>
      </c>
      <c r="DQ105" s="228">
        <v>0.85</v>
      </c>
      <c r="DR105" s="228">
        <v>0.82</v>
      </c>
      <c r="DS105" s="228">
        <v>0.03</v>
      </c>
      <c r="DT105" s="229">
        <v>3.6600000000000001E-2</v>
      </c>
      <c r="DU105" s="228">
        <v>147</v>
      </c>
      <c r="DV105" s="228">
        <v>135</v>
      </c>
      <c r="DW105" s="228">
        <v>0.77</v>
      </c>
      <c r="DX105" s="228">
        <v>0.68</v>
      </c>
      <c r="DY105" s="228">
        <v>0.09</v>
      </c>
      <c r="DZ105" s="229">
        <v>0.13239999999999999</v>
      </c>
      <c r="EA105" s="229">
        <v>9.8199999999999996E-2</v>
      </c>
      <c r="EB105" s="230">
        <v>5679375</v>
      </c>
      <c r="EC105" s="229">
        <v>5.5999999999999999E-3</v>
      </c>
      <c r="ED105" s="229">
        <v>9.8199999999999996E-2</v>
      </c>
      <c r="EE105" s="228">
        <v>0.8</v>
      </c>
      <c r="EF105" s="229">
        <v>5.5999999999999999E-3</v>
      </c>
      <c r="EG105" s="230">
        <v>2809541</v>
      </c>
      <c r="EH105" s="230">
        <v>4259912</v>
      </c>
      <c r="EI105" s="229">
        <v>-0.34050000000000002</v>
      </c>
      <c r="EJ105" s="229">
        <v>0.48370000000000002</v>
      </c>
      <c r="EK105" s="228">
        <v>530.97</v>
      </c>
      <c r="EL105" s="228">
        <v>393.47</v>
      </c>
      <c r="EM105" s="228">
        <v>185.09</v>
      </c>
      <c r="EN105" s="228">
        <v>0</v>
      </c>
      <c r="EO105" s="231">
        <v>1109.53</v>
      </c>
      <c r="EP105" s="231">
        <v>1481.5</v>
      </c>
      <c r="EQ105" s="228">
        <v>-371.97</v>
      </c>
      <c r="ER105" s="229">
        <v>-0.25109999999999999</v>
      </c>
      <c r="ES105" s="228">
        <v>703.88</v>
      </c>
      <c r="ET105" s="228">
        <v>562.61</v>
      </c>
      <c r="EU105" s="231">
        <v>1018.96</v>
      </c>
      <c r="EV105" s="231">
        <v>1369807723</v>
      </c>
      <c r="EW105" s="231">
        <v>2285.4499999999998</v>
      </c>
      <c r="EX105" s="231">
        <v>2327.88</v>
      </c>
      <c r="EY105" s="228">
        <v>-42.43</v>
      </c>
      <c r="EZ105" s="229">
        <v>-1.8200000000000001E-2</v>
      </c>
      <c r="FA105" s="229">
        <v>0.1167</v>
      </c>
      <c r="FB105" s="227" t="s">
        <v>568</v>
      </c>
      <c r="FC105">
        <f t="shared" si="1"/>
        <v>100</v>
      </c>
    </row>
    <row r="106" spans="1:159" ht="17.25" thickBot="1" x14ac:dyDescent="0.3">
      <c r="A106" s="226">
        <v>45889</v>
      </c>
      <c r="B106" s="227" t="s">
        <v>215</v>
      </c>
      <c r="C106" s="227" t="s">
        <v>595</v>
      </c>
      <c r="D106" s="228">
        <v>11675</v>
      </c>
      <c r="E106" s="228">
        <v>8</v>
      </c>
      <c r="F106" s="228">
        <v>44.59</v>
      </c>
      <c r="G106" s="228">
        <v>45.21</v>
      </c>
      <c r="H106" s="228">
        <v>-0.62</v>
      </c>
      <c r="I106" s="229">
        <v>-1.37E-2</v>
      </c>
      <c r="J106" s="228">
        <v>44.6</v>
      </c>
      <c r="K106" s="228">
        <v>45.12</v>
      </c>
      <c r="L106" s="228">
        <v>-0.52</v>
      </c>
      <c r="M106" s="229">
        <v>-1.15E-2</v>
      </c>
      <c r="N106" s="228">
        <v>44.59</v>
      </c>
      <c r="O106" s="228">
        <v>45.21</v>
      </c>
      <c r="P106" s="228">
        <v>-0.62</v>
      </c>
      <c r="Q106" s="229">
        <v>-1.37E-2</v>
      </c>
      <c r="R106" s="228">
        <v>0</v>
      </c>
      <c r="S106" s="228">
        <v>0</v>
      </c>
      <c r="T106" s="228">
        <v>0</v>
      </c>
      <c r="U106" s="229">
        <v>0</v>
      </c>
      <c r="V106" s="228">
        <v>0</v>
      </c>
      <c r="W106" s="228">
        <v>0</v>
      </c>
      <c r="X106" s="228">
        <v>0</v>
      </c>
      <c r="Y106" s="229">
        <v>0</v>
      </c>
      <c r="Z106" s="228">
        <v>-0.01</v>
      </c>
      <c r="AA106" s="228">
        <v>0.09</v>
      </c>
      <c r="AB106" s="228">
        <v>-0.1</v>
      </c>
      <c r="AC106" s="229">
        <v>-2.0000000000000001E-4</v>
      </c>
      <c r="AD106" s="228">
        <v>-0.01</v>
      </c>
      <c r="AE106" s="228">
        <v>0.09</v>
      </c>
      <c r="AF106" s="228">
        <v>-0.1</v>
      </c>
      <c r="AG106" s="229">
        <v>-2.0000000000000001E-4</v>
      </c>
      <c r="AH106" s="228">
        <v>0</v>
      </c>
      <c r="AI106" s="228">
        <v>0</v>
      </c>
      <c r="AJ106" s="228">
        <v>0</v>
      </c>
      <c r="AK106" s="229">
        <v>0</v>
      </c>
      <c r="AL106" s="228">
        <v>0</v>
      </c>
      <c r="AM106" s="228">
        <v>0</v>
      </c>
      <c r="AN106" s="228">
        <v>0</v>
      </c>
      <c r="AO106" s="229">
        <v>0</v>
      </c>
      <c r="AP106" s="228">
        <v>44.71</v>
      </c>
      <c r="AQ106" s="228">
        <v>0</v>
      </c>
      <c r="AR106" s="228">
        <v>0</v>
      </c>
      <c r="AS106" s="228">
        <v>27</v>
      </c>
      <c r="AT106" s="228">
        <v>31</v>
      </c>
      <c r="AU106" s="228">
        <v>-4</v>
      </c>
      <c r="AV106" s="229">
        <v>-0.1258</v>
      </c>
      <c r="AW106" s="228">
        <v>27</v>
      </c>
      <c r="AX106" s="228">
        <v>31</v>
      </c>
      <c r="AY106" s="228">
        <v>-4</v>
      </c>
      <c r="AZ106" s="229">
        <v>-0.1258</v>
      </c>
      <c r="BA106" s="228">
        <v>0</v>
      </c>
      <c r="BB106" s="228">
        <v>0</v>
      </c>
      <c r="BC106" s="228">
        <v>0</v>
      </c>
      <c r="BD106" s="229">
        <v>0</v>
      </c>
      <c r="BE106" s="228">
        <v>0</v>
      </c>
      <c r="BF106" s="228">
        <v>0</v>
      </c>
      <c r="BG106" s="228">
        <v>0</v>
      </c>
      <c r="BH106" s="229">
        <v>0</v>
      </c>
      <c r="BI106" s="228">
        <v>61</v>
      </c>
      <c r="BJ106" s="228">
        <v>107</v>
      </c>
      <c r="BK106" s="228">
        <v>-46</v>
      </c>
      <c r="BL106" s="229">
        <v>-0.42880000000000001</v>
      </c>
      <c r="BM106" s="228">
        <v>29</v>
      </c>
      <c r="BN106" s="228">
        <v>28</v>
      </c>
      <c r="BO106" s="228">
        <v>1</v>
      </c>
      <c r="BP106" s="229">
        <v>2.1999999999999999E-2</v>
      </c>
      <c r="BQ106" s="228">
        <v>117</v>
      </c>
      <c r="BR106" s="228">
        <v>167</v>
      </c>
      <c r="BS106" s="228">
        <v>-49</v>
      </c>
      <c r="BT106" s="229">
        <v>-0.29580000000000001</v>
      </c>
      <c r="BU106" s="230">
        <v>10109072</v>
      </c>
      <c r="BV106" s="230">
        <v>7381363</v>
      </c>
      <c r="BW106" s="230">
        <v>2727709</v>
      </c>
      <c r="BX106" s="229">
        <v>0.3695</v>
      </c>
      <c r="BY106" s="228">
        <v>301</v>
      </c>
      <c r="BZ106" s="228">
        <v>309</v>
      </c>
      <c r="CA106" s="228">
        <v>-8</v>
      </c>
      <c r="CB106" s="229">
        <v>-2.4899999999999999E-2</v>
      </c>
      <c r="CC106" s="228">
        <v>301</v>
      </c>
      <c r="CD106" s="228">
        <v>309</v>
      </c>
      <c r="CE106" s="228">
        <v>-8</v>
      </c>
      <c r="CF106" s="229">
        <v>-2.4899999999999999E-2</v>
      </c>
      <c r="CG106" s="228">
        <v>0</v>
      </c>
      <c r="CH106" s="228">
        <v>0</v>
      </c>
      <c r="CI106" s="228">
        <v>0</v>
      </c>
      <c r="CJ106" s="229">
        <v>0</v>
      </c>
      <c r="CK106" s="228">
        <v>0</v>
      </c>
      <c r="CL106" s="228">
        <v>0</v>
      </c>
      <c r="CM106" s="228">
        <v>0</v>
      </c>
      <c r="CN106" s="229">
        <v>0</v>
      </c>
      <c r="CO106" s="228">
        <v>139</v>
      </c>
      <c r="CP106" s="228">
        <v>136</v>
      </c>
      <c r="CQ106" s="228">
        <v>3</v>
      </c>
      <c r="CR106" s="229">
        <v>2.3699999999999999E-2</v>
      </c>
      <c r="CS106" s="228">
        <v>67</v>
      </c>
      <c r="CT106" s="228">
        <v>71</v>
      </c>
      <c r="CU106" s="228">
        <v>-4</v>
      </c>
      <c r="CV106" s="229">
        <v>-6.0699999999999997E-2</v>
      </c>
      <c r="CW106" s="228">
        <v>507</v>
      </c>
      <c r="CX106" s="228">
        <v>516</v>
      </c>
      <c r="CY106" s="228">
        <v>-9</v>
      </c>
      <c r="CZ106" s="229">
        <v>-1.7100000000000001E-2</v>
      </c>
      <c r="DA106" s="228">
        <v>36.9</v>
      </c>
      <c r="DB106" s="228">
        <v>36.520000000000003</v>
      </c>
      <c r="DC106" s="228">
        <v>0.38</v>
      </c>
      <c r="DD106" s="228">
        <v>0.38</v>
      </c>
      <c r="DE106" s="228">
        <v>48.63</v>
      </c>
      <c r="DF106" s="228">
        <v>48.71</v>
      </c>
      <c r="DG106" s="228">
        <v>-11.73</v>
      </c>
      <c r="DH106" s="228">
        <v>-0.08</v>
      </c>
      <c r="DI106" s="228">
        <v>38.28</v>
      </c>
      <c r="DJ106" s="228">
        <v>37.11</v>
      </c>
      <c r="DK106" s="228">
        <v>1.17</v>
      </c>
      <c r="DL106" s="228">
        <v>1.17</v>
      </c>
      <c r="DM106" s="228">
        <v>33.979999999999997</v>
      </c>
      <c r="DN106" s="228">
        <v>34.299999999999997</v>
      </c>
      <c r="DO106" s="228">
        <v>-0.32</v>
      </c>
      <c r="DP106" s="228">
        <v>-0.32</v>
      </c>
      <c r="DQ106" s="228">
        <v>0.48</v>
      </c>
      <c r="DR106" s="228">
        <v>0.52</v>
      </c>
      <c r="DS106" s="228">
        <v>-0.04</v>
      </c>
      <c r="DT106" s="229">
        <v>-7.6899999999999996E-2</v>
      </c>
      <c r="DU106" s="228">
        <v>50</v>
      </c>
      <c r="DV106" s="228">
        <v>42</v>
      </c>
      <c r="DW106" s="228">
        <v>0.47</v>
      </c>
      <c r="DX106" s="228">
        <v>0.26</v>
      </c>
      <c r="DY106" s="228">
        <v>0.21</v>
      </c>
      <c r="DZ106" s="229">
        <v>0.80769999999999997</v>
      </c>
      <c r="EA106" s="229">
        <v>0</v>
      </c>
      <c r="EB106" s="228">
        <v>0</v>
      </c>
      <c r="EC106" s="229">
        <v>0</v>
      </c>
      <c r="ED106" s="229">
        <v>0</v>
      </c>
      <c r="EE106" s="228">
        <v>0</v>
      </c>
      <c r="EF106" s="229">
        <v>0</v>
      </c>
      <c r="EG106" s="230">
        <v>5413972</v>
      </c>
      <c r="EH106" s="230">
        <v>2991367</v>
      </c>
      <c r="EI106" s="229">
        <v>0.80989999999999995</v>
      </c>
      <c r="EJ106" s="229">
        <v>0.53559999999999997</v>
      </c>
      <c r="EK106" s="228">
        <v>64.150000000000006</v>
      </c>
      <c r="EL106" s="228">
        <v>28.42</v>
      </c>
      <c r="EM106" s="228">
        <v>27.2</v>
      </c>
      <c r="EN106" s="228">
        <v>0</v>
      </c>
      <c r="EO106" s="228">
        <v>119.77</v>
      </c>
      <c r="EP106" s="228">
        <v>172.51</v>
      </c>
      <c r="EQ106" s="228">
        <v>-52.74</v>
      </c>
      <c r="ER106" s="229">
        <v>-0.30570000000000003</v>
      </c>
      <c r="ES106" s="228">
        <v>149.80000000000001</v>
      </c>
      <c r="ET106" s="228">
        <v>65.7</v>
      </c>
      <c r="EU106" s="228">
        <v>301.16000000000003</v>
      </c>
      <c r="EV106" s="231">
        <v>840388804</v>
      </c>
      <c r="EW106" s="228">
        <v>516.66</v>
      </c>
      <c r="EX106" s="228">
        <v>529.84</v>
      </c>
      <c r="EY106" s="228">
        <v>-13.18</v>
      </c>
      <c r="EZ106" s="229">
        <v>-2.4899999999999999E-2</v>
      </c>
      <c r="FA106" s="229">
        <v>0.1353</v>
      </c>
      <c r="FB106" s="227" t="s">
        <v>568</v>
      </c>
      <c r="FC106">
        <f t="shared" si="1"/>
        <v>0</v>
      </c>
    </row>
    <row r="107" spans="1:159" ht="17.25" thickBot="1" x14ac:dyDescent="0.3">
      <c r="A107" s="226">
        <v>45889</v>
      </c>
      <c r="B107" s="227" t="s">
        <v>215</v>
      </c>
      <c r="C107" s="227" t="s">
        <v>490</v>
      </c>
      <c r="D107" s="228">
        <v>875</v>
      </c>
      <c r="E107" s="228">
        <v>8</v>
      </c>
      <c r="F107" s="228">
        <v>731.2</v>
      </c>
      <c r="G107" s="228">
        <v>727.3</v>
      </c>
      <c r="H107" s="228">
        <v>3.9</v>
      </c>
      <c r="I107" s="229">
        <v>5.4000000000000003E-3</v>
      </c>
      <c r="J107" s="228">
        <v>731.2</v>
      </c>
      <c r="K107" s="228">
        <v>726.4</v>
      </c>
      <c r="L107" s="228">
        <v>4.8</v>
      </c>
      <c r="M107" s="229">
        <v>6.6E-3</v>
      </c>
      <c r="N107" s="228">
        <v>731.2</v>
      </c>
      <c r="O107" s="228">
        <v>727.3</v>
      </c>
      <c r="P107" s="228">
        <v>3.9</v>
      </c>
      <c r="Q107" s="229">
        <v>5.4000000000000003E-3</v>
      </c>
      <c r="R107" s="228">
        <v>735.6</v>
      </c>
      <c r="S107" s="228">
        <v>731.65</v>
      </c>
      <c r="T107" s="228">
        <v>3.95</v>
      </c>
      <c r="U107" s="229">
        <v>5.4000000000000003E-3</v>
      </c>
      <c r="V107" s="228">
        <v>739.7</v>
      </c>
      <c r="W107" s="228">
        <v>735.7</v>
      </c>
      <c r="X107" s="228">
        <v>4</v>
      </c>
      <c r="Y107" s="229">
        <v>5.4000000000000003E-3</v>
      </c>
      <c r="Z107" s="228">
        <v>0</v>
      </c>
      <c r="AA107" s="228">
        <v>0.9</v>
      </c>
      <c r="AB107" s="228">
        <v>-0.9</v>
      </c>
      <c r="AC107" s="229">
        <v>0</v>
      </c>
      <c r="AD107" s="228">
        <v>0</v>
      </c>
      <c r="AE107" s="228">
        <v>0.9</v>
      </c>
      <c r="AF107" s="228">
        <v>-0.9</v>
      </c>
      <c r="AG107" s="229">
        <v>0</v>
      </c>
      <c r="AH107" s="228">
        <v>4.4000000000000004</v>
      </c>
      <c r="AI107" s="228">
        <v>5.25</v>
      </c>
      <c r="AJ107" s="228">
        <v>-0.85</v>
      </c>
      <c r="AK107" s="229">
        <v>6.0000000000000001E-3</v>
      </c>
      <c r="AL107" s="228">
        <v>8.5</v>
      </c>
      <c r="AM107" s="228">
        <v>9.3000000000000007</v>
      </c>
      <c r="AN107" s="228">
        <v>-0.8</v>
      </c>
      <c r="AO107" s="229">
        <v>1.1599999999999999E-2</v>
      </c>
      <c r="AP107" s="228">
        <v>731.23</v>
      </c>
      <c r="AQ107" s="228">
        <v>735.64</v>
      </c>
      <c r="AR107" s="228">
        <v>0</v>
      </c>
      <c r="AS107" s="228">
        <v>147</v>
      </c>
      <c r="AT107" s="228">
        <v>147</v>
      </c>
      <c r="AU107" s="228">
        <v>0</v>
      </c>
      <c r="AV107" s="229">
        <v>2.2000000000000001E-3</v>
      </c>
      <c r="AW107" s="228">
        <v>94</v>
      </c>
      <c r="AX107" s="228">
        <v>88</v>
      </c>
      <c r="AY107" s="228">
        <v>6</v>
      </c>
      <c r="AZ107" s="229">
        <v>7.3099999999999998E-2</v>
      </c>
      <c r="BA107" s="228">
        <v>48</v>
      </c>
      <c r="BB107" s="228">
        <v>45</v>
      </c>
      <c r="BC107" s="228">
        <v>3</v>
      </c>
      <c r="BD107" s="229">
        <v>7.5700000000000003E-2</v>
      </c>
      <c r="BE107" s="228">
        <v>5</v>
      </c>
      <c r="BF107" s="228">
        <v>15</v>
      </c>
      <c r="BG107" s="228">
        <v>-9</v>
      </c>
      <c r="BH107" s="229">
        <v>-0.63790000000000002</v>
      </c>
      <c r="BI107" s="228">
        <v>623</v>
      </c>
      <c r="BJ107" s="228">
        <v>530</v>
      </c>
      <c r="BK107" s="228">
        <v>93</v>
      </c>
      <c r="BL107" s="229">
        <v>0.17530000000000001</v>
      </c>
      <c r="BM107" s="228">
        <v>193</v>
      </c>
      <c r="BN107" s="228">
        <v>196</v>
      </c>
      <c r="BO107" s="228">
        <v>-3</v>
      </c>
      <c r="BP107" s="229">
        <v>-1.6E-2</v>
      </c>
      <c r="BQ107" s="228">
        <v>963</v>
      </c>
      <c r="BR107" s="228">
        <v>873</v>
      </c>
      <c r="BS107" s="228">
        <v>90</v>
      </c>
      <c r="BT107" s="229">
        <v>0.1032</v>
      </c>
      <c r="BU107" s="230">
        <v>552357</v>
      </c>
      <c r="BV107" s="230">
        <v>449248</v>
      </c>
      <c r="BW107" s="230">
        <v>103109</v>
      </c>
      <c r="BX107" s="229">
        <v>0.22950000000000001</v>
      </c>
      <c r="BY107" s="230">
        <v>1180</v>
      </c>
      <c r="BZ107" s="230">
        <v>1168</v>
      </c>
      <c r="CA107" s="228">
        <v>13</v>
      </c>
      <c r="CB107" s="229">
        <v>1.0999999999999999E-2</v>
      </c>
      <c r="CC107" s="230">
        <v>1004</v>
      </c>
      <c r="CD107" s="230">
        <v>1013</v>
      </c>
      <c r="CE107" s="228">
        <v>-9</v>
      </c>
      <c r="CF107" s="229">
        <v>-9.1000000000000004E-3</v>
      </c>
      <c r="CG107" s="228">
        <v>147</v>
      </c>
      <c r="CH107" s="228">
        <v>125</v>
      </c>
      <c r="CI107" s="228">
        <v>22</v>
      </c>
      <c r="CJ107" s="229">
        <v>0.17249999999999999</v>
      </c>
      <c r="CK107" s="228">
        <v>30</v>
      </c>
      <c r="CL107" s="228">
        <v>29</v>
      </c>
      <c r="CM107" s="228">
        <v>0</v>
      </c>
      <c r="CN107" s="229">
        <v>1.52E-2</v>
      </c>
      <c r="CO107" s="228">
        <v>645</v>
      </c>
      <c r="CP107" s="228">
        <v>640</v>
      </c>
      <c r="CQ107" s="228">
        <v>5</v>
      </c>
      <c r="CR107" s="229">
        <v>7.4000000000000003E-3</v>
      </c>
      <c r="CS107" s="228">
        <v>449</v>
      </c>
      <c r="CT107" s="228">
        <v>428</v>
      </c>
      <c r="CU107" s="228">
        <v>21</v>
      </c>
      <c r="CV107" s="229">
        <v>4.8300000000000003E-2</v>
      </c>
      <c r="CW107" s="230">
        <v>2274</v>
      </c>
      <c r="CX107" s="230">
        <v>2236</v>
      </c>
      <c r="CY107" s="228">
        <v>38</v>
      </c>
      <c r="CZ107" s="229">
        <v>1.7100000000000001E-2</v>
      </c>
      <c r="DA107" s="228">
        <v>23.55</v>
      </c>
      <c r="DB107" s="228">
        <v>22.92</v>
      </c>
      <c r="DC107" s="228">
        <v>0.63</v>
      </c>
      <c r="DD107" s="228">
        <v>0.63</v>
      </c>
      <c r="DE107" s="228">
        <v>33.33</v>
      </c>
      <c r="DF107" s="228">
        <v>33.4</v>
      </c>
      <c r="DG107" s="228">
        <v>-9.7799999999999994</v>
      </c>
      <c r="DH107" s="228">
        <v>-7.0000000000000007E-2</v>
      </c>
      <c r="DI107" s="228">
        <v>23.4</v>
      </c>
      <c r="DJ107" s="228">
        <v>22.95</v>
      </c>
      <c r="DK107" s="228">
        <v>0.45</v>
      </c>
      <c r="DL107" s="228">
        <v>0.45</v>
      </c>
      <c r="DM107" s="228">
        <v>24.04</v>
      </c>
      <c r="DN107" s="228">
        <v>22.84</v>
      </c>
      <c r="DO107" s="228">
        <v>1.2</v>
      </c>
      <c r="DP107" s="228">
        <v>1.2</v>
      </c>
      <c r="DQ107" s="228">
        <v>0.7</v>
      </c>
      <c r="DR107" s="228">
        <v>0.67</v>
      </c>
      <c r="DS107" s="228">
        <v>0.03</v>
      </c>
      <c r="DT107" s="229">
        <v>4.48E-2</v>
      </c>
      <c r="DU107" s="228">
        <v>800</v>
      </c>
      <c r="DV107" s="228">
        <v>720</v>
      </c>
      <c r="DW107" s="228">
        <v>0.31</v>
      </c>
      <c r="DX107" s="228">
        <v>0.37</v>
      </c>
      <c r="DY107" s="228">
        <v>-0.06</v>
      </c>
      <c r="DZ107" s="229">
        <v>-0.16220000000000001</v>
      </c>
      <c r="EA107" s="229">
        <v>0.14990000000000001</v>
      </c>
      <c r="EB107" s="230">
        <v>2117500</v>
      </c>
      <c r="EC107" s="229">
        <v>6.0000000000000001E-3</v>
      </c>
      <c r="ED107" s="229">
        <v>0.14990000000000001</v>
      </c>
      <c r="EE107" s="228">
        <v>4.41</v>
      </c>
      <c r="EF107" s="229">
        <v>6.0000000000000001E-3</v>
      </c>
      <c r="EG107" s="230">
        <v>224061</v>
      </c>
      <c r="EH107" s="230">
        <v>189884</v>
      </c>
      <c r="EI107" s="229">
        <v>0.18</v>
      </c>
      <c r="EJ107" s="229">
        <v>0.40560000000000002</v>
      </c>
      <c r="EK107" s="228">
        <v>644.98</v>
      </c>
      <c r="EL107" s="228">
        <v>189.84</v>
      </c>
      <c r="EM107" s="228">
        <v>147.83000000000001</v>
      </c>
      <c r="EN107" s="228">
        <v>0</v>
      </c>
      <c r="EO107" s="228">
        <v>982.66</v>
      </c>
      <c r="EP107" s="228">
        <v>887.4</v>
      </c>
      <c r="EQ107" s="228">
        <v>95.25</v>
      </c>
      <c r="ER107" s="229">
        <v>0.10730000000000001</v>
      </c>
      <c r="ES107" s="228">
        <v>678.81</v>
      </c>
      <c r="ET107" s="228">
        <v>445.87</v>
      </c>
      <c r="EU107" s="231">
        <v>1181.6600000000001</v>
      </c>
      <c r="EV107" s="231">
        <v>60165566</v>
      </c>
      <c r="EW107" s="231">
        <v>2306.34</v>
      </c>
      <c r="EX107" s="231">
        <v>2262.3000000000002</v>
      </c>
      <c r="EY107" s="228">
        <v>44.04</v>
      </c>
      <c r="EZ107" s="229">
        <v>1.95E-2</v>
      </c>
      <c r="FA107" s="229">
        <v>0.51690000000000003</v>
      </c>
      <c r="FB107" s="227" t="s">
        <v>555</v>
      </c>
      <c r="FC107">
        <f t="shared" si="1"/>
        <v>176</v>
      </c>
    </row>
    <row r="108" spans="1:159" ht="17.25" thickBot="1" x14ac:dyDescent="0.3">
      <c r="A108" s="226">
        <v>45889</v>
      </c>
      <c r="B108" s="227" t="s">
        <v>175</v>
      </c>
      <c r="C108" s="227" t="s">
        <v>666</v>
      </c>
      <c r="D108" s="228">
        <v>3450</v>
      </c>
      <c r="E108" s="228">
        <v>8</v>
      </c>
      <c r="F108" s="228">
        <v>148.58000000000001</v>
      </c>
      <c r="G108" s="228">
        <v>148.84</v>
      </c>
      <c r="H108" s="228">
        <v>-0.26</v>
      </c>
      <c r="I108" s="229">
        <v>-1.6999999999999999E-3</v>
      </c>
      <c r="J108" s="228">
        <v>148.78</v>
      </c>
      <c r="K108" s="228">
        <v>148.91</v>
      </c>
      <c r="L108" s="228">
        <v>-0.13</v>
      </c>
      <c r="M108" s="229">
        <v>-8.9999999999999998E-4</v>
      </c>
      <c r="N108" s="228">
        <v>148.58000000000001</v>
      </c>
      <c r="O108" s="228">
        <v>148.84</v>
      </c>
      <c r="P108" s="228">
        <v>-0.26</v>
      </c>
      <c r="Q108" s="229">
        <v>-1.6999999999999999E-3</v>
      </c>
      <c r="R108" s="228">
        <v>148.34</v>
      </c>
      <c r="S108" s="228">
        <v>148.78</v>
      </c>
      <c r="T108" s="228">
        <v>-0.44</v>
      </c>
      <c r="U108" s="229">
        <v>-3.0000000000000001E-3</v>
      </c>
      <c r="V108" s="228">
        <v>148.35</v>
      </c>
      <c r="W108" s="228">
        <v>148.96</v>
      </c>
      <c r="X108" s="228">
        <v>-0.61</v>
      </c>
      <c r="Y108" s="229">
        <v>-4.1000000000000003E-3</v>
      </c>
      <c r="Z108" s="228">
        <v>-0.2</v>
      </c>
      <c r="AA108" s="228">
        <v>-7.0000000000000007E-2</v>
      </c>
      <c r="AB108" s="228">
        <v>-0.13</v>
      </c>
      <c r="AC108" s="229">
        <v>-1.2999999999999999E-3</v>
      </c>
      <c r="AD108" s="228">
        <v>-0.2</v>
      </c>
      <c r="AE108" s="228">
        <v>-7.0000000000000007E-2</v>
      </c>
      <c r="AF108" s="228">
        <v>-0.13</v>
      </c>
      <c r="AG108" s="229">
        <v>-1.2999999999999999E-3</v>
      </c>
      <c r="AH108" s="228">
        <v>-0.44</v>
      </c>
      <c r="AI108" s="228">
        <v>-0.13</v>
      </c>
      <c r="AJ108" s="228">
        <v>-0.31</v>
      </c>
      <c r="AK108" s="229">
        <v>-3.0000000000000001E-3</v>
      </c>
      <c r="AL108" s="228">
        <v>-0.43</v>
      </c>
      <c r="AM108" s="228">
        <v>0.05</v>
      </c>
      <c r="AN108" s="228">
        <v>-0.48</v>
      </c>
      <c r="AO108" s="229">
        <v>-2.8999999999999998E-3</v>
      </c>
      <c r="AP108" s="228">
        <v>148.57</v>
      </c>
      <c r="AQ108" s="228">
        <v>148.41999999999999</v>
      </c>
      <c r="AR108" s="228">
        <v>0</v>
      </c>
      <c r="AS108" s="228">
        <v>80</v>
      </c>
      <c r="AT108" s="228">
        <v>78</v>
      </c>
      <c r="AU108" s="228">
        <v>2</v>
      </c>
      <c r="AV108" s="229">
        <v>2.5100000000000001E-2</v>
      </c>
      <c r="AW108" s="228">
        <v>44</v>
      </c>
      <c r="AX108" s="228">
        <v>52</v>
      </c>
      <c r="AY108" s="228">
        <v>-8</v>
      </c>
      <c r="AZ108" s="229">
        <v>-0.14979999999999999</v>
      </c>
      <c r="BA108" s="228">
        <v>33</v>
      </c>
      <c r="BB108" s="228">
        <v>23</v>
      </c>
      <c r="BC108" s="228">
        <v>10</v>
      </c>
      <c r="BD108" s="229">
        <v>0.41149999999999998</v>
      </c>
      <c r="BE108" s="228">
        <v>3</v>
      </c>
      <c r="BF108" s="228">
        <v>2</v>
      </c>
      <c r="BG108" s="228">
        <v>0</v>
      </c>
      <c r="BH108" s="229">
        <v>8.6999999999999994E-2</v>
      </c>
      <c r="BI108" s="228">
        <v>95</v>
      </c>
      <c r="BJ108" s="228">
        <v>202</v>
      </c>
      <c r="BK108" s="228">
        <v>-106</v>
      </c>
      <c r="BL108" s="229">
        <v>-0.52810000000000001</v>
      </c>
      <c r="BM108" s="228">
        <v>53</v>
      </c>
      <c r="BN108" s="228">
        <v>54</v>
      </c>
      <c r="BO108" s="228">
        <v>-1</v>
      </c>
      <c r="BP108" s="229">
        <v>-1.52E-2</v>
      </c>
      <c r="BQ108" s="228">
        <v>228</v>
      </c>
      <c r="BR108" s="228">
        <v>333</v>
      </c>
      <c r="BS108" s="228">
        <v>-105</v>
      </c>
      <c r="BT108" s="229">
        <v>-0.31619999999999998</v>
      </c>
      <c r="BU108" s="230">
        <v>3602174</v>
      </c>
      <c r="BV108" s="230">
        <v>4328182</v>
      </c>
      <c r="BW108" s="230">
        <v>-726008</v>
      </c>
      <c r="BX108" s="229">
        <v>-0.16769999999999999</v>
      </c>
      <c r="BY108" s="228">
        <v>574</v>
      </c>
      <c r="BZ108" s="228">
        <v>559</v>
      </c>
      <c r="CA108" s="228">
        <v>15</v>
      </c>
      <c r="CB108" s="229">
        <v>2.6200000000000001E-2</v>
      </c>
      <c r="CC108" s="228">
        <v>461</v>
      </c>
      <c r="CD108" s="228">
        <v>463</v>
      </c>
      <c r="CE108" s="228">
        <v>-2</v>
      </c>
      <c r="CF108" s="229">
        <v>-5.1000000000000004E-3</v>
      </c>
      <c r="CG108" s="228">
        <v>100</v>
      </c>
      <c r="CH108" s="228">
        <v>85</v>
      </c>
      <c r="CI108" s="228">
        <v>16</v>
      </c>
      <c r="CJ108" s="229">
        <v>0.18360000000000001</v>
      </c>
      <c r="CK108" s="228">
        <v>13</v>
      </c>
      <c r="CL108" s="228">
        <v>11</v>
      </c>
      <c r="CM108" s="228">
        <v>1</v>
      </c>
      <c r="CN108" s="229">
        <v>0.13300000000000001</v>
      </c>
      <c r="CO108" s="228">
        <v>288</v>
      </c>
      <c r="CP108" s="228">
        <v>286</v>
      </c>
      <c r="CQ108" s="228">
        <v>2</v>
      </c>
      <c r="CR108" s="229">
        <v>7.7000000000000002E-3</v>
      </c>
      <c r="CS108" s="228">
        <v>167</v>
      </c>
      <c r="CT108" s="228">
        <v>169</v>
      </c>
      <c r="CU108" s="228">
        <v>-2</v>
      </c>
      <c r="CV108" s="229">
        <v>-1.2699999999999999E-2</v>
      </c>
      <c r="CW108" s="230">
        <v>1029</v>
      </c>
      <c r="CX108" s="230">
        <v>1014</v>
      </c>
      <c r="CY108" s="228">
        <v>15</v>
      </c>
      <c r="CZ108" s="229">
        <v>1.4500000000000001E-2</v>
      </c>
      <c r="DA108" s="228">
        <v>34.5</v>
      </c>
      <c r="DB108" s="228">
        <v>33.78</v>
      </c>
      <c r="DC108" s="228">
        <v>0.72</v>
      </c>
      <c r="DD108" s="228">
        <v>0.72</v>
      </c>
      <c r="DE108" s="228">
        <v>55.71</v>
      </c>
      <c r="DF108" s="228">
        <v>55.85</v>
      </c>
      <c r="DG108" s="228">
        <v>-21.21</v>
      </c>
      <c r="DH108" s="228">
        <v>-0.14000000000000001</v>
      </c>
      <c r="DI108" s="228">
        <v>33.450000000000003</v>
      </c>
      <c r="DJ108" s="228">
        <v>33.17</v>
      </c>
      <c r="DK108" s="228">
        <v>0.28000000000000003</v>
      </c>
      <c r="DL108" s="228">
        <v>0.28000000000000003</v>
      </c>
      <c r="DM108" s="228">
        <v>36.369999999999997</v>
      </c>
      <c r="DN108" s="228">
        <v>36.07</v>
      </c>
      <c r="DO108" s="228">
        <v>0.3</v>
      </c>
      <c r="DP108" s="228">
        <v>0.3</v>
      </c>
      <c r="DQ108" s="228">
        <v>0.57999999999999996</v>
      </c>
      <c r="DR108" s="228">
        <v>0.59</v>
      </c>
      <c r="DS108" s="228">
        <v>-0.01</v>
      </c>
      <c r="DT108" s="229">
        <v>-1.6899999999999998E-2</v>
      </c>
      <c r="DU108" s="228">
        <v>150</v>
      </c>
      <c r="DV108" s="228">
        <v>130</v>
      </c>
      <c r="DW108" s="228">
        <v>0.56000000000000005</v>
      </c>
      <c r="DX108" s="228">
        <v>0.27</v>
      </c>
      <c r="DY108" s="228">
        <v>0.28999999999999998</v>
      </c>
      <c r="DZ108" s="229">
        <v>1.0741000000000001</v>
      </c>
      <c r="EA108" s="229">
        <v>0.1966</v>
      </c>
      <c r="EB108" s="230">
        <v>6444600</v>
      </c>
      <c r="EC108" s="229">
        <v>-1.6000000000000001E-3</v>
      </c>
      <c r="ED108" s="229">
        <v>0.1966</v>
      </c>
      <c r="EE108" s="228">
        <v>-0.15</v>
      </c>
      <c r="EF108" s="229">
        <v>-1E-3</v>
      </c>
      <c r="EG108" s="230">
        <v>1436595</v>
      </c>
      <c r="EH108" s="230">
        <v>1590211</v>
      </c>
      <c r="EI108" s="229">
        <v>-9.6600000000000005E-2</v>
      </c>
      <c r="EJ108" s="229">
        <v>0.39879999999999999</v>
      </c>
      <c r="EK108" s="228">
        <v>99.64</v>
      </c>
      <c r="EL108" s="228">
        <v>53.08</v>
      </c>
      <c r="EM108" s="228">
        <v>79.47</v>
      </c>
      <c r="EN108" s="228">
        <v>0</v>
      </c>
      <c r="EO108" s="228">
        <v>232.18</v>
      </c>
      <c r="EP108" s="228">
        <v>340.76</v>
      </c>
      <c r="EQ108" s="228">
        <v>-108.57</v>
      </c>
      <c r="ER108" s="229">
        <v>-0.31859999999999999</v>
      </c>
      <c r="ES108" s="228">
        <v>306.95</v>
      </c>
      <c r="ET108" s="228">
        <v>164.32</v>
      </c>
      <c r="EU108" s="228">
        <v>573.37</v>
      </c>
      <c r="EV108" s="231">
        <v>158681547</v>
      </c>
      <c r="EW108" s="231">
        <v>1044.6300000000001</v>
      </c>
      <c r="EX108" s="231">
        <v>1030.94</v>
      </c>
      <c r="EY108" s="228">
        <v>13.69</v>
      </c>
      <c r="EZ108" s="229">
        <v>1.3299999999999999E-2</v>
      </c>
      <c r="FA108" s="229">
        <v>0.43640000000000001</v>
      </c>
      <c r="FB108" s="227" t="s">
        <v>567</v>
      </c>
      <c r="FC108">
        <f t="shared" si="1"/>
        <v>113</v>
      </c>
    </row>
    <row r="109" spans="1:159" ht="17.25" thickBot="1" x14ac:dyDescent="0.3">
      <c r="A109" s="226">
        <v>45889</v>
      </c>
      <c r="B109" s="227" t="s">
        <v>215</v>
      </c>
      <c r="C109" s="227" t="s">
        <v>593</v>
      </c>
      <c r="D109" s="228">
        <v>4250</v>
      </c>
      <c r="E109" s="228">
        <v>8</v>
      </c>
      <c r="F109" s="228">
        <v>127.2</v>
      </c>
      <c r="G109" s="228">
        <v>127.27</v>
      </c>
      <c r="H109" s="228">
        <v>-7.0000000000000007E-2</v>
      </c>
      <c r="I109" s="229">
        <v>-5.9999999999999995E-4</v>
      </c>
      <c r="J109" s="228">
        <v>126.73</v>
      </c>
      <c r="K109" s="228">
        <v>126.8</v>
      </c>
      <c r="L109" s="228">
        <v>-7.0000000000000007E-2</v>
      </c>
      <c r="M109" s="229">
        <v>-5.9999999999999995E-4</v>
      </c>
      <c r="N109" s="228">
        <v>127.2</v>
      </c>
      <c r="O109" s="228">
        <v>127.27</v>
      </c>
      <c r="P109" s="228">
        <v>-7.0000000000000007E-2</v>
      </c>
      <c r="Q109" s="229">
        <v>-5.9999999999999995E-4</v>
      </c>
      <c r="R109" s="228">
        <v>127.48</v>
      </c>
      <c r="S109" s="228">
        <v>127.51</v>
      </c>
      <c r="T109" s="228">
        <v>-0.03</v>
      </c>
      <c r="U109" s="229">
        <v>-2.0000000000000001E-4</v>
      </c>
      <c r="V109" s="228">
        <v>127.75</v>
      </c>
      <c r="W109" s="228">
        <v>127.73</v>
      </c>
      <c r="X109" s="228">
        <v>0.02</v>
      </c>
      <c r="Y109" s="229">
        <v>2.0000000000000001E-4</v>
      </c>
      <c r="Z109" s="228">
        <v>0.47</v>
      </c>
      <c r="AA109" s="228">
        <v>0.47</v>
      </c>
      <c r="AB109" s="228">
        <v>0</v>
      </c>
      <c r="AC109" s="229">
        <v>3.7000000000000002E-3</v>
      </c>
      <c r="AD109" s="228">
        <v>0.47</v>
      </c>
      <c r="AE109" s="228">
        <v>0.47</v>
      </c>
      <c r="AF109" s="228">
        <v>0</v>
      </c>
      <c r="AG109" s="229">
        <v>3.7000000000000002E-3</v>
      </c>
      <c r="AH109" s="228">
        <v>0.75</v>
      </c>
      <c r="AI109" s="228">
        <v>0.71</v>
      </c>
      <c r="AJ109" s="228">
        <v>0.04</v>
      </c>
      <c r="AK109" s="229">
        <v>5.8999999999999999E-3</v>
      </c>
      <c r="AL109" s="228">
        <v>1.02</v>
      </c>
      <c r="AM109" s="228">
        <v>0.93</v>
      </c>
      <c r="AN109" s="228">
        <v>0.09</v>
      </c>
      <c r="AO109" s="229">
        <v>8.0000000000000002E-3</v>
      </c>
      <c r="AP109" s="228">
        <v>127.09</v>
      </c>
      <c r="AQ109" s="228">
        <v>127.39</v>
      </c>
      <c r="AR109" s="228">
        <v>0</v>
      </c>
      <c r="AS109" s="228">
        <v>98</v>
      </c>
      <c r="AT109" s="228">
        <v>95</v>
      </c>
      <c r="AU109" s="228">
        <v>3</v>
      </c>
      <c r="AV109" s="229">
        <v>2.9600000000000001E-2</v>
      </c>
      <c r="AW109" s="228">
        <v>65</v>
      </c>
      <c r="AX109" s="228">
        <v>73</v>
      </c>
      <c r="AY109" s="228">
        <v>-8</v>
      </c>
      <c r="AZ109" s="229">
        <v>-0.1109</v>
      </c>
      <c r="BA109" s="228">
        <v>29</v>
      </c>
      <c r="BB109" s="228">
        <v>20</v>
      </c>
      <c r="BC109" s="228">
        <v>9</v>
      </c>
      <c r="BD109" s="229">
        <v>0.44350000000000001</v>
      </c>
      <c r="BE109" s="228">
        <v>4</v>
      </c>
      <c r="BF109" s="228">
        <v>2</v>
      </c>
      <c r="BG109" s="228">
        <v>2</v>
      </c>
      <c r="BH109" s="229">
        <v>0.83720000000000006</v>
      </c>
      <c r="BI109" s="228">
        <v>313</v>
      </c>
      <c r="BJ109" s="228">
        <v>369</v>
      </c>
      <c r="BK109" s="228">
        <v>-56</v>
      </c>
      <c r="BL109" s="229">
        <v>-0.15090000000000001</v>
      </c>
      <c r="BM109" s="228">
        <v>132</v>
      </c>
      <c r="BN109" s="228">
        <v>117</v>
      </c>
      <c r="BO109" s="228">
        <v>16</v>
      </c>
      <c r="BP109" s="229">
        <v>0.13539999999999999</v>
      </c>
      <c r="BQ109" s="228">
        <v>543</v>
      </c>
      <c r="BR109" s="228">
        <v>580</v>
      </c>
      <c r="BS109" s="228">
        <v>-37</v>
      </c>
      <c r="BT109" s="229">
        <v>-6.3799999999999996E-2</v>
      </c>
      <c r="BU109" s="230">
        <v>9442748</v>
      </c>
      <c r="BV109" s="230">
        <v>8556008</v>
      </c>
      <c r="BW109" s="230">
        <v>886740</v>
      </c>
      <c r="BX109" s="229">
        <v>0.1036</v>
      </c>
      <c r="BY109" s="228">
        <v>584</v>
      </c>
      <c r="BZ109" s="228">
        <v>569</v>
      </c>
      <c r="CA109" s="228">
        <v>16</v>
      </c>
      <c r="CB109" s="229">
        <v>2.7400000000000001E-2</v>
      </c>
      <c r="CC109" s="228">
        <v>482</v>
      </c>
      <c r="CD109" s="228">
        <v>483</v>
      </c>
      <c r="CE109" s="228">
        <v>-1</v>
      </c>
      <c r="CF109" s="229">
        <v>-2.5000000000000001E-3</v>
      </c>
      <c r="CG109" s="228">
        <v>89</v>
      </c>
      <c r="CH109" s="228">
        <v>75</v>
      </c>
      <c r="CI109" s="228">
        <v>14</v>
      </c>
      <c r="CJ109" s="229">
        <v>0.18870000000000001</v>
      </c>
      <c r="CK109" s="228">
        <v>14</v>
      </c>
      <c r="CL109" s="228">
        <v>11</v>
      </c>
      <c r="CM109" s="228">
        <v>3</v>
      </c>
      <c r="CN109" s="229">
        <v>0.23899999999999999</v>
      </c>
      <c r="CO109" s="228">
        <v>464</v>
      </c>
      <c r="CP109" s="228">
        <v>455</v>
      </c>
      <c r="CQ109" s="228">
        <v>9</v>
      </c>
      <c r="CR109" s="229">
        <v>1.9E-2</v>
      </c>
      <c r="CS109" s="228">
        <v>202</v>
      </c>
      <c r="CT109" s="228">
        <v>195</v>
      </c>
      <c r="CU109" s="228">
        <v>7</v>
      </c>
      <c r="CV109" s="229">
        <v>3.4099999999999998E-2</v>
      </c>
      <c r="CW109" s="230">
        <v>1250</v>
      </c>
      <c r="CX109" s="230">
        <v>1219</v>
      </c>
      <c r="CY109" s="228">
        <v>31</v>
      </c>
      <c r="CZ109" s="229">
        <v>2.53E-2</v>
      </c>
      <c r="DA109" s="228">
        <v>30.91</v>
      </c>
      <c r="DB109" s="228">
        <v>32</v>
      </c>
      <c r="DC109" s="228">
        <v>-1.0900000000000001</v>
      </c>
      <c r="DD109" s="228">
        <v>-1.0900000000000001</v>
      </c>
      <c r="DE109" s="228">
        <v>51.16</v>
      </c>
      <c r="DF109" s="228">
        <v>51.29</v>
      </c>
      <c r="DG109" s="228">
        <v>-20.25</v>
      </c>
      <c r="DH109" s="228">
        <v>-0.13</v>
      </c>
      <c r="DI109" s="228">
        <v>31.33</v>
      </c>
      <c r="DJ109" s="228">
        <v>32.21</v>
      </c>
      <c r="DK109" s="228">
        <v>-0.88</v>
      </c>
      <c r="DL109" s="228">
        <v>-0.88</v>
      </c>
      <c r="DM109" s="228">
        <v>29.92</v>
      </c>
      <c r="DN109" s="228">
        <v>31.31</v>
      </c>
      <c r="DO109" s="228">
        <v>-1.39</v>
      </c>
      <c r="DP109" s="228">
        <v>-1.39</v>
      </c>
      <c r="DQ109" s="228">
        <v>0.43</v>
      </c>
      <c r="DR109" s="228">
        <v>0.43</v>
      </c>
      <c r="DS109" s="228">
        <v>0</v>
      </c>
      <c r="DT109" s="229">
        <v>0</v>
      </c>
      <c r="DU109" s="228">
        <v>135</v>
      </c>
      <c r="DV109" s="228">
        <v>125</v>
      </c>
      <c r="DW109" s="228">
        <v>0.42</v>
      </c>
      <c r="DX109" s="228">
        <v>0.32</v>
      </c>
      <c r="DY109" s="228">
        <v>0.1</v>
      </c>
      <c r="DZ109" s="229">
        <v>0.3125</v>
      </c>
      <c r="EA109" s="229">
        <v>0.17560000000000001</v>
      </c>
      <c r="EB109" s="230">
        <v>6749000</v>
      </c>
      <c r="EC109" s="229">
        <v>2.2000000000000001E-3</v>
      </c>
      <c r="ED109" s="229">
        <v>0.17560000000000001</v>
      </c>
      <c r="EE109" s="228">
        <v>0.3</v>
      </c>
      <c r="EF109" s="229">
        <v>2.3999999999999998E-3</v>
      </c>
      <c r="EG109" s="230">
        <v>2880585</v>
      </c>
      <c r="EH109" s="230">
        <v>3182602</v>
      </c>
      <c r="EI109" s="229">
        <v>-9.4899999999999998E-2</v>
      </c>
      <c r="EJ109" s="229">
        <v>0.30509999999999998</v>
      </c>
      <c r="EK109" s="228">
        <v>326.20999999999998</v>
      </c>
      <c r="EL109" s="228">
        <v>131.47</v>
      </c>
      <c r="EM109" s="228">
        <v>97.9</v>
      </c>
      <c r="EN109" s="228">
        <v>0</v>
      </c>
      <c r="EO109" s="228">
        <v>555.58000000000004</v>
      </c>
      <c r="EP109" s="228">
        <v>595.67999999999995</v>
      </c>
      <c r="EQ109" s="228">
        <v>-40.090000000000003</v>
      </c>
      <c r="ER109" s="229">
        <v>-6.7299999999999999E-2</v>
      </c>
      <c r="ES109" s="228">
        <v>498.11</v>
      </c>
      <c r="ET109" s="228">
        <v>201.5</v>
      </c>
      <c r="EU109" s="228">
        <v>584.59</v>
      </c>
      <c r="EV109" s="231">
        <v>356413800</v>
      </c>
      <c r="EW109" s="231">
        <v>1284.21</v>
      </c>
      <c r="EX109" s="231">
        <v>1254.23</v>
      </c>
      <c r="EY109" s="228">
        <v>29.98</v>
      </c>
      <c r="EZ109" s="229">
        <v>2.3900000000000001E-2</v>
      </c>
      <c r="FA109" s="229">
        <v>0.2757</v>
      </c>
      <c r="FB109" s="227" t="s">
        <v>567</v>
      </c>
      <c r="FC109">
        <f t="shared" si="1"/>
        <v>102</v>
      </c>
    </row>
    <row r="110" spans="1:159" ht="17.25" thickBot="1" x14ac:dyDescent="0.3">
      <c r="A110" s="226">
        <v>45889</v>
      </c>
      <c r="B110" s="227" t="s">
        <v>168</v>
      </c>
      <c r="C110" s="227" t="s">
        <v>242</v>
      </c>
      <c r="D110" s="228">
        <v>1600</v>
      </c>
      <c r="E110" s="228">
        <v>8</v>
      </c>
      <c r="F110" s="228">
        <v>407.25</v>
      </c>
      <c r="G110" s="228">
        <v>409.55</v>
      </c>
      <c r="H110" s="228">
        <v>-2.2999999999999998</v>
      </c>
      <c r="I110" s="229">
        <v>-5.5999999999999999E-3</v>
      </c>
      <c r="J110" s="228">
        <v>406.05</v>
      </c>
      <c r="K110" s="228">
        <v>409.1</v>
      </c>
      <c r="L110" s="228">
        <v>-3.05</v>
      </c>
      <c r="M110" s="229">
        <v>-7.4999999999999997E-3</v>
      </c>
      <c r="N110" s="228">
        <v>407.25</v>
      </c>
      <c r="O110" s="228">
        <v>409.55</v>
      </c>
      <c r="P110" s="228">
        <v>-2.2999999999999998</v>
      </c>
      <c r="Q110" s="229">
        <v>-5.5999999999999999E-3</v>
      </c>
      <c r="R110" s="228">
        <v>409.45</v>
      </c>
      <c r="S110" s="228">
        <v>411.9</v>
      </c>
      <c r="T110" s="228">
        <v>-2.4500000000000002</v>
      </c>
      <c r="U110" s="229">
        <v>-5.8999999999999999E-3</v>
      </c>
      <c r="V110" s="228">
        <v>411.6</v>
      </c>
      <c r="W110" s="228">
        <v>413.8</v>
      </c>
      <c r="X110" s="228">
        <v>-2.2000000000000002</v>
      </c>
      <c r="Y110" s="229">
        <v>-5.3E-3</v>
      </c>
      <c r="Z110" s="228">
        <v>1.2</v>
      </c>
      <c r="AA110" s="228">
        <v>0.45</v>
      </c>
      <c r="AB110" s="228">
        <v>0.75</v>
      </c>
      <c r="AC110" s="229">
        <v>3.0000000000000001E-3</v>
      </c>
      <c r="AD110" s="228">
        <v>1.2</v>
      </c>
      <c r="AE110" s="228">
        <v>0.45</v>
      </c>
      <c r="AF110" s="228">
        <v>0.75</v>
      </c>
      <c r="AG110" s="229">
        <v>3.0000000000000001E-3</v>
      </c>
      <c r="AH110" s="228">
        <v>3.4</v>
      </c>
      <c r="AI110" s="228">
        <v>2.8</v>
      </c>
      <c r="AJ110" s="228">
        <v>0.6</v>
      </c>
      <c r="AK110" s="229">
        <v>8.3999999999999995E-3</v>
      </c>
      <c r="AL110" s="228">
        <v>5.55</v>
      </c>
      <c r="AM110" s="228">
        <v>4.7</v>
      </c>
      <c r="AN110" s="228">
        <v>0.85</v>
      </c>
      <c r="AO110" s="229">
        <v>1.37E-2</v>
      </c>
      <c r="AP110" s="228">
        <v>408.86</v>
      </c>
      <c r="AQ110" s="228">
        <v>410.76</v>
      </c>
      <c r="AR110" s="228">
        <v>0</v>
      </c>
      <c r="AS110" s="228">
        <v>860</v>
      </c>
      <c r="AT110" s="228">
        <v>480</v>
      </c>
      <c r="AU110" s="228">
        <v>379</v>
      </c>
      <c r="AV110" s="229">
        <v>0.78920000000000001</v>
      </c>
      <c r="AW110" s="228">
        <v>617</v>
      </c>
      <c r="AX110" s="228">
        <v>391</v>
      </c>
      <c r="AY110" s="228">
        <v>226</v>
      </c>
      <c r="AZ110" s="229">
        <v>0.57969999999999999</v>
      </c>
      <c r="BA110" s="228">
        <v>234</v>
      </c>
      <c r="BB110" s="228">
        <v>78</v>
      </c>
      <c r="BC110" s="228">
        <v>157</v>
      </c>
      <c r="BD110" s="229">
        <v>2.0167999999999999</v>
      </c>
      <c r="BE110" s="228">
        <v>8</v>
      </c>
      <c r="BF110" s="228">
        <v>12</v>
      </c>
      <c r="BG110" s="228">
        <v>-4</v>
      </c>
      <c r="BH110" s="229">
        <v>-0.32969999999999999</v>
      </c>
      <c r="BI110" s="230">
        <v>2114</v>
      </c>
      <c r="BJ110" s="230">
        <v>1978</v>
      </c>
      <c r="BK110" s="228">
        <v>136</v>
      </c>
      <c r="BL110" s="229">
        <v>6.88E-2</v>
      </c>
      <c r="BM110" s="230">
        <v>1136</v>
      </c>
      <c r="BN110" s="230">
        <v>1173</v>
      </c>
      <c r="BO110" s="228">
        <v>-37</v>
      </c>
      <c r="BP110" s="229">
        <v>-3.1899999999999998E-2</v>
      </c>
      <c r="BQ110" s="230">
        <v>4110</v>
      </c>
      <c r="BR110" s="230">
        <v>3632</v>
      </c>
      <c r="BS110" s="228">
        <v>478</v>
      </c>
      <c r="BT110" s="229">
        <v>0.13159999999999999</v>
      </c>
      <c r="BU110" s="230">
        <v>19485148</v>
      </c>
      <c r="BV110" s="230">
        <v>17578231</v>
      </c>
      <c r="BW110" s="230">
        <v>1906917</v>
      </c>
      <c r="BX110" s="229">
        <v>0.1085</v>
      </c>
      <c r="BY110" s="230">
        <v>4342</v>
      </c>
      <c r="BZ110" s="230">
        <v>4069</v>
      </c>
      <c r="CA110" s="228">
        <v>273</v>
      </c>
      <c r="CB110" s="229">
        <v>6.7000000000000004E-2</v>
      </c>
      <c r="CC110" s="230">
        <v>3643</v>
      </c>
      <c r="CD110" s="230">
        <v>3559</v>
      </c>
      <c r="CE110" s="228">
        <v>84</v>
      </c>
      <c r="CF110" s="229">
        <v>2.35E-2</v>
      </c>
      <c r="CG110" s="228">
        <v>597</v>
      </c>
      <c r="CH110" s="228">
        <v>412</v>
      </c>
      <c r="CI110" s="228">
        <v>185</v>
      </c>
      <c r="CJ110" s="229">
        <v>0.44819999999999999</v>
      </c>
      <c r="CK110" s="228">
        <v>102</v>
      </c>
      <c r="CL110" s="228">
        <v>97</v>
      </c>
      <c r="CM110" s="228">
        <v>4</v>
      </c>
      <c r="CN110" s="229">
        <v>4.3499999999999997E-2</v>
      </c>
      <c r="CO110" s="230">
        <v>2445</v>
      </c>
      <c r="CP110" s="230">
        <v>2380</v>
      </c>
      <c r="CQ110" s="228">
        <v>65</v>
      </c>
      <c r="CR110" s="229">
        <v>2.7199999999999998E-2</v>
      </c>
      <c r="CS110" s="230">
        <v>1310</v>
      </c>
      <c r="CT110" s="230">
        <v>1252</v>
      </c>
      <c r="CU110" s="228">
        <v>59</v>
      </c>
      <c r="CV110" s="229">
        <v>4.6899999999999997E-2</v>
      </c>
      <c r="CW110" s="230">
        <v>8097</v>
      </c>
      <c r="CX110" s="230">
        <v>7701</v>
      </c>
      <c r="CY110" s="228">
        <v>396</v>
      </c>
      <c r="CZ110" s="229">
        <v>5.1400000000000001E-2</v>
      </c>
      <c r="DA110" s="228">
        <v>17.52</v>
      </c>
      <c r="DB110" s="228">
        <v>15.94</v>
      </c>
      <c r="DC110" s="228">
        <v>1.58</v>
      </c>
      <c r="DD110" s="228">
        <v>1.58</v>
      </c>
      <c r="DE110" s="228">
        <v>20.170000000000002</v>
      </c>
      <c r="DF110" s="228">
        <v>20.2</v>
      </c>
      <c r="DG110" s="228">
        <v>-2.65</v>
      </c>
      <c r="DH110" s="228">
        <v>-0.03</v>
      </c>
      <c r="DI110" s="228">
        <v>17.79</v>
      </c>
      <c r="DJ110" s="228">
        <v>15.85</v>
      </c>
      <c r="DK110" s="228">
        <v>1.94</v>
      </c>
      <c r="DL110" s="228">
        <v>1.94</v>
      </c>
      <c r="DM110" s="228">
        <v>17.03</v>
      </c>
      <c r="DN110" s="228">
        <v>16.09</v>
      </c>
      <c r="DO110" s="228">
        <v>0.94</v>
      </c>
      <c r="DP110" s="228">
        <v>0.94</v>
      </c>
      <c r="DQ110" s="228">
        <v>0.54</v>
      </c>
      <c r="DR110" s="228">
        <v>0.53</v>
      </c>
      <c r="DS110" s="228">
        <v>0.01</v>
      </c>
      <c r="DT110" s="229">
        <v>1.89E-2</v>
      </c>
      <c r="DU110" s="228">
        <v>420</v>
      </c>
      <c r="DV110" s="228">
        <v>410</v>
      </c>
      <c r="DW110" s="228">
        <v>0.54</v>
      </c>
      <c r="DX110" s="228">
        <v>0.59</v>
      </c>
      <c r="DY110" s="228">
        <v>-0.05</v>
      </c>
      <c r="DZ110" s="229">
        <v>-8.4699999999999998E-2</v>
      </c>
      <c r="EA110" s="229">
        <v>0.161</v>
      </c>
      <c r="EB110" s="230">
        <v>12516800</v>
      </c>
      <c r="EC110" s="229">
        <v>5.4000000000000003E-3</v>
      </c>
      <c r="ED110" s="229">
        <v>0.161</v>
      </c>
      <c r="EE110" s="228">
        <v>1.9</v>
      </c>
      <c r="EF110" s="229">
        <v>4.5999999999999999E-3</v>
      </c>
      <c r="EG110" s="230">
        <v>15715348</v>
      </c>
      <c r="EH110" s="230">
        <v>13050452</v>
      </c>
      <c r="EI110" s="229">
        <v>0.20419999999999999</v>
      </c>
      <c r="EJ110" s="229">
        <v>0.80649999999999999</v>
      </c>
      <c r="EK110" s="231">
        <v>2176.75</v>
      </c>
      <c r="EL110" s="231">
        <v>1138.8900000000001</v>
      </c>
      <c r="EM110" s="228">
        <v>864.16</v>
      </c>
      <c r="EN110" s="228">
        <v>0</v>
      </c>
      <c r="EO110" s="231">
        <v>4179.8100000000004</v>
      </c>
      <c r="EP110" s="231">
        <v>3688.35</v>
      </c>
      <c r="EQ110" s="228">
        <v>491.46</v>
      </c>
      <c r="ER110" s="229">
        <v>0.13320000000000001</v>
      </c>
      <c r="ES110" s="231">
        <v>2546.5100000000002</v>
      </c>
      <c r="ET110" s="231">
        <v>1310.6300000000001</v>
      </c>
      <c r="EU110" s="231">
        <v>4345.8599999999997</v>
      </c>
      <c r="EV110" s="231">
        <v>2502825682</v>
      </c>
      <c r="EW110" s="231">
        <v>8203</v>
      </c>
      <c r="EX110" s="231">
        <v>7832.95</v>
      </c>
      <c r="EY110" s="228">
        <v>370.05</v>
      </c>
      <c r="EZ110" s="229">
        <v>4.7199999999999999E-2</v>
      </c>
      <c r="FA110" s="229">
        <v>7.9399999999999998E-2</v>
      </c>
      <c r="FB110" s="227" t="s">
        <v>567</v>
      </c>
      <c r="FC110">
        <f t="shared" si="1"/>
        <v>699</v>
      </c>
    </row>
    <row r="111" spans="1:159" ht="17.25" thickBot="1" x14ac:dyDescent="0.3">
      <c r="A111" s="226">
        <v>45889</v>
      </c>
      <c r="B111" s="227" t="s">
        <v>227</v>
      </c>
      <c r="C111" s="227" t="s">
        <v>243</v>
      </c>
      <c r="D111" s="228">
        <v>625</v>
      </c>
      <c r="E111" s="228">
        <v>8</v>
      </c>
      <c r="F111" s="231">
        <v>1014.8</v>
      </c>
      <c r="G111" s="231">
        <v>1006.4</v>
      </c>
      <c r="H111" s="228">
        <v>8.4</v>
      </c>
      <c r="I111" s="229">
        <v>8.3000000000000001E-3</v>
      </c>
      <c r="J111" s="231">
        <v>1016.25</v>
      </c>
      <c r="K111" s="231">
        <v>1005.25</v>
      </c>
      <c r="L111" s="228">
        <v>11</v>
      </c>
      <c r="M111" s="229">
        <v>1.09E-2</v>
      </c>
      <c r="N111" s="231">
        <v>1014.8</v>
      </c>
      <c r="O111" s="231">
        <v>1006.4</v>
      </c>
      <c r="P111" s="228">
        <v>8.4</v>
      </c>
      <c r="Q111" s="229">
        <v>8.3000000000000001E-3</v>
      </c>
      <c r="R111" s="231">
        <v>1020.85</v>
      </c>
      <c r="S111" s="231">
        <v>1011.95</v>
      </c>
      <c r="T111" s="228">
        <v>8.9</v>
      </c>
      <c r="U111" s="229">
        <v>8.8000000000000005E-3</v>
      </c>
      <c r="V111" s="231">
        <v>1025.55</v>
      </c>
      <c r="W111" s="231">
        <v>1017.4</v>
      </c>
      <c r="X111" s="228">
        <v>8.15</v>
      </c>
      <c r="Y111" s="229">
        <v>8.0000000000000002E-3</v>
      </c>
      <c r="Z111" s="228">
        <v>-1.45</v>
      </c>
      <c r="AA111" s="228">
        <v>1.1499999999999999</v>
      </c>
      <c r="AB111" s="228">
        <v>-2.6</v>
      </c>
      <c r="AC111" s="229">
        <v>-1.4E-3</v>
      </c>
      <c r="AD111" s="228">
        <v>-1.45</v>
      </c>
      <c r="AE111" s="228">
        <v>1.1499999999999999</v>
      </c>
      <c r="AF111" s="228">
        <v>-2.6</v>
      </c>
      <c r="AG111" s="229">
        <v>-1.4E-3</v>
      </c>
      <c r="AH111" s="228">
        <v>4.5999999999999996</v>
      </c>
      <c r="AI111" s="228">
        <v>6.7</v>
      </c>
      <c r="AJ111" s="228">
        <v>-2.1</v>
      </c>
      <c r="AK111" s="229">
        <v>4.4999999999999997E-3</v>
      </c>
      <c r="AL111" s="228">
        <v>9.3000000000000007</v>
      </c>
      <c r="AM111" s="228">
        <v>12.15</v>
      </c>
      <c r="AN111" s="228">
        <v>-2.85</v>
      </c>
      <c r="AO111" s="229">
        <v>9.1999999999999998E-3</v>
      </c>
      <c r="AP111" s="231">
        <v>1015.05</v>
      </c>
      <c r="AQ111" s="231">
        <v>1022.52</v>
      </c>
      <c r="AR111" s="228">
        <v>0</v>
      </c>
      <c r="AS111" s="228">
        <v>443</v>
      </c>
      <c r="AT111" s="228">
        <v>279</v>
      </c>
      <c r="AU111" s="228">
        <v>164</v>
      </c>
      <c r="AV111" s="229">
        <v>0.58850000000000002</v>
      </c>
      <c r="AW111" s="228">
        <v>301</v>
      </c>
      <c r="AX111" s="228">
        <v>223</v>
      </c>
      <c r="AY111" s="228">
        <v>78</v>
      </c>
      <c r="AZ111" s="229">
        <v>0.34870000000000001</v>
      </c>
      <c r="BA111" s="228">
        <v>140</v>
      </c>
      <c r="BB111" s="228">
        <v>54</v>
      </c>
      <c r="BC111" s="228">
        <v>86</v>
      </c>
      <c r="BD111" s="229">
        <v>1.5906</v>
      </c>
      <c r="BE111" s="228">
        <v>2</v>
      </c>
      <c r="BF111" s="228">
        <v>1</v>
      </c>
      <c r="BG111" s="228">
        <v>0</v>
      </c>
      <c r="BH111" s="229">
        <v>0.2727</v>
      </c>
      <c r="BI111" s="228">
        <v>829</v>
      </c>
      <c r="BJ111" s="228">
        <v>655</v>
      </c>
      <c r="BK111" s="228">
        <v>175</v>
      </c>
      <c r="BL111" s="229">
        <v>0.26679999999999998</v>
      </c>
      <c r="BM111" s="228">
        <v>359</v>
      </c>
      <c r="BN111" s="228">
        <v>299</v>
      </c>
      <c r="BO111" s="228">
        <v>61</v>
      </c>
      <c r="BP111" s="229">
        <v>0.2029</v>
      </c>
      <c r="BQ111" s="230">
        <v>1632</v>
      </c>
      <c r="BR111" s="230">
        <v>1232</v>
      </c>
      <c r="BS111" s="228">
        <v>399</v>
      </c>
      <c r="BT111" s="229">
        <v>0.3241</v>
      </c>
      <c r="BU111" s="230">
        <v>1614870</v>
      </c>
      <c r="BV111" s="230">
        <v>1150289</v>
      </c>
      <c r="BW111" s="230">
        <v>464581</v>
      </c>
      <c r="BX111" s="229">
        <v>0.40389999999999998</v>
      </c>
      <c r="BY111" s="230">
        <v>1382</v>
      </c>
      <c r="BZ111" s="230">
        <v>1352</v>
      </c>
      <c r="CA111" s="228">
        <v>29</v>
      </c>
      <c r="CB111" s="229">
        <v>2.1700000000000001E-2</v>
      </c>
      <c r="CC111" s="230">
        <v>1190</v>
      </c>
      <c r="CD111" s="230">
        <v>1270</v>
      </c>
      <c r="CE111" s="228">
        <v>-80</v>
      </c>
      <c r="CF111" s="229">
        <v>-6.3100000000000003E-2</v>
      </c>
      <c r="CG111" s="228">
        <v>187</v>
      </c>
      <c r="CH111" s="228">
        <v>78</v>
      </c>
      <c r="CI111" s="228">
        <v>109</v>
      </c>
      <c r="CJ111" s="229">
        <v>1.4016</v>
      </c>
      <c r="CK111" s="228">
        <v>5</v>
      </c>
      <c r="CL111" s="228">
        <v>5</v>
      </c>
      <c r="CM111" s="228">
        <v>0</v>
      </c>
      <c r="CN111" s="229">
        <v>1.35E-2</v>
      </c>
      <c r="CO111" s="228">
        <v>447</v>
      </c>
      <c r="CP111" s="228">
        <v>475</v>
      </c>
      <c r="CQ111" s="228">
        <v>-28</v>
      </c>
      <c r="CR111" s="229">
        <v>-5.8999999999999997E-2</v>
      </c>
      <c r="CS111" s="228">
        <v>371</v>
      </c>
      <c r="CT111" s="228">
        <v>375</v>
      </c>
      <c r="CU111" s="228">
        <v>-5</v>
      </c>
      <c r="CV111" s="229">
        <v>-1.2699999999999999E-2</v>
      </c>
      <c r="CW111" s="230">
        <v>2200</v>
      </c>
      <c r="CX111" s="230">
        <v>2203</v>
      </c>
      <c r="CY111" s="228">
        <v>-3</v>
      </c>
      <c r="CZ111" s="229">
        <v>-1.6000000000000001E-3</v>
      </c>
      <c r="DA111" s="228">
        <v>23.48</v>
      </c>
      <c r="DB111" s="228">
        <v>25.35</v>
      </c>
      <c r="DC111" s="228">
        <v>-1.87</v>
      </c>
      <c r="DD111" s="228">
        <v>-1.87</v>
      </c>
      <c r="DE111" s="228">
        <v>37.22</v>
      </c>
      <c r="DF111" s="228">
        <v>37.29</v>
      </c>
      <c r="DG111" s="228">
        <v>-13.74</v>
      </c>
      <c r="DH111" s="228">
        <v>-7.0000000000000007E-2</v>
      </c>
      <c r="DI111" s="228">
        <v>23.05</v>
      </c>
      <c r="DJ111" s="228">
        <v>24.69</v>
      </c>
      <c r="DK111" s="228">
        <v>-1.64</v>
      </c>
      <c r="DL111" s="228">
        <v>-1.64</v>
      </c>
      <c r="DM111" s="228">
        <v>24.47</v>
      </c>
      <c r="DN111" s="228">
        <v>26.79</v>
      </c>
      <c r="DO111" s="228">
        <v>-2.3199999999999998</v>
      </c>
      <c r="DP111" s="228">
        <v>-2.3199999999999998</v>
      </c>
      <c r="DQ111" s="228">
        <v>0.83</v>
      </c>
      <c r="DR111" s="228">
        <v>0.79</v>
      </c>
      <c r="DS111" s="228">
        <v>0.04</v>
      </c>
      <c r="DT111" s="229">
        <v>5.0599999999999999E-2</v>
      </c>
      <c r="DU111" s="231">
        <v>1000</v>
      </c>
      <c r="DV111" s="228">
        <v>950</v>
      </c>
      <c r="DW111" s="228">
        <v>0.43</v>
      </c>
      <c r="DX111" s="228">
        <v>0.46</v>
      </c>
      <c r="DY111" s="228">
        <v>-0.03</v>
      </c>
      <c r="DZ111" s="229">
        <v>-6.5199999999999994E-2</v>
      </c>
      <c r="EA111" s="229">
        <v>0.13900000000000001</v>
      </c>
      <c r="EB111" s="230">
        <v>815000</v>
      </c>
      <c r="EC111" s="229">
        <v>6.0000000000000001E-3</v>
      </c>
      <c r="ED111" s="229">
        <v>0.13900000000000001</v>
      </c>
      <c r="EE111" s="228">
        <v>7.47</v>
      </c>
      <c r="EF111" s="229">
        <v>7.4000000000000003E-3</v>
      </c>
      <c r="EG111" s="230">
        <v>594984</v>
      </c>
      <c r="EH111" s="230">
        <v>559758</v>
      </c>
      <c r="EI111" s="229">
        <v>6.2899999999999998E-2</v>
      </c>
      <c r="EJ111" s="229">
        <v>0.36840000000000001</v>
      </c>
      <c r="EK111" s="228">
        <v>848.23</v>
      </c>
      <c r="EL111" s="228">
        <v>352.39</v>
      </c>
      <c r="EM111" s="228">
        <v>443.86</v>
      </c>
      <c r="EN111" s="228">
        <v>0</v>
      </c>
      <c r="EO111" s="231">
        <v>1644.48</v>
      </c>
      <c r="EP111" s="231">
        <v>1228.01</v>
      </c>
      <c r="EQ111" s="228">
        <v>416.47</v>
      </c>
      <c r="ER111" s="229">
        <v>0.33910000000000001</v>
      </c>
      <c r="ES111" s="228">
        <v>457.52</v>
      </c>
      <c r="ET111" s="228">
        <v>349.08</v>
      </c>
      <c r="EU111" s="231">
        <v>1382.88</v>
      </c>
      <c r="EV111" s="231">
        <v>76274904</v>
      </c>
      <c r="EW111" s="231">
        <v>2189.4699999999998</v>
      </c>
      <c r="EX111" s="231">
        <v>2178.41</v>
      </c>
      <c r="EY111" s="228">
        <v>11.06</v>
      </c>
      <c r="EZ111" s="229">
        <v>5.1000000000000004E-3</v>
      </c>
      <c r="FA111" s="229">
        <v>0.28420000000000001</v>
      </c>
      <c r="FB111" s="227" t="s">
        <v>555</v>
      </c>
      <c r="FC111">
        <f t="shared" si="1"/>
        <v>192</v>
      </c>
    </row>
    <row r="112" spans="1:159" ht="17.25" thickBot="1" x14ac:dyDescent="0.3">
      <c r="A112" s="226">
        <v>45889</v>
      </c>
      <c r="B112" s="227" t="s">
        <v>175</v>
      </c>
      <c r="C112" s="227" t="s">
        <v>571</v>
      </c>
      <c r="D112" s="228">
        <v>2350</v>
      </c>
      <c r="E112" s="228">
        <v>8</v>
      </c>
      <c r="F112" s="228">
        <v>329.05</v>
      </c>
      <c r="G112" s="228">
        <v>332.4</v>
      </c>
      <c r="H112" s="228">
        <v>-3.35</v>
      </c>
      <c r="I112" s="229">
        <v>-1.01E-2</v>
      </c>
      <c r="J112" s="228">
        <v>328.45</v>
      </c>
      <c r="K112" s="228">
        <v>331.3</v>
      </c>
      <c r="L112" s="228">
        <v>-2.85</v>
      </c>
      <c r="M112" s="229">
        <v>-8.6E-3</v>
      </c>
      <c r="N112" s="228">
        <v>329.05</v>
      </c>
      <c r="O112" s="228">
        <v>332.4</v>
      </c>
      <c r="P112" s="228">
        <v>-3.35</v>
      </c>
      <c r="Q112" s="229">
        <v>-1.01E-2</v>
      </c>
      <c r="R112" s="228">
        <v>331.1</v>
      </c>
      <c r="S112" s="228">
        <v>334.25</v>
      </c>
      <c r="T112" s="228">
        <v>-3.15</v>
      </c>
      <c r="U112" s="229">
        <v>-9.4000000000000004E-3</v>
      </c>
      <c r="V112" s="228">
        <v>332.55</v>
      </c>
      <c r="W112" s="228">
        <v>335.8</v>
      </c>
      <c r="X112" s="228">
        <v>-3.25</v>
      </c>
      <c r="Y112" s="229">
        <v>-9.7000000000000003E-3</v>
      </c>
      <c r="Z112" s="228">
        <v>0.6</v>
      </c>
      <c r="AA112" s="228">
        <v>1.1000000000000001</v>
      </c>
      <c r="AB112" s="228">
        <v>-0.5</v>
      </c>
      <c r="AC112" s="229">
        <v>1.8E-3</v>
      </c>
      <c r="AD112" s="228">
        <v>0.6</v>
      </c>
      <c r="AE112" s="228">
        <v>1.1000000000000001</v>
      </c>
      <c r="AF112" s="228">
        <v>-0.5</v>
      </c>
      <c r="AG112" s="229">
        <v>1.8E-3</v>
      </c>
      <c r="AH112" s="228">
        <v>2.65</v>
      </c>
      <c r="AI112" s="228">
        <v>2.95</v>
      </c>
      <c r="AJ112" s="228">
        <v>-0.3</v>
      </c>
      <c r="AK112" s="229">
        <v>8.0999999999999996E-3</v>
      </c>
      <c r="AL112" s="228">
        <v>4.0999999999999996</v>
      </c>
      <c r="AM112" s="228">
        <v>4.5</v>
      </c>
      <c r="AN112" s="228">
        <v>-0.4</v>
      </c>
      <c r="AO112" s="229">
        <v>1.2500000000000001E-2</v>
      </c>
      <c r="AP112" s="228">
        <v>329.42</v>
      </c>
      <c r="AQ112" s="228">
        <v>331.44</v>
      </c>
      <c r="AR112" s="228">
        <v>0</v>
      </c>
      <c r="AS112" s="228">
        <v>572</v>
      </c>
      <c r="AT112" s="228">
        <v>521</v>
      </c>
      <c r="AU112" s="228">
        <v>52</v>
      </c>
      <c r="AV112" s="229">
        <v>9.9199999999999997E-2</v>
      </c>
      <c r="AW112" s="228">
        <v>377</v>
      </c>
      <c r="AX112" s="228">
        <v>377</v>
      </c>
      <c r="AY112" s="228">
        <v>0</v>
      </c>
      <c r="AZ112" s="229">
        <v>1.1999999999999999E-3</v>
      </c>
      <c r="BA112" s="228">
        <v>181</v>
      </c>
      <c r="BB112" s="228">
        <v>127</v>
      </c>
      <c r="BC112" s="228">
        <v>54</v>
      </c>
      <c r="BD112" s="229">
        <v>0.42099999999999999</v>
      </c>
      <c r="BE112" s="228">
        <v>15</v>
      </c>
      <c r="BF112" s="228">
        <v>17</v>
      </c>
      <c r="BG112" s="228">
        <v>-2</v>
      </c>
      <c r="BH112" s="229">
        <v>-0.1409</v>
      </c>
      <c r="BI112" s="230">
        <v>1649</v>
      </c>
      <c r="BJ112" s="230">
        <v>1720</v>
      </c>
      <c r="BK112" s="228">
        <v>-71</v>
      </c>
      <c r="BL112" s="229">
        <v>-4.1200000000000001E-2</v>
      </c>
      <c r="BM112" s="228">
        <v>889</v>
      </c>
      <c r="BN112" s="228">
        <v>949</v>
      </c>
      <c r="BO112" s="228">
        <v>-60</v>
      </c>
      <c r="BP112" s="229">
        <v>-6.3399999999999998E-2</v>
      </c>
      <c r="BQ112" s="230">
        <v>3111</v>
      </c>
      <c r="BR112" s="230">
        <v>3190</v>
      </c>
      <c r="BS112" s="228">
        <v>-79</v>
      </c>
      <c r="BT112" s="229">
        <v>-2.4899999999999999E-2</v>
      </c>
      <c r="BU112" s="230">
        <v>9769108</v>
      </c>
      <c r="BV112" s="230">
        <v>9962768</v>
      </c>
      <c r="BW112" s="230">
        <v>-193660</v>
      </c>
      <c r="BX112" s="229">
        <v>-1.9400000000000001E-2</v>
      </c>
      <c r="BY112" s="230">
        <v>3817</v>
      </c>
      <c r="BZ112" s="230">
        <v>3738</v>
      </c>
      <c r="CA112" s="228">
        <v>79</v>
      </c>
      <c r="CB112" s="229">
        <v>2.1100000000000001E-2</v>
      </c>
      <c r="CC112" s="230">
        <v>3280</v>
      </c>
      <c r="CD112" s="230">
        <v>3332</v>
      </c>
      <c r="CE112" s="228">
        <v>-51</v>
      </c>
      <c r="CF112" s="229">
        <v>-1.54E-2</v>
      </c>
      <c r="CG112" s="228">
        <v>451</v>
      </c>
      <c r="CH112" s="228">
        <v>326</v>
      </c>
      <c r="CI112" s="228">
        <v>126</v>
      </c>
      <c r="CJ112" s="229">
        <v>0.38650000000000001</v>
      </c>
      <c r="CK112" s="228">
        <v>85</v>
      </c>
      <c r="CL112" s="228">
        <v>81</v>
      </c>
      <c r="CM112" s="228">
        <v>4</v>
      </c>
      <c r="CN112" s="229">
        <v>5.45E-2</v>
      </c>
      <c r="CO112" s="230">
        <v>1948</v>
      </c>
      <c r="CP112" s="230">
        <v>1829</v>
      </c>
      <c r="CQ112" s="228">
        <v>119</v>
      </c>
      <c r="CR112" s="229">
        <v>6.5100000000000005E-2</v>
      </c>
      <c r="CS112" s="230">
        <v>1369</v>
      </c>
      <c r="CT112" s="230">
        <v>1401</v>
      </c>
      <c r="CU112" s="228">
        <v>-33</v>
      </c>
      <c r="CV112" s="229">
        <v>-2.3300000000000001E-2</v>
      </c>
      <c r="CW112" s="230">
        <v>7133</v>
      </c>
      <c r="CX112" s="230">
        <v>6968</v>
      </c>
      <c r="CY112" s="228">
        <v>165</v>
      </c>
      <c r="CZ112" s="229">
        <v>2.3699999999999999E-2</v>
      </c>
      <c r="DA112" s="228">
        <v>28.45</v>
      </c>
      <c r="DB112" s="228">
        <v>27.84</v>
      </c>
      <c r="DC112" s="228">
        <v>0.61</v>
      </c>
      <c r="DD112" s="228">
        <v>0.61</v>
      </c>
      <c r="DE112" s="228">
        <v>38.590000000000003</v>
      </c>
      <c r="DF112" s="228">
        <v>38.659999999999997</v>
      </c>
      <c r="DG112" s="228">
        <v>-10.14</v>
      </c>
      <c r="DH112" s="228">
        <v>-7.0000000000000007E-2</v>
      </c>
      <c r="DI112" s="228">
        <v>28.51</v>
      </c>
      <c r="DJ112" s="228">
        <v>27.57</v>
      </c>
      <c r="DK112" s="228">
        <v>0.94</v>
      </c>
      <c r="DL112" s="228">
        <v>0.94</v>
      </c>
      <c r="DM112" s="228">
        <v>28.34</v>
      </c>
      <c r="DN112" s="228">
        <v>28.33</v>
      </c>
      <c r="DO112" s="228">
        <v>0.01</v>
      </c>
      <c r="DP112" s="228">
        <v>0.01</v>
      </c>
      <c r="DQ112" s="228">
        <v>0.7</v>
      </c>
      <c r="DR112" s="228">
        <v>0.77</v>
      </c>
      <c r="DS112" s="228">
        <v>-7.0000000000000007E-2</v>
      </c>
      <c r="DT112" s="229">
        <v>-9.0899999999999995E-2</v>
      </c>
      <c r="DU112" s="228">
        <v>350</v>
      </c>
      <c r="DV112" s="228">
        <v>330</v>
      </c>
      <c r="DW112" s="228">
        <v>0.54</v>
      </c>
      <c r="DX112" s="228">
        <v>0.55000000000000004</v>
      </c>
      <c r="DY112" s="228">
        <v>-0.01</v>
      </c>
      <c r="DZ112" s="229">
        <v>-1.8200000000000001E-2</v>
      </c>
      <c r="EA112" s="229">
        <v>0.1406</v>
      </c>
      <c r="EB112" s="230">
        <v>12351600</v>
      </c>
      <c r="EC112" s="229">
        <v>6.1999999999999998E-3</v>
      </c>
      <c r="ED112" s="229">
        <v>0.1406</v>
      </c>
      <c r="EE112" s="228">
        <v>2.02</v>
      </c>
      <c r="EF112" s="229">
        <v>6.1000000000000004E-3</v>
      </c>
      <c r="EG112" s="230">
        <v>4385658</v>
      </c>
      <c r="EH112" s="230">
        <v>4802962</v>
      </c>
      <c r="EI112" s="229">
        <v>-8.6900000000000005E-2</v>
      </c>
      <c r="EJ112" s="229">
        <v>0.44890000000000002</v>
      </c>
      <c r="EK112" s="231">
        <v>1713.08</v>
      </c>
      <c r="EL112" s="228">
        <v>881.76</v>
      </c>
      <c r="EM112" s="228">
        <v>574.35</v>
      </c>
      <c r="EN112" s="228">
        <v>0</v>
      </c>
      <c r="EO112" s="231">
        <v>3169.19</v>
      </c>
      <c r="EP112" s="231">
        <v>3267.85</v>
      </c>
      <c r="EQ112" s="228">
        <v>-98.66</v>
      </c>
      <c r="ER112" s="229">
        <v>-3.0200000000000001E-2</v>
      </c>
      <c r="ES112" s="231">
        <v>2022.4</v>
      </c>
      <c r="ET112" s="231">
        <v>1318.61</v>
      </c>
      <c r="EU112" s="231">
        <v>3820.8</v>
      </c>
      <c r="EV112" s="231">
        <v>671850851</v>
      </c>
      <c r="EW112" s="231">
        <v>7161.81</v>
      </c>
      <c r="EX112" s="231">
        <v>7028.29</v>
      </c>
      <c r="EY112" s="228">
        <v>133.52000000000001</v>
      </c>
      <c r="EZ112" s="229">
        <v>1.9E-2</v>
      </c>
      <c r="FA112" s="229">
        <v>0.32269999999999999</v>
      </c>
      <c r="FB112" s="227" t="s">
        <v>567</v>
      </c>
      <c r="FC112">
        <f t="shared" si="1"/>
        <v>537</v>
      </c>
    </row>
    <row r="113" spans="1:159" ht="17.25" thickBot="1" x14ac:dyDescent="0.3">
      <c r="A113" s="226">
        <v>45889</v>
      </c>
      <c r="B113" s="227" t="s">
        <v>227</v>
      </c>
      <c r="C113" s="227" t="s">
        <v>582</v>
      </c>
      <c r="D113" s="228">
        <v>850</v>
      </c>
      <c r="E113" s="228">
        <v>8</v>
      </c>
      <c r="F113" s="228">
        <v>765.1</v>
      </c>
      <c r="G113" s="228">
        <v>757.8</v>
      </c>
      <c r="H113" s="228">
        <v>7.3</v>
      </c>
      <c r="I113" s="229">
        <v>9.5999999999999992E-3</v>
      </c>
      <c r="J113" s="228">
        <v>765.05</v>
      </c>
      <c r="K113" s="228">
        <v>757.9</v>
      </c>
      <c r="L113" s="228">
        <v>7.15</v>
      </c>
      <c r="M113" s="229">
        <v>9.4000000000000004E-3</v>
      </c>
      <c r="N113" s="228">
        <v>765.1</v>
      </c>
      <c r="O113" s="228">
        <v>757.8</v>
      </c>
      <c r="P113" s="228">
        <v>7.3</v>
      </c>
      <c r="Q113" s="229">
        <v>9.5999999999999992E-3</v>
      </c>
      <c r="R113" s="228">
        <v>0</v>
      </c>
      <c r="S113" s="228">
        <v>0</v>
      </c>
      <c r="T113" s="228">
        <v>0</v>
      </c>
      <c r="U113" s="229">
        <v>0</v>
      </c>
      <c r="V113" s="228">
        <v>0</v>
      </c>
      <c r="W113" s="228">
        <v>0</v>
      </c>
      <c r="X113" s="228">
        <v>0</v>
      </c>
      <c r="Y113" s="229">
        <v>0</v>
      </c>
      <c r="Z113" s="228">
        <v>0.05</v>
      </c>
      <c r="AA113" s="228">
        <v>-0.1</v>
      </c>
      <c r="AB113" s="228">
        <v>0.15</v>
      </c>
      <c r="AC113" s="229">
        <v>1E-4</v>
      </c>
      <c r="AD113" s="228">
        <v>0.05</v>
      </c>
      <c r="AE113" s="228">
        <v>-0.1</v>
      </c>
      <c r="AF113" s="228">
        <v>0.15</v>
      </c>
      <c r="AG113" s="229">
        <v>1E-4</v>
      </c>
      <c r="AH113" s="228">
        <v>0</v>
      </c>
      <c r="AI113" s="228">
        <v>0</v>
      </c>
      <c r="AJ113" s="228">
        <v>0</v>
      </c>
      <c r="AK113" s="229">
        <v>0</v>
      </c>
      <c r="AL113" s="228">
        <v>0</v>
      </c>
      <c r="AM113" s="228">
        <v>0</v>
      </c>
      <c r="AN113" s="228">
        <v>0</v>
      </c>
      <c r="AO113" s="229">
        <v>0</v>
      </c>
      <c r="AP113" s="228">
        <v>768.63</v>
      </c>
      <c r="AQ113" s="228">
        <v>0</v>
      </c>
      <c r="AR113" s="228">
        <v>0</v>
      </c>
      <c r="AS113" s="228">
        <v>77</v>
      </c>
      <c r="AT113" s="228">
        <v>78</v>
      </c>
      <c r="AU113" s="228">
        <v>-1</v>
      </c>
      <c r="AV113" s="229">
        <v>-9.1999999999999998E-3</v>
      </c>
      <c r="AW113" s="228">
        <v>77</v>
      </c>
      <c r="AX113" s="228">
        <v>78</v>
      </c>
      <c r="AY113" s="228">
        <v>-1</v>
      </c>
      <c r="AZ113" s="229">
        <v>-9.1999999999999998E-3</v>
      </c>
      <c r="BA113" s="228">
        <v>0</v>
      </c>
      <c r="BB113" s="228">
        <v>0</v>
      </c>
      <c r="BC113" s="228">
        <v>0</v>
      </c>
      <c r="BD113" s="229">
        <v>0</v>
      </c>
      <c r="BE113" s="228">
        <v>0</v>
      </c>
      <c r="BF113" s="228">
        <v>0</v>
      </c>
      <c r="BG113" s="228">
        <v>0</v>
      </c>
      <c r="BH113" s="229">
        <v>0</v>
      </c>
      <c r="BI113" s="228">
        <v>248</v>
      </c>
      <c r="BJ113" s="228">
        <v>281</v>
      </c>
      <c r="BK113" s="228">
        <v>-33</v>
      </c>
      <c r="BL113" s="229">
        <v>-0.1181</v>
      </c>
      <c r="BM113" s="228">
        <v>135</v>
      </c>
      <c r="BN113" s="228">
        <v>96</v>
      </c>
      <c r="BO113" s="228">
        <v>40</v>
      </c>
      <c r="BP113" s="229">
        <v>0.41370000000000001</v>
      </c>
      <c r="BQ113" s="228">
        <v>460</v>
      </c>
      <c r="BR113" s="228">
        <v>454</v>
      </c>
      <c r="BS113" s="228">
        <v>6</v>
      </c>
      <c r="BT113" s="229">
        <v>1.26E-2</v>
      </c>
      <c r="BU113" s="230">
        <v>819803</v>
      </c>
      <c r="BV113" s="230">
        <v>780415</v>
      </c>
      <c r="BW113" s="230">
        <v>39388</v>
      </c>
      <c r="BX113" s="229">
        <v>5.0500000000000003E-2</v>
      </c>
      <c r="BY113" s="228">
        <v>289</v>
      </c>
      <c r="BZ113" s="228">
        <v>308</v>
      </c>
      <c r="CA113" s="228">
        <v>-20</v>
      </c>
      <c r="CB113" s="229">
        <v>-6.3299999999999995E-2</v>
      </c>
      <c r="CC113" s="228">
        <v>289</v>
      </c>
      <c r="CD113" s="228">
        <v>308</v>
      </c>
      <c r="CE113" s="228">
        <v>-20</v>
      </c>
      <c r="CF113" s="229">
        <v>-6.3299999999999995E-2</v>
      </c>
      <c r="CG113" s="228">
        <v>0</v>
      </c>
      <c r="CH113" s="228">
        <v>0</v>
      </c>
      <c r="CI113" s="228">
        <v>0</v>
      </c>
      <c r="CJ113" s="229">
        <v>0</v>
      </c>
      <c r="CK113" s="228">
        <v>0</v>
      </c>
      <c r="CL113" s="228">
        <v>0</v>
      </c>
      <c r="CM113" s="228">
        <v>0</v>
      </c>
      <c r="CN113" s="229">
        <v>0</v>
      </c>
      <c r="CO113" s="228">
        <v>158</v>
      </c>
      <c r="CP113" s="228">
        <v>163</v>
      </c>
      <c r="CQ113" s="228">
        <v>-5</v>
      </c>
      <c r="CR113" s="229">
        <v>-3.3000000000000002E-2</v>
      </c>
      <c r="CS113" s="228">
        <v>124</v>
      </c>
      <c r="CT113" s="228">
        <v>111</v>
      </c>
      <c r="CU113" s="228">
        <v>13</v>
      </c>
      <c r="CV113" s="229">
        <v>0.1216</v>
      </c>
      <c r="CW113" s="228">
        <v>571</v>
      </c>
      <c r="CX113" s="228">
        <v>582</v>
      </c>
      <c r="CY113" s="228">
        <v>-11</v>
      </c>
      <c r="CZ113" s="229">
        <v>-1.9699999999999999E-2</v>
      </c>
      <c r="DA113" s="228">
        <v>28.72</v>
      </c>
      <c r="DB113" s="228">
        <v>28.77</v>
      </c>
      <c r="DC113" s="228">
        <v>-0.05</v>
      </c>
      <c r="DD113" s="228">
        <v>-0.05</v>
      </c>
      <c r="DE113" s="228">
        <v>44.91</v>
      </c>
      <c r="DF113" s="228">
        <v>45</v>
      </c>
      <c r="DG113" s="228">
        <v>-16.190000000000001</v>
      </c>
      <c r="DH113" s="228">
        <v>-0.09</v>
      </c>
      <c r="DI113" s="228">
        <v>28.47</v>
      </c>
      <c r="DJ113" s="228">
        <v>27.87</v>
      </c>
      <c r="DK113" s="228">
        <v>0.6</v>
      </c>
      <c r="DL113" s="228">
        <v>0.6</v>
      </c>
      <c r="DM113" s="228">
        <v>29.16</v>
      </c>
      <c r="DN113" s="228">
        <v>31.42</v>
      </c>
      <c r="DO113" s="228">
        <v>-2.2599999999999998</v>
      </c>
      <c r="DP113" s="228">
        <v>-2.2599999999999998</v>
      </c>
      <c r="DQ113" s="228">
        <v>0.79</v>
      </c>
      <c r="DR113" s="228">
        <v>0.68</v>
      </c>
      <c r="DS113" s="228">
        <v>0.11</v>
      </c>
      <c r="DT113" s="229">
        <v>0.1618</v>
      </c>
      <c r="DU113" s="228">
        <v>800</v>
      </c>
      <c r="DV113" s="228">
        <v>740</v>
      </c>
      <c r="DW113" s="228">
        <v>0.55000000000000004</v>
      </c>
      <c r="DX113" s="228">
        <v>0.34</v>
      </c>
      <c r="DY113" s="228">
        <v>0.21</v>
      </c>
      <c r="DZ113" s="229">
        <v>0.61760000000000004</v>
      </c>
      <c r="EA113" s="229">
        <v>0</v>
      </c>
      <c r="EB113" s="228">
        <v>0</v>
      </c>
      <c r="EC113" s="229">
        <v>0</v>
      </c>
      <c r="ED113" s="229">
        <v>0</v>
      </c>
      <c r="EE113" s="228">
        <v>0</v>
      </c>
      <c r="EF113" s="229">
        <v>0</v>
      </c>
      <c r="EG113" s="230">
        <v>364016</v>
      </c>
      <c r="EH113" s="230">
        <v>266709</v>
      </c>
      <c r="EI113" s="229">
        <v>0.36480000000000001</v>
      </c>
      <c r="EJ113" s="229">
        <v>0.44400000000000001</v>
      </c>
      <c r="EK113" s="228">
        <v>256.04000000000002</v>
      </c>
      <c r="EL113" s="228">
        <v>132.43</v>
      </c>
      <c r="EM113" s="228">
        <v>77.16</v>
      </c>
      <c r="EN113" s="228">
        <v>0</v>
      </c>
      <c r="EO113" s="228">
        <v>465.62</v>
      </c>
      <c r="EP113" s="228">
        <v>454.47</v>
      </c>
      <c r="EQ113" s="228">
        <v>11.16</v>
      </c>
      <c r="ER113" s="229">
        <v>2.4500000000000001E-2</v>
      </c>
      <c r="ES113" s="228">
        <v>156.57</v>
      </c>
      <c r="ET113" s="228">
        <v>115.55</v>
      </c>
      <c r="EU113" s="228">
        <v>288.75</v>
      </c>
      <c r="EV113" s="231">
        <v>64072344</v>
      </c>
      <c r="EW113" s="228">
        <v>560.88</v>
      </c>
      <c r="EX113" s="228">
        <v>568.62</v>
      </c>
      <c r="EY113" s="228">
        <v>-7.74</v>
      </c>
      <c r="EZ113" s="229">
        <v>-1.3599999999999999E-2</v>
      </c>
      <c r="FA113" s="229">
        <v>0.11650000000000001</v>
      </c>
      <c r="FB113" s="227" t="s">
        <v>556</v>
      </c>
      <c r="FC113">
        <f t="shared" si="1"/>
        <v>0</v>
      </c>
    </row>
    <row r="114" spans="1:159" ht="17.25" thickBot="1" x14ac:dyDescent="0.3">
      <c r="A114" s="226">
        <v>45889</v>
      </c>
      <c r="B114" s="227" t="s">
        <v>161</v>
      </c>
      <c r="C114" s="227" t="s">
        <v>581</v>
      </c>
      <c r="D114" s="228">
        <v>1000</v>
      </c>
      <c r="E114" s="228">
        <v>8</v>
      </c>
      <c r="F114" s="228">
        <v>533.4</v>
      </c>
      <c r="G114" s="228">
        <v>535.20000000000005</v>
      </c>
      <c r="H114" s="228">
        <v>-1.8</v>
      </c>
      <c r="I114" s="229">
        <v>-3.3999999999999998E-3</v>
      </c>
      <c r="J114" s="228">
        <v>531.75</v>
      </c>
      <c r="K114" s="228">
        <v>533.29999999999995</v>
      </c>
      <c r="L114" s="228">
        <v>-1.55</v>
      </c>
      <c r="M114" s="229">
        <v>-2.8999999999999998E-3</v>
      </c>
      <c r="N114" s="228">
        <v>533.4</v>
      </c>
      <c r="O114" s="228">
        <v>535.20000000000005</v>
      </c>
      <c r="P114" s="228">
        <v>-1.8</v>
      </c>
      <c r="Q114" s="229">
        <v>-3.3999999999999998E-3</v>
      </c>
      <c r="R114" s="228">
        <v>536.35</v>
      </c>
      <c r="S114" s="228">
        <v>538.04999999999995</v>
      </c>
      <c r="T114" s="228">
        <v>-1.7</v>
      </c>
      <c r="U114" s="229">
        <v>-3.2000000000000002E-3</v>
      </c>
      <c r="V114" s="228">
        <v>539.15</v>
      </c>
      <c r="W114" s="228">
        <v>541.1</v>
      </c>
      <c r="X114" s="228">
        <v>-1.95</v>
      </c>
      <c r="Y114" s="229">
        <v>-3.5999999999999999E-3</v>
      </c>
      <c r="Z114" s="228">
        <v>1.65</v>
      </c>
      <c r="AA114" s="228">
        <v>1.9</v>
      </c>
      <c r="AB114" s="228">
        <v>-0.25</v>
      </c>
      <c r="AC114" s="229">
        <v>3.0999999999999999E-3</v>
      </c>
      <c r="AD114" s="228">
        <v>1.65</v>
      </c>
      <c r="AE114" s="228">
        <v>1.9</v>
      </c>
      <c r="AF114" s="228">
        <v>-0.25</v>
      </c>
      <c r="AG114" s="229">
        <v>3.0999999999999999E-3</v>
      </c>
      <c r="AH114" s="228">
        <v>4.5999999999999996</v>
      </c>
      <c r="AI114" s="228">
        <v>4.75</v>
      </c>
      <c r="AJ114" s="228">
        <v>-0.15</v>
      </c>
      <c r="AK114" s="229">
        <v>8.6999999999999994E-3</v>
      </c>
      <c r="AL114" s="228">
        <v>7.4</v>
      </c>
      <c r="AM114" s="228">
        <v>7.8</v>
      </c>
      <c r="AN114" s="228">
        <v>-0.4</v>
      </c>
      <c r="AO114" s="229">
        <v>1.3899999999999999E-2</v>
      </c>
      <c r="AP114" s="228">
        <v>535.4</v>
      </c>
      <c r="AQ114" s="228">
        <v>538.17999999999995</v>
      </c>
      <c r="AR114" s="228">
        <v>0</v>
      </c>
      <c r="AS114" s="228">
        <v>177</v>
      </c>
      <c r="AT114" s="228">
        <v>120</v>
      </c>
      <c r="AU114" s="228">
        <v>57</v>
      </c>
      <c r="AV114" s="229">
        <v>0.47439999999999999</v>
      </c>
      <c r="AW114" s="228">
        <v>128</v>
      </c>
      <c r="AX114" s="228">
        <v>92</v>
      </c>
      <c r="AY114" s="228">
        <v>36</v>
      </c>
      <c r="AZ114" s="229">
        <v>0.38550000000000001</v>
      </c>
      <c r="BA114" s="228">
        <v>47</v>
      </c>
      <c r="BB114" s="228">
        <v>26</v>
      </c>
      <c r="BC114" s="228">
        <v>21</v>
      </c>
      <c r="BD114" s="229">
        <v>0.77780000000000005</v>
      </c>
      <c r="BE114" s="228">
        <v>2</v>
      </c>
      <c r="BF114" s="228">
        <v>1</v>
      </c>
      <c r="BG114" s="228">
        <v>1</v>
      </c>
      <c r="BH114" s="229">
        <v>0.70589999999999997</v>
      </c>
      <c r="BI114" s="228">
        <v>300</v>
      </c>
      <c r="BJ114" s="228">
        <v>194</v>
      </c>
      <c r="BK114" s="228">
        <v>105</v>
      </c>
      <c r="BL114" s="229">
        <v>0.5403</v>
      </c>
      <c r="BM114" s="228">
        <v>116</v>
      </c>
      <c r="BN114" s="228">
        <v>55</v>
      </c>
      <c r="BO114" s="228">
        <v>61</v>
      </c>
      <c r="BP114" s="229">
        <v>1.1126</v>
      </c>
      <c r="BQ114" s="228">
        <v>592</v>
      </c>
      <c r="BR114" s="228">
        <v>369</v>
      </c>
      <c r="BS114" s="228">
        <v>223</v>
      </c>
      <c r="BT114" s="229">
        <v>0.60409999999999997</v>
      </c>
      <c r="BU114" s="230">
        <v>2617386</v>
      </c>
      <c r="BV114" s="230">
        <v>1452163</v>
      </c>
      <c r="BW114" s="230">
        <v>1165223</v>
      </c>
      <c r="BX114" s="229">
        <v>0.8024</v>
      </c>
      <c r="BY114" s="230">
        <v>1977</v>
      </c>
      <c r="BZ114" s="230">
        <v>1933</v>
      </c>
      <c r="CA114" s="228">
        <v>44</v>
      </c>
      <c r="CB114" s="229">
        <v>2.2599999999999999E-2</v>
      </c>
      <c r="CC114" s="230">
        <v>1900</v>
      </c>
      <c r="CD114" s="230">
        <v>1881</v>
      </c>
      <c r="CE114" s="228">
        <v>19</v>
      </c>
      <c r="CF114" s="229">
        <v>1.0200000000000001E-2</v>
      </c>
      <c r="CG114" s="228">
        <v>72</v>
      </c>
      <c r="CH114" s="228">
        <v>48</v>
      </c>
      <c r="CI114" s="228">
        <v>24</v>
      </c>
      <c r="CJ114" s="229">
        <v>0.48620000000000002</v>
      </c>
      <c r="CK114" s="228">
        <v>5</v>
      </c>
      <c r="CL114" s="228">
        <v>4</v>
      </c>
      <c r="CM114" s="228">
        <v>1</v>
      </c>
      <c r="CN114" s="229">
        <v>0.25969999999999999</v>
      </c>
      <c r="CO114" s="228">
        <v>448</v>
      </c>
      <c r="CP114" s="228">
        <v>428</v>
      </c>
      <c r="CQ114" s="228">
        <v>20</v>
      </c>
      <c r="CR114" s="229">
        <v>4.6399999999999997E-2</v>
      </c>
      <c r="CS114" s="228">
        <v>253</v>
      </c>
      <c r="CT114" s="228">
        <v>242</v>
      </c>
      <c r="CU114" s="228">
        <v>11</v>
      </c>
      <c r="CV114" s="229">
        <v>4.48E-2</v>
      </c>
      <c r="CW114" s="230">
        <v>2678</v>
      </c>
      <c r="CX114" s="230">
        <v>2603</v>
      </c>
      <c r="CY114" s="228">
        <v>74</v>
      </c>
      <c r="CZ114" s="229">
        <v>2.86E-2</v>
      </c>
      <c r="DA114" s="228">
        <v>28.92</v>
      </c>
      <c r="DB114" s="228">
        <v>29.14</v>
      </c>
      <c r="DC114" s="228">
        <v>-0.22</v>
      </c>
      <c r="DD114" s="228">
        <v>-0.22</v>
      </c>
      <c r="DE114" s="228">
        <v>48.32</v>
      </c>
      <c r="DF114" s="228">
        <v>48.44</v>
      </c>
      <c r="DG114" s="228">
        <v>-19.399999999999999</v>
      </c>
      <c r="DH114" s="228">
        <v>-0.12</v>
      </c>
      <c r="DI114" s="228">
        <v>28.83</v>
      </c>
      <c r="DJ114" s="228">
        <v>28.86</v>
      </c>
      <c r="DK114" s="228">
        <v>-0.03</v>
      </c>
      <c r="DL114" s="228">
        <v>-0.03</v>
      </c>
      <c r="DM114" s="228">
        <v>29.15</v>
      </c>
      <c r="DN114" s="228">
        <v>30.15</v>
      </c>
      <c r="DO114" s="228">
        <v>-1</v>
      </c>
      <c r="DP114" s="228">
        <v>-1</v>
      </c>
      <c r="DQ114" s="228">
        <v>0.56000000000000005</v>
      </c>
      <c r="DR114" s="228">
        <v>0.56000000000000005</v>
      </c>
      <c r="DS114" s="228">
        <v>0</v>
      </c>
      <c r="DT114" s="229">
        <v>0</v>
      </c>
      <c r="DU114" s="228">
        <v>540</v>
      </c>
      <c r="DV114" s="228">
        <v>530</v>
      </c>
      <c r="DW114" s="228">
        <v>0.39</v>
      </c>
      <c r="DX114" s="228">
        <v>0.28000000000000003</v>
      </c>
      <c r="DY114" s="228">
        <v>0.11</v>
      </c>
      <c r="DZ114" s="229">
        <v>0.39290000000000003</v>
      </c>
      <c r="EA114" s="229">
        <v>3.9E-2</v>
      </c>
      <c r="EB114" s="230">
        <v>984000</v>
      </c>
      <c r="EC114" s="229">
        <v>5.4999999999999997E-3</v>
      </c>
      <c r="ED114" s="229">
        <v>3.9E-2</v>
      </c>
      <c r="EE114" s="228">
        <v>2.78</v>
      </c>
      <c r="EF114" s="229">
        <v>5.1999999999999998E-3</v>
      </c>
      <c r="EG114" s="230">
        <v>1464138</v>
      </c>
      <c r="EH114" s="230">
        <v>800583</v>
      </c>
      <c r="EI114" s="229">
        <v>0.82879999999999998</v>
      </c>
      <c r="EJ114" s="229">
        <v>0.55940000000000001</v>
      </c>
      <c r="EK114" s="228">
        <v>309.10000000000002</v>
      </c>
      <c r="EL114" s="228">
        <v>116.6</v>
      </c>
      <c r="EM114" s="228">
        <v>177.48</v>
      </c>
      <c r="EN114" s="228">
        <v>0</v>
      </c>
      <c r="EO114" s="228">
        <v>603.17999999999995</v>
      </c>
      <c r="EP114" s="228">
        <v>375.67</v>
      </c>
      <c r="EQ114" s="228">
        <v>227.51</v>
      </c>
      <c r="ER114" s="229">
        <v>0.60560000000000003</v>
      </c>
      <c r="ES114" s="228">
        <v>462.51</v>
      </c>
      <c r="ET114" s="228">
        <v>245.57</v>
      </c>
      <c r="EU114" s="231">
        <v>1977.61</v>
      </c>
      <c r="EV114" s="231">
        <v>106938341</v>
      </c>
      <c r="EW114" s="231">
        <v>2685.69</v>
      </c>
      <c r="EX114" s="231">
        <v>2616.5700000000002</v>
      </c>
      <c r="EY114" s="228">
        <v>69.12</v>
      </c>
      <c r="EZ114" s="229">
        <v>2.64E-2</v>
      </c>
      <c r="FA114" s="229">
        <v>0.46939999999999998</v>
      </c>
      <c r="FB114" s="227" t="s">
        <v>567</v>
      </c>
      <c r="FC114">
        <f t="shared" si="1"/>
        <v>77</v>
      </c>
    </row>
    <row r="115" spans="1:159" ht="17.25" thickBot="1" x14ac:dyDescent="0.3">
      <c r="A115" s="226">
        <v>45889</v>
      </c>
      <c r="B115" s="227" t="s">
        <v>227</v>
      </c>
      <c r="C115" s="227" t="s">
        <v>244</v>
      </c>
      <c r="D115" s="228">
        <v>675</v>
      </c>
      <c r="E115" s="228">
        <v>8</v>
      </c>
      <c r="F115" s="231">
        <v>1086</v>
      </c>
      <c r="G115" s="231">
        <v>1077.4000000000001</v>
      </c>
      <c r="H115" s="228">
        <v>8.6</v>
      </c>
      <c r="I115" s="229">
        <v>8.0000000000000002E-3</v>
      </c>
      <c r="J115" s="231">
        <v>1082.5999999999999</v>
      </c>
      <c r="K115" s="231">
        <v>1073.4000000000001</v>
      </c>
      <c r="L115" s="228">
        <v>9.1999999999999993</v>
      </c>
      <c r="M115" s="229">
        <v>8.6E-3</v>
      </c>
      <c r="N115" s="231">
        <v>1086</v>
      </c>
      <c r="O115" s="231">
        <v>1077.4000000000001</v>
      </c>
      <c r="P115" s="228">
        <v>8.6</v>
      </c>
      <c r="Q115" s="229">
        <v>8.0000000000000002E-3</v>
      </c>
      <c r="R115" s="231">
        <v>1091.8</v>
      </c>
      <c r="S115" s="231">
        <v>1083.2</v>
      </c>
      <c r="T115" s="228">
        <v>8.6</v>
      </c>
      <c r="U115" s="229">
        <v>7.9000000000000008E-3</v>
      </c>
      <c r="V115" s="231">
        <v>1097.8</v>
      </c>
      <c r="W115" s="231">
        <v>1090</v>
      </c>
      <c r="X115" s="228">
        <v>7.8</v>
      </c>
      <c r="Y115" s="229">
        <v>7.1999999999999998E-3</v>
      </c>
      <c r="Z115" s="228">
        <v>3.4</v>
      </c>
      <c r="AA115" s="228">
        <v>4</v>
      </c>
      <c r="AB115" s="228">
        <v>-0.6</v>
      </c>
      <c r="AC115" s="229">
        <v>3.0999999999999999E-3</v>
      </c>
      <c r="AD115" s="228">
        <v>3.4</v>
      </c>
      <c r="AE115" s="228">
        <v>4</v>
      </c>
      <c r="AF115" s="228">
        <v>-0.6</v>
      </c>
      <c r="AG115" s="229">
        <v>3.0999999999999999E-3</v>
      </c>
      <c r="AH115" s="228">
        <v>9.1999999999999993</v>
      </c>
      <c r="AI115" s="228">
        <v>9.8000000000000007</v>
      </c>
      <c r="AJ115" s="228">
        <v>-0.6</v>
      </c>
      <c r="AK115" s="229">
        <v>8.5000000000000006E-3</v>
      </c>
      <c r="AL115" s="228">
        <v>15.2</v>
      </c>
      <c r="AM115" s="228">
        <v>16.600000000000001</v>
      </c>
      <c r="AN115" s="228">
        <v>-1.4</v>
      </c>
      <c r="AO115" s="229">
        <v>1.4E-2</v>
      </c>
      <c r="AP115" s="231">
        <v>1083.5899999999999</v>
      </c>
      <c r="AQ115" s="231">
        <v>1091.2</v>
      </c>
      <c r="AR115" s="228">
        <v>0</v>
      </c>
      <c r="AS115" s="228">
        <v>437</v>
      </c>
      <c r="AT115" s="228">
        <v>598</v>
      </c>
      <c r="AU115" s="228">
        <v>-162</v>
      </c>
      <c r="AV115" s="229">
        <v>-0.2702</v>
      </c>
      <c r="AW115" s="228">
        <v>336</v>
      </c>
      <c r="AX115" s="228">
        <v>446</v>
      </c>
      <c r="AY115" s="228">
        <v>-110</v>
      </c>
      <c r="AZ115" s="229">
        <v>-0.2462</v>
      </c>
      <c r="BA115" s="228">
        <v>97</v>
      </c>
      <c r="BB115" s="228">
        <v>150</v>
      </c>
      <c r="BC115" s="228">
        <v>-54</v>
      </c>
      <c r="BD115" s="229">
        <v>-0.35699999999999998</v>
      </c>
      <c r="BE115" s="228">
        <v>4</v>
      </c>
      <c r="BF115" s="228">
        <v>2</v>
      </c>
      <c r="BG115" s="228">
        <v>2</v>
      </c>
      <c r="BH115" s="229">
        <v>1.1818</v>
      </c>
      <c r="BI115" s="230">
        <v>1901</v>
      </c>
      <c r="BJ115" s="230">
        <v>1683</v>
      </c>
      <c r="BK115" s="228">
        <v>218</v>
      </c>
      <c r="BL115" s="229">
        <v>0.12970000000000001</v>
      </c>
      <c r="BM115" s="228">
        <v>761</v>
      </c>
      <c r="BN115" s="228">
        <v>627</v>
      </c>
      <c r="BO115" s="228">
        <v>135</v>
      </c>
      <c r="BP115" s="229">
        <v>0.21460000000000001</v>
      </c>
      <c r="BQ115" s="230">
        <v>3099</v>
      </c>
      <c r="BR115" s="230">
        <v>2908</v>
      </c>
      <c r="BS115" s="228">
        <v>191</v>
      </c>
      <c r="BT115" s="229">
        <v>6.5699999999999995E-2</v>
      </c>
      <c r="BU115" s="230">
        <v>1367829</v>
      </c>
      <c r="BV115" s="230">
        <v>1916060</v>
      </c>
      <c r="BW115" s="230">
        <v>-548231</v>
      </c>
      <c r="BX115" s="229">
        <v>-0.28610000000000002</v>
      </c>
      <c r="BY115" s="230">
        <v>4453</v>
      </c>
      <c r="BZ115" s="230">
        <v>4434</v>
      </c>
      <c r="CA115" s="228">
        <v>19</v>
      </c>
      <c r="CB115" s="229">
        <v>4.3E-3</v>
      </c>
      <c r="CC115" s="230">
        <v>4208</v>
      </c>
      <c r="CD115" s="230">
        <v>4248</v>
      </c>
      <c r="CE115" s="228">
        <v>-39</v>
      </c>
      <c r="CF115" s="229">
        <v>-9.1999999999999998E-3</v>
      </c>
      <c r="CG115" s="228">
        <v>238</v>
      </c>
      <c r="CH115" s="228">
        <v>181</v>
      </c>
      <c r="CI115" s="228">
        <v>57</v>
      </c>
      <c r="CJ115" s="229">
        <v>0.316</v>
      </c>
      <c r="CK115" s="228">
        <v>6</v>
      </c>
      <c r="CL115" s="228">
        <v>5</v>
      </c>
      <c r="CM115" s="228">
        <v>1</v>
      </c>
      <c r="CN115" s="229">
        <v>0.18840000000000001</v>
      </c>
      <c r="CO115" s="228">
        <v>952</v>
      </c>
      <c r="CP115" s="228">
        <v>932</v>
      </c>
      <c r="CQ115" s="228">
        <v>21</v>
      </c>
      <c r="CR115" s="229">
        <v>2.23E-2</v>
      </c>
      <c r="CS115" s="228">
        <v>735</v>
      </c>
      <c r="CT115" s="228">
        <v>628</v>
      </c>
      <c r="CU115" s="228">
        <v>107</v>
      </c>
      <c r="CV115" s="229">
        <v>0.17100000000000001</v>
      </c>
      <c r="CW115" s="230">
        <v>6140</v>
      </c>
      <c r="CX115" s="230">
        <v>5993</v>
      </c>
      <c r="CY115" s="228">
        <v>147</v>
      </c>
      <c r="CZ115" s="229">
        <v>2.4500000000000001E-2</v>
      </c>
      <c r="DA115" s="228">
        <v>25.95</v>
      </c>
      <c r="DB115" s="228">
        <v>26.83</v>
      </c>
      <c r="DC115" s="228">
        <v>-0.88</v>
      </c>
      <c r="DD115" s="228">
        <v>-0.88</v>
      </c>
      <c r="DE115" s="228">
        <v>30.91</v>
      </c>
      <c r="DF115" s="228">
        <v>30.97</v>
      </c>
      <c r="DG115" s="228">
        <v>-4.96</v>
      </c>
      <c r="DH115" s="228">
        <v>-0.06</v>
      </c>
      <c r="DI115" s="228">
        <v>25.34</v>
      </c>
      <c r="DJ115" s="228">
        <v>26.83</v>
      </c>
      <c r="DK115" s="228">
        <v>-1.49</v>
      </c>
      <c r="DL115" s="228">
        <v>-1.49</v>
      </c>
      <c r="DM115" s="228">
        <v>27.49</v>
      </c>
      <c r="DN115" s="228">
        <v>26.85</v>
      </c>
      <c r="DO115" s="228">
        <v>0.64</v>
      </c>
      <c r="DP115" s="228">
        <v>0.64</v>
      </c>
      <c r="DQ115" s="228">
        <v>0.77</v>
      </c>
      <c r="DR115" s="228">
        <v>0.67</v>
      </c>
      <c r="DS115" s="228">
        <v>0.1</v>
      </c>
      <c r="DT115" s="229">
        <v>0.14929999999999999</v>
      </c>
      <c r="DU115" s="231">
        <v>1100</v>
      </c>
      <c r="DV115" s="231">
        <v>1040</v>
      </c>
      <c r="DW115" s="228">
        <v>0.4</v>
      </c>
      <c r="DX115" s="228">
        <v>0.37</v>
      </c>
      <c r="DY115" s="228">
        <v>0.03</v>
      </c>
      <c r="DZ115" s="229">
        <v>8.1100000000000005E-2</v>
      </c>
      <c r="EA115" s="229">
        <v>5.4800000000000001E-2</v>
      </c>
      <c r="EB115" s="230">
        <v>1712475</v>
      </c>
      <c r="EC115" s="229">
        <v>5.3E-3</v>
      </c>
      <c r="ED115" s="229">
        <v>5.4800000000000001E-2</v>
      </c>
      <c r="EE115" s="228">
        <v>7.61</v>
      </c>
      <c r="EF115" s="229">
        <v>7.0000000000000001E-3</v>
      </c>
      <c r="EG115" s="230">
        <v>639730</v>
      </c>
      <c r="EH115" s="230">
        <v>1047312</v>
      </c>
      <c r="EI115" s="229">
        <v>-0.38919999999999999</v>
      </c>
      <c r="EJ115" s="229">
        <v>0.4677</v>
      </c>
      <c r="EK115" s="231">
        <v>1942.34</v>
      </c>
      <c r="EL115" s="228">
        <v>749.74</v>
      </c>
      <c r="EM115" s="228">
        <v>436.28</v>
      </c>
      <c r="EN115" s="228">
        <v>0</v>
      </c>
      <c r="EO115" s="231">
        <v>3128.35</v>
      </c>
      <c r="EP115" s="231">
        <v>2930.95</v>
      </c>
      <c r="EQ115" s="228">
        <v>197.4</v>
      </c>
      <c r="ER115" s="229">
        <v>6.7299999999999999E-2</v>
      </c>
      <c r="ES115" s="228">
        <v>972.26</v>
      </c>
      <c r="ET115" s="228">
        <v>689.54</v>
      </c>
      <c r="EU115" s="231">
        <v>4453.88</v>
      </c>
      <c r="EV115" s="231">
        <v>266333238</v>
      </c>
      <c r="EW115" s="231">
        <v>6115.69</v>
      </c>
      <c r="EX115" s="231">
        <v>5931.94</v>
      </c>
      <c r="EY115" s="228">
        <v>183.75</v>
      </c>
      <c r="EZ115" s="229">
        <v>3.1E-2</v>
      </c>
      <c r="FA115" s="229">
        <v>0.21229999999999999</v>
      </c>
      <c r="FB115" s="227" t="s">
        <v>555</v>
      </c>
      <c r="FC115">
        <f t="shared" si="1"/>
        <v>245</v>
      </c>
    </row>
    <row r="116" spans="1:159" ht="17.25" thickBot="1" x14ac:dyDescent="0.3">
      <c r="A116" s="226">
        <v>45889</v>
      </c>
      <c r="B116" s="227" t="s">
        <v>168</v>
      </c>
      <c r="C116" s="227" t="s">
        <v>245</v>
      </c>
      <c r="D116" s="228">
        <v>1250</v>
      </c>
      <c r="E116" s="228">
        <v>8</v>
      </c>
      <c r="F116" s="228">
        <v>635.9</v>
      </c>
      <c r="G116" s="228">
        <v>634.85</v>
      </c>
      <c r="H116" s="228">
        <v>1.05</v>
      </c>
      <c r="I116" s="229">
        <v>1.6999999999999999E-3</v>
      </c>
      <c r="J116" s="228">
        <v>634.20000000000005</v>
      </c>
      <c r="K116" s="228">
        <v>634.04999999999995</v>
      </c>
      <c r="L116" s="228">
        <v>0.15</v>
      </c>
      <c r="M116" s="229">
        <v>2.0000000000000001E-4</v>
      </c>
      <c r="N116" s="228">
        <v>635.9</v>
      </c>
      <c r="O116" s="228">
        <v>634.85</v>
      </c>
      <c r="P116" s="228">
        <v>1.05</v>
      </c>
      <c r="Q116" s="229">
        <v>1.6999999999999999E-3</v>
      </c>
      <c r="R116" s="228">
        <v>639.15</v>
      </c>
      <c r="S116" s="228">
        <v>638.65</v>
      </c>
      <c r="T116" s="228">
        <v>0.5</v>
      </c>
      <c r="U116" s="229">
        <v>8.0000000000000004E-4</v>
      </c>
      <c r="V116" s="228">
        <v>642.20000000000005</v>
      </c>
      <c r="W116" s="228">
        <v>636.20000000000005</v>
      </c>
      <c r="X116" s="228">
        <v>6</v>
      </c>
      <c r="Y116" s="229">
        <v>9.4000000000000004E-3</v>
      </c>
      <c r="Z116" s="228">
        <v>1.7</v>
      </c>
      <c r="AA116" s="228">
        <v>0.8</v>
      </c>
      <c r="AB116" s="228">
        <v>0.9</v>
      </c>
      <c r="AC116" s="229">
        <v>2.7000000000000001E-3</v>
      </c>
      <c r="AD116" s="228">
        <v>1.7</v>
      </c>
      <c r="AE116" s="228">
        <v>0.8</v>
      </c>
      <c r="AF116" s="228">
        <v>0.9</v>
      </c>
      <c r="AG116" s="229">
        <v>2.7000000000000001E-3</v>
      </c>
      <c r="AH116" s="228">
        <v>4.95</v>
      </c>
      <c r="AI116" s="228">
        <v>4.5999999999999996</v>
      </c>
      <c r="AJ116" s="228">
        <v>0.35</v>
      </c>
      <c r="AK116" s="229">
        <v>7.7999999999999996E-3</v>
      </c>
      <c r="AL116" s="228">
        <v>8</v>
      </c>
      <c r="AM116" s="228">
        <v>2.15</v>
      </c>
      <c r="AN116" s="228">
        <v>5.85</v>
      </c>
      <c r="AO116" s="229">
        <v>1.26E-2</v>
      </c>
      <c r="AP116" s="228">
        <v>636.62</v>
      </c>
      <c r="AQ116" s="228">
        <v>640.05999999999995</v>
      </c>
      <c r="AR116" s="228">
        <v>0</v>
      </c>
      <c r="AS116" s="228">
        <v>127</v>
      </c>
      <c r="AT116" s="228">
        <v>204</v>
      </c>
      <c r="AU116" s="228">
        <v>-77</v>
      </c>
      <c r="AV116" s="229">
        <v>-0.37819999999999998</v>
      </c>
      <c r="AW116" s="228">
        <v>106</v>
      </c>
      <c r="AX116" s="228">
        <v>181</v>
      </c>
      <c r="AY116" s="228">
        <v>-75</v>
      </c>
      <c r="AZ116" s="229">
        <v>-0.41299999999999998</v>
      </c>
      <c r="BA116" s="228">
        <v>19</v>
      </c>
      <c r="BB116" s="228">
        <v>22</v>
      </c>
      <c r="BC116" s="228">
        <v>-3</v>
      </c>
      <c r="BD116" s="229">
        <v>-0.12770000000000001</v>
      </c>
      <c r="BE116" s="228">
        <v>2</v>
      </c>
      <c r="BF116" s="228">
        <v>1</v>
      </c>
      <c r="BG116" s="228">
        <v>0</v>
      </c>
      <c r="BH116" s="229">
        <v>0.33329999999999999</v>
      </c>
      <c r="BI116" s="228">
        <v>347</v>
      </c>
      <c r="BJ116" s="228">
        <v>694</v>
      </c>
      <c r="BK116" s="228">
        <v>-347</v>
      </c>
      <c r="BL116" s="229">
        <v>-0.4995</v>
      </c>
      <c r="BM116" s="228">
        <v>126</v>
      </c>
      <c r="BN116" s="228">
        <v>282</v>
      </c>
      <c r="BO116" s="228">
        <v>-156</v>
      </c>
      <c r="BP116" s="229">
        <v>-0.55230000000000001</v>
      </c>
      <c r="BQ116" s="228">
        <v>601</v>
      </c>
      <c r="BR116" s="230">
        <v>1180</v>
      </c>
      <c r="BS116" s="228">
        <v>-580</v>
      </c>
      <c r="BT116" s="229">
        <v>-0.49120000000000003</v>
      </c>
      <c r="BU116" s="230">
        <v>1302330</v>
      </c>
      <c r="BV116" s="230">
        <v>1668067</v>
      </c>
      <c r="BW116" s="230">
        <v>-365737</v>
      </c>
      <c r="BX116" s="229">
        <v>-0.21929999999999999</v>
      </c>
      <c r="BY116" s="230">
        <v>1618</v>
      </c>
      <c r="BZ116" s="230">
        <v>1611</v>
      </c>
      <c r="CA116" s="228">
        <v>7</v>
      </c>
      <c r="CB116" s="229">
        <v>4.1999999999999997E-3</v>
      </c>
      <c r="CC116" s="230">
        <v>1565</v>
      </c>
      <c r="CD116" s="230">
        <v>1566</v>
      </c>
      <c r="CE116" s="228">
        <v>-2</v>
      </c>
      <c r="CF116" s="229">
        <v>-1E-3</v>
      </c>
      <c r="CG116" s="228">
        <v>49</v>
      </c>
      <c r="CH116" s="228">
        <v>42</v>
      </c>
      <c r="CI116" s="228">
        <v>7</v>
      </c>
      <c r="CJ116" s="229">
        <v>0.17610000000000001</v>
      </c>
      <c r="CK116" s="228">
        <v>4</v>
      </c>
      <c r="CL116" s="228">
        <v>3</v>
      </c>
      <c r="CM116" s="228">
        <v>1</v>
      </c>
      <c r="CN116" s="229">
        <v>0.35139999999999999</v>
      </c>
      <c r="CO116" s="228">
        <v>503</v>
      </c>
      <c r="CP116" s="228">
        <v>509</v>
      </c>
      <c r="CQ116" s="228">
        <v>-6</v>
      </c>
      <c r="CR116" s="229">
        <v>-1.1599999999999999E-2</v>
      </c>
      <c r="CS116" s="228">
        <v>263</v>
      </c>
      <c r="CT116" s="228">
        <v>261</v>
      </c>
      <c r="CU116" s="228">
        <v>2</v>
      </c>
      <c r="CV116" s="229">
        <v>9.1999999999999998E-3</v>
      </c>
      <c r="CW116" s="230">
        <v>2384</v>
      </c>
      <c r="CX116" s="230">
        <v>2380</v>
      </c>
      <c r="CY116" s="228">
        <v>3</v>
      </c>
      <c r="CZ116" s="229">
        <v>1.4E-3</v>
      </c>
      <c r="DA116" s="228">
        <v>28.82</v>
      </c>
      <c r="DB116" s="228">
        <v>28.77</v>
      </c>
      <c r="DC116" s="228">
        <v>0.05</v>
      </c>
      <c r="DD116" s="228">
        <v>0.05</v>
      </c>
      <c r="DE116" s="228">
        <v>35.26</v>
      </c>
      <c r="DF116" s="228">
        <v>35.35</v>
      </c>
      <c r="DG116" s="228">
        <v>-6.44</v>
      </c>
      <c r="DH116" s="228">
        <v>-0.09</v>
      </c>
      <c r="DI116" s="228">
        <v>29.44</v>
      </c>
      <c r="DJ116" s="228">
        <v>29.37</v>
      </c>
      <c r="DK116" s="228">
        <v>7.0000000000000007E-2</v>
      </c>
      <c r="DL116" s="228">
        <v>7.0000000000000007E-2</v>
      </c>
      <c r="DM116" s="228">
        <v>27.11</v>
      </c>
      <c r="DN116" s="228">
        <v>27.3</v>
      </c>
      <c r="DO116" s="228">
        <v>-0.19</v>
      </c>
      <c r="DP116" s="228">
        <v>-0.19</v>
      </c>
      <c r="DQ116" s="228">
        <v>0.52</v>
      </c>
      <c r="DR116" s="228">
        <v>0.51</v>
      </c>
      <c r="DS116" s="228">
        <v>0.01</v>
      </c>
      <c r="DT116" s="229">
        <v>1.9599999999999999E-2</v>
      </c>
      <c r="DU116" s="228">
        <v>660</v>
      </c>
      <c r="DV116" s="228">
        <v>630</v>
      </c>
      <c r="DW116" s="228">
        <v>0.36</v>
      </c>
      <c r="DX116" s="228">
        <v>0.41</v>
      </c>
      <c r="DY116" s="228">
        <v>-0.05</v>
      </c>
      <c r="DZ116" s="229">
        <v>-0.122</v>
      </c>
      <c r="EA116" s="229">
        <v>3.3000000000000002E-2</v>
      </c>
      <c r="EB116" s="230">
        <v>706250</v>
      </c>
      <c r="EC116" s="229">
        <v>5.1000000000000004E-3</v>
      </c>
      <c r="ED116" s="229">
        <v>3.3000000000000002E-2</v>
      </c>
      <c r="EE116" s="228">
        <v>3.44</v>
      </c>
      <c r="EF116" s="229">
        <v>5.4000000000000003E-3</v>
      </c>
      <c r="EG116" s="230">
        <v>875809</v>
      </c>
      <c r="EH116" s="230">
        <v>873821</v>
      </c>
      <c r="EI116" s="229">
        <v>2.3E-3</v>
      </c>
      <c r="EJ116" s="229">
        <v>0.67249999999999999</v>
      </c>
      <c r="EK116" s="228">
        <v>360.24</v>
      </c>
      <c r="EL116" s="228">
        <v>123.78</v>
      </c>
      <c r="EM116" s="228">
        <v>127.04</v>
      </c>
      <c r="EN116" s="228">
        <v>0</v>
      </c>
      <c r="EO116" s="228">
        <v>611.07000000000005</v>
      </c>
      <c r="EP116" s="231">
        <v>1201.68</v>
      </c>
      <c r="EQ116" s="228">
        <v>-590.62</v>
      </c>
      <c r="ER116" s="229">
        <v>-0.49149999999999999</v>
      </c>
      <c r="ES116" s="228">
        <v>529.89</v>
      </c>
      <c r="ET116" s="228">
        <v>256.51</v>
      </c>
      <c r="EU116" s="231">
        <v>1618.26</v>
      </c>
      <c r="EV116" s="231">
        <v>78379986</v>
      </c>
      <c r="EW116" s="231">
        <v>2404.66</v>
      </c>
      <c r="EX116" s="231">
        <v>2399.0500000000002</v>
      </c>
      <c r="EY116" s="228">
        <v>5.61</v>
      </c>
      <c r="EZ116" s="229">
        <v>2.3E-3</v>
      </c>
      <c r="FA116" s="229">
        <v>0.47820000000000001</v>
      </c>
      <c r="FB116" s="227" t="s">
        <v>555</v>
      </c>
      <c r="FC116">
        <f t="shared" si="1"/>
        <v>53</v>
      </c>
    </row>
    <row r="117" spans="1:159" ht="17.25" thickBot="1" x14ac:dyDescent="0.3">
      <c r="A117" s="226">
        <v>45889</v>
      </c>
      <c r="B117" s="227" t="s">
        <v>168</v>
      </c>
      <c r="C117" s="227" t="s">
        <v>583</v>
      </c>
      <c r="D117" s="228">
        <v>1175</v>
      </c>
      <c r="E117" s="228">
        <v>8</v>
      </c>
      <c r="F117" s="228">
        <v>511.25</v>
      </c>
      <c r="G117" s="228">
        <v>509.05</v>
      </c>
      <c r="H117" s="228">
        <v>2.2000000000000002</v>
      </c>
      <c r="I117" s="229">
        <v>4.3E-3</v>
      </c>
      <c r="J117" s="228">
        <v>510.6</v>
      </c>
      <c r="K117" s="228">
        <v>507.35</v>
      </c>
      <c r="L117" s="228">
        <v>3.25</v>
      </c>
      <c r="M117" s="229">
        <v>6.4000000000000003E-3</v>
      </c>
      <c r="N117" s="228">
        <v>511.25</v>
      </c>
      <c r="O117" s="228">
        <v>509.05</v>
      </c>
      <c r="P117" s="228">
        <v>2.2000000000000002</v>
      </c>
      <c r="Q117" s="229">
        <v>4.3E-3</v>
      </c>
      <c r="R117" s="228">
        <v>512.75</v>
      </c>
      <c r="S117" s="228">
        <v>510.3</v>
      </c>
      <c r="T117" s="228">
        <v>2.4500000000000002</v>
      </c>
      <c r="U117" s="229">
        <v>4.7999999999999996E-3</v>
      </c>
      <c r="V117" s="228">
        <v>515.04999999999995</v>
      </c>
      <c r="W117" s="228">
        <v>512.79999999999995</v>
      </c>
      <c r="X117" s="228">
        <v>2.25</v>
      </c>
      <c r="Y117" s="229">
        <v>4.4000000000000003E-3</v>
      </c>
      <c r="Z117" s="228">
        <v>0.65</v>
      </c>
      <c r="AA117" s="228">
        <v>1.7</v>
      </c>
      <c r="AB117" s="228">
        <v>-1.05</v>
      </c>
      <c r="AC117" s="229">
        <v>1.2999999999999999E-3</v>
      </c>
      <c r="AD117" s="228">
        <v>0.65</v>
      </c>
      <c r="AE117" s="228">
        <v>1.7</v>
      </c>
      <c r="AF117" s="228">
        <v>-1.05</v>
      </c>
      <c r="AG117" s="229">
        <v>1.2999999999999999E-3</v>
      </c>
      <c r="AH117" s="228">
        <v>2.15</v>
      </c>
      <c r="AI117" s="228">
        <v>2.95</v>
      </c>
      <c r="AJ117" s="228">
        <v>-0.8</v>
      </c>
      <c r="AK117" s="229">
        <v>4.1999999999999997E-3</v>
      </c>
      <c r="AL117" s="228">
        <v>4.45</v>
      </c>
      <c r="AM117" s="228">
        <v>5.45</v>
      </c>
      <c r="AN117" s="228">
        <v>-1</v>
      </c>
      <c r="AO117" s="229">
        <v>8.6999999999999994E-3</v>
      </c>
      <c r="AP117" s="228">
        <v>510.28</v>
      </c>
      <c r="AQ117" s="228">
        <v>511.86</v>
      </c>
      <c r="AR117" s="228">
        <v>0</v>
      </c>
      <c r="AS117" s="230">
        <v>1241</v>
      </c>
      <c r="AT117" s="228">
        <v>661</v>
      </c>
      <c r="AU117" s="228">
        <v>581</v>
      </c>
      <c r="AV117" s="229">
        <v>0.87909999999999999</v>
      </c>
      <c r="AW117" s="228">
        <v>761</v>
      </c>
      <c r="AX117" s="228">
        <v>472</v>
      </c>
      <c r="AY117" s="228">
        <v>289</v>
      </c>
      <c r="AZ117" s="229">
        <v>0.61180000000000001</v>
      </c>
      <c r="BA117" s="228">
        <v>472</v>
      </c>
      <c r="BB117" s="228">
        <v>180</v>
      </c>
      <c r="BC117" s="228">
        <v>292</v>
      </c>
      <c r="BD117" s="229">
        <v>1.6173</v>
      </c>
      <c r="BE117" s="228">
        <v>8</v>
      </c>
      <c r="BF117" s="228">
        <v>8</v>
      </c>
      <c r="BG117" s="228">
        <v>0</v>
      </c>
      <c r="BH117" s="229">
        <v>2.24E-2</v>
      </c>
      <c r="BI117" s="230">
        <v>2655</v>
      </c>
      <c r="BJ117" s="230">
        <v>2470</v>
      </c>
      <c r="BK117" s="228">
        <v>186</v>
      </c>
      <c r="BL117" s="229">
        <v>7.51E-2</v>
      </c>
      <c r="BM117" s="228">
        <v>798</v>
      </c>
      <c r="BN117" s="230">
        <v>1087</v>
      </c>
      <c r="BO117" s="228">
        <v>-289</v>
      </c>
      <c r="BP117" s="229">
        <v>-0.2656</v>
      </c>
      <c r="BQ117" s="230">
        <v>4695</v>
      </c>
      <c r="BR117" s="230">
        <v>4217</v>
      </c>
      <c r="BS117" s="228">
        <v>478</v>
      </c>
      <c r="BT117" s="229">
        <v>0.1132</v>
      </c>
      <c r="BU117" s="230">
        <v>9200905</v>
      </c>
      <c r="BV117" s="230">
        <v>11063165</v>
      </c>
      <c r="BW117" s="230">
        <v>-1862260</v>
      </c>
      <c r="BX117" s="229">
        <v>-0.16830000000000001</v>
      </c>
      <c r="BY117" s="230">
        <v>1687</v>
      </c>
      <c r="BZ117" s="230">
        <v>1624</v>
      </c>
      <c r="CA117" s="228">
        <v>63</v>
      </c>
      <c r="CB117" s="229">
        <v>3.9100000000000003E-2</v>
      </c>
      <c r="CC117" s="230">
        <v>1068</v>
      </c>
      <c r="CD117" s="230">
        <v>1378</v>
      </c>
      <c r="CE117" s="228">
        <v>-311</v>
      </c>
      <c r="CF117" s="229">
        <v>-0.22539999999999999</v>
      </c>
      <c r="CG117" s="228">
        <v>600</v>
      </c>
      <c r="CH117" s="228">
        <v>227</v>
      </c>
      <c r="CI117" s="228">
        <v>372</v>
      </c>
      <c r="CJ117" s="229">
        <v>1.6371</v>
      </c>
      <c r="CK117" s="228">
        <v>20</v>
      </c>
      <c r="CL117" s="228">
        <v>18</v>
      </c>
      <c r="CM117" s="228">
        <v>2</v>
      </c>
      <c r="CN117" s="229">
        <v>0.1003</v>
      </c>
      <c r="CO117" s="230">
        <v>1507</v>
      </c>
      <c r="CP117" s="230">
        <v>1484</v>
      </c>
      <c r="CQ117" s="228">
        <v>22</v>
      </c>
      <c r="CR117" s="229">
        <v>1.5100000000000001E-2</v>
      </c>
      <c r="CS117" s="228">
        <v>520</v>
      </c>
      <c r="CT117" s="228">
        <v>493</v>
      </c>
      <c r="CU117" s="228">
        <v>27</v>
      </c>
      <c r="CV117" s="229">
        <v>5.5300000000000002E-2</v>
      </c>
      <c r="CW117" s="230">
        <v>3714</v>
      </c>
      <c r="CX117" s="230">
        <v>3601</v>
      </c>
      <c r="CY117" s="228">
        <v>113</v>
      </c>
      <c r="CZ117" s="229">
        <v>3.1399999999999997E-2</v>
      </c>
      <c r="DA117" s="228">
        <v>45.45</v>
      </c>
      <c r="DB117" s="228">
        <v>45.46</v>
      </c>
      <c r="DC117" s="228">
        <v>-0.01</v>
      </c>
      <c r="DD117" s="228">
        <v>-0.01</v>
      </c>
      <c r="DE117" s="228">
        <v>54.81</v>
      </c>
      <c r="DF117" s="228">
        <v>54.94</v>
      </c>
      <c r="DG117" s="228">
        <v>-9.36</v>
      </c>
      <c r="DH117" s="228">
        <v>-0.13</v>
      </c>
      <c r="DI117" s="228">
        <v>46.64</v>
      </c>
      <c r="DJ117" s="228">
        <v>46.81</v>
      </c>
      <c r="DK117" s="228">
        <v>-0.17</v>
      </c>
      <c r="DL117" s="228">
        <v>-0.17</v>
      </c>
      <c r="DM117" s="228">
        <v>41.47</v>
      </c>
      <c r="DN117" s="228">
        <v>42.4</v>
      </c>
      <c r="DO117" s="228">
        <v>-0.93</v>
      </c>
      <c r="DP117" s="228">
        <v>-0.93</v>
      </c>
      <c r="DQ117" s="228">
        <v>0.35</v>
      </c>
      <c r="DR117" s="228">
        <v>0.33</v>
      </c>
      <c r="DS117" s="228">
        <v>0.02</v>
      </c>
      <c r="DT117" s="229">
        <v>6.0600000000000001E-2</v>
      </c>
      <c r="DU117" s="228">
        <v>600</v>
      </c>
      <c r="DV117" s="228">
        <v>500</v>
      </c>
      <c r="DW117" s="228">
        <v>0.3</v>
      </c>
      <c r="DX117" s="228">
        <v>0.44</v>
      </c>
      <c r="DY117" s="228">
        <v>-0.14000000000000001</v>
      </c>
      <c r="DZ117" s="229">
        <v>-0.31819999999999998</v>
      </c>
      <c r="EA117" s="229">
        <v>0.36720000000000003</v>
      </c>
      <c r="EB117" s="230">
        <v>4799875</v>
      </c>
      <c r="EC117" s="229">
        <v>2.8999999999999998E-3</v>
      </c>
      <c r="ED117" s="229">
        <v>0.36720000000000003</v>
      </c>
      <c r="EE117" s="228">
        <v>1.58</v>
      </c>
      <c r="EF117" s="229">
        <v>3.0999999999999999E-3</v>
      </c>
      <c r="EG117" s="230">
        <v>2783552</v>
      </c>
      <c r="EH117" s="230">
        <v>4242535</v>
      </c>
      <c r="EI117" s="229">
        <v>-0.34389999999999998</v>
      </c>
      <c r="EJ117" s="229">
        <v>0.30249999999999999</v>
      </c>
      <c r="EK117" s="231">
        <v>2835.31</v>
      </c>
      <c r="EL117" s="228">
        <v>799.1</v>
      </c>
      <c r="EM117" s="231">
        <v>1240.49</v>
      </c>
      <c r="EN117" s="228">
        <v>0</v>
      </c>
      <c r="EO117" s="231">
        <v>4874.8999999999996</v>
      </c>
      <c r="EP117" s="231">
        <v>4398.5600000000004</v>
      </c>
      <c r="EQ117" s="228">
        <v>476.33</v>
      </c>
      <c r="ER117" s="229">
        <v>0.10829999999999999</v>
      </c>
      <c r="ES117" s="231">
        <v>1681.2</v>
      </c>
      <c r="ET117" s="228">
        <v>522.91999999999996</v>
      </c>
      <c r="EU117" s="231">
        <v>1689.09</v>
      </c>
      <c r="EV117" s="231">
        <v>76736012</v>
      </c>
      <c r="EW117" s="231">
        <v>3893.21</v>
      </c>
      <c r="EX117" s="231">
        <v>3778.94</v>
      </c>
      <c r="EY117" s="228">
        <v>114.27</v>
      </c>
      <c r="EZ117" s="229">
        <v>3.0200000000000001E-2</v>
      </c>
      <c r="FA117" s="229">
        <v>0.94669999999999999</v>
      </c>
      <c r="FB117" s="227" t="s">
        <v>555</v>
      </c>
      <c r="FC117">
        <f t="shared" si="1"/>
        <v>619</v>
      </c>
    </row>
    <row r="118" spans="1:159" ht="17.25" thickBot="1" x14ac:dyDescent="0.3">
      <c r="A118" s="226">
        <v>45889</v>
      </c>
      <c r="B118" s="227" t="s">
        <v>184</v>
      </c>
      <c r="C118" s="227" t="s">
        <v>678</v>
      </c>
      <c r="D118" s="228">
        <v>100</v>
      </c>
      <c r="E118" s="228">
        <v>8</v>
      </c>
      <c r="F118" s="231">
        <v>6218.5</v>
      </c>
      <c r="G118" s="231">
        <v>6292</v>
      </c>
      <c r="H118" s="228">
        <v>-73.5</v>
      </c>
      <c r="I118" s="229">
        <v>-1.17E-2</v>
      </c>
      <c r="J118" s="231">
        <v>6200.5</v>
      </c>
      <c r="K118" s="231">
        <v>6272</v>
      </c>
      <c r="L118" s="228">
        <v>-71.5</v>
      </c>
      <c r="M118" s="229">
        <v>-1.14E-2</v>
      </c>
      <c r="N118" s="231">
        <v>6218.5</v>
      </c>
      <c r="O118" s="231">
        <v>6292</v>
      </c>
      <c r="P118" s="228">
        <v>-73.5</v>
      </c>
      <c r="Q118" s="229">
        <v>-1.17E-2</v>
      </c>
      <c r="R118" s="231">
        <v>6243.5</v>
      </c>
      <c r="S118" s="231">
        <v>6313</v>
      </c>
      <c r="T118" s="228">
        <v>-69.5</v>
      </c>
      <c r="U118" s="229">
        <v>-1.0999999999999999E-2</v>
      </c>
      <c r="V118" s="231">
        <v>6262.5</v>
      </c>
      <c r="W118" s="231">
        <v>6331.5</v>
      </c>
      <c r="X118" s="228">
        <v>-69</v>
      </c>
      <c r="Y118" s="229">
        <v>-1.09E-2</v>
      </c>
      <c r="Z118" s="228">
        <v>18</v>
      </c>
      <c r="AA118" s="228">
        <v>20</v>
      </c>
      <c r="AB118" s="228">
        <v>-2</v>
      </c>
      <c r="AC118" s="229">
        <v>2.8999999999999998E-3</v>
      </c>
      <c r="AD118" s="228">
        <v>18</v>
      </c>
      <c r="AE118" s="228">
        <v>20</v>
      </c>
      <c r="AF118" s="228">
        <v>-2</v>
      </c>
      <c r="AG118" s="229">
        <v>2.8999999999999998E-3</v>
      </c>
      <c r="AH118" s="228">
        <v>43</v>
      </c>
      <c r="AI118" s="228">
        <v>41</v>
      </c>
      <c r="AJ118" s="228">
        <v>2</v>
      </c>
      <c r="AK118" s="229">
        <v>6.8999999999999999E-3</v>
      </c>
      <c r="AL118" s="228">
        <v>62</v>
      </c>
      <c r="AM118" s="228">
        <v>59.5</v>
      </c>
      <c r="AN118" s="228">
        <v>2.5</v>
      </c>
      <c r="AO118" s="229">
        <v>0.01</v>
      </c>
      <c r="AP118" s="231">
        <v>6248.75</v>
      </c>
      <c r="AQ118" s="231">
        <v>6268.5</v>
      </c>
      <c r="AR118" s="228">
        <v>0</v>
      </c>
      <c r="AS118" s="228">
        <v>140</v>
      </c>
      <c r="AT118" s="228">
        <v>168</v>
      </c>
      <c r="AU118" s="228">
        <v>-28</v>
      </c>
      <c r="AV118" s="229">
        <v>-0.16739999999999999</v>
      </c>
      <c r="AW118" s="228">
        <v>112</v>
      </c>
      <c r="AX118" s="228">
        <v>142</v>
      </c>
      <c r="AY118" s="228">
        <v>-30</v>
      </c>
      <c r="AZ118" s="229">
        <v>-0.2114</v>
      </c>
      <c r="BA118" s="228">
        <v>25</v>
      </c>
      <c r="BB118" s="228">
        <v>23</v>
      </c>
      <c r="BC118" s="228">
        <v>1</v>
      </c>
      <c r="BD118" s="229">
        <v>6.0999999999999999E-2</v>
      </c>
      <c r="BE118" s="228">
        <v>3</v>
      </c>
      <c r="BF118" s="228">
        <v>2</v>
      </c>
      <c r="BG118" s="228">
        <v>1</v>
      </c>
      <c r="BH118" s="229">
        <v>0.2727</v>
      </c>
      <c r="BI118" s="228">
        <v>739</v>
      </c>
      <c r="BJ118" s="228">
        <v>788</v>
      </c>
      <c r="BK118" s="228">
        <v>-49</v>
      </c>
      <c r="BL118" s="229">
        <v>-6.2300000000000001E-2</v>
      </c>
      <c r="BM118" s="228">
        <v>336</v>
      </c>
      <c r="BN118" s="228">
        <v>346</v>
      </c>
      <c r="BO118" s="228">
        <v>-9</v>
      </c>
      <c r="BP118" s="229">
        <v>-2.7400000000000001E-2</v>
      </c>
      <c r="BQ118" s="230">
        <v>1215</v>
      </c>
      <c r="BR118" s="230">
        <v>1302</v>
      </c>
      <c r="BS118" s="228">
        <v>-87</v>
      </c>
      <c r="BT118" s="229">
        <v>-6.6600000000000006E-2</v>
      </c>
      <c r="BU118" s="230">
        <v>303758</v>
      </c>
      <c r="BV118" s="230">
        <v>355305</v>
      </c>
      <c r="BW118" s="230">
        <v>-51547</v>
      </c>
      <c r="BX118" s="229">
        <v>-0.14510000000000001</v>
      </c>
      <c r="BY118" s="228">
        <v>516</v>
      </c>
      <c r="BZ118" s="228">
        <v>510</v>
      </c>
      <c r="CA118" s="228">
        <v>7</v>
      </c>
      <c r="CB118" s="229">
        <v>1.3100000000000001E-2</v>
      </c>
      <c r="CC118" s="228">
        <v>480</v>
      </c>
      <c r="CD118" s="228">
        <v>480</v>
      </c>
      <c r="CE118" s="228">
        <v>0</v>
      </c>
      <c r="CF118" s="229">
        <v>0</v>
      </c>
      <c r="CG118" s="228">
        <v>33</v>
      </c>
      <c r="CH118" s="228">
        <v>27</v>
      </c>
      <c r="CI118" s="228">
        <v>6</v>
      </c>
      <c r="CJ118" s="229">
        <v>0.2402</v>
      </c>
      <c r="CK118" s="228">
        <v>3</v>
      </c>
      <c r="CL118" s="228">
        <v>3</v>
      </c>
      <c r="CM118" s="228">
        <v>0</v>
      </c>
      <c r="CN118" s="229">
        <v>7.3200000000000001E-2</v>
      </c>
      <c r="CO118" s="228">
        <v>601</v>
      </c>
      <c r="CP118" s="228">
        <v>556</v>
      </c>
      <c r="CQ118" s="228">
        <v>45</v>
      </c>
      <c r="CR118" s="229">
        <v>8.1299999999999997E-2</v>
      </c>
      <c r="CS118" s="228">
        <v>380</v>
      </c>
      <c r="CT118" s="228">
        <v>378</v>
      </c>
      <c r="CU118" s="228">
        <v>2</v>
      </c>
      <c r="CV118" s="229">
        <v>4.8999999999999998E-3</v>
      </c>
      <c r="CW118" s="230">
        <v>1497</v>
      </c>
      <c r="CX118" s="230">
        <v>1444</v>
      </c>
      <c r="CY118" s="228">
        <v>54</v>
      </c>
      <c r="CZ118" s="229">
        <v>3.7199999999999997E-2</v>
      </c>
      <c r="DA118" s="228">
        <v>38.909999999999997</v>
      </c>
      <c r="DB118" s="228">
        <v>37.74</v>
      </c>
      <c r="DC118" s="228">
        <v>1.17</v>
      </c>
      <c r="DD118" s="228">
        <v>1.17</v>
      </c>
      <c r="DE118" s="228">
        <v>58.33</v>
      </c>
      <c r="DF118" s="228">
        <v>58.46</v>
      </c>
      <c r="DG118" s="228">
        <v>-19.420000000000002</v>
      </c>
      <c r="DH118" s="228">
        <v>-0.13</v>
      </c>
      <c r="DI118" s="228">
        <v>38.700000000000003</v>
      </c>
      <c r="DJ118" s="228">
        <v>37.36</v>
      </c>
      <c r="DK118" s="228">
        <v>1.34</v>
      </c>
      <c r="DL118" s="228">
        <v>1.34</v>
      </c>
      <c r="DM118" s="228">
        <v>39.380000000000003</v>
      </c>
      <c r="DN118" s="228">
        <v>38.6</v>
      </c>
      <c r="DO118" s="228">
        <v>0.78</v>
      </c>
      <c r="DP118" s="228">
        <v>0.78</v>
      </c>
      <c r="DQ118" s="228">
        <v>0.63</v>
      </c>
      <c r="DR118" s="228">
        <v>0.68</v>
      </c>
      <c r="DS118" s="228">
        <v>-0.05</v>
      </c>
      <c r="DT118" s="229">
        <v>-7.3499999999999996E-2</v>
      </c>
      <c r="DU118" s="231">
        <v>7000</v>
      </c>
      <c r="DV118" s="231">
        <v>5000</v>
      </c>
      <c r="DW118" s="228">
        <v>0.45</v>
      </c>
      <c r="DX118" s="228">
        <v>0.44</v>
      </c>
      <c r="DY118" s="228">
        <v>0.01</v>
      </c>
      <c r="DZ118" s="229">
        <v>2.2700000000000001E-2</v>
      </c>
      <c r="EA118" s="229">
        <v>7.0000000000000007E-2</v>
      </c>
      <c r="EB118" s="230">
        <v>47400</v>
      </c>
      <c r="EC118" s="229">
        <v>4.0000000000000001E-3</v>
      </c>
      <c r="ED118" s="229">
        <v>7.0000000000000007E-2</v>
      </c>
      <c r="EE118" s="228">
        <v>19.75</v>
      </c>
      <c r="EF118" s="229">
        <v>3.2000000000000002E-3</v>
      </c>
      <c r="EG118" s="230">
        <v>66514</v>
      </c>
      <c r="EH118" s="230">
        <v>78261</v>
      </c>
      <c r="EI118" s="229">
        <v>-0.15010000000000001</v>
      </c>
      <c r="EJ118" s="229">
        <v>0.219</v>
      </c>
      <c r="EK118" s="228">
        <v>782.14</v>
      </c>
      <c r="EL118" s="228">
        <v>328.66</v>
      </c>
      <c r="EM118" s="228">
        <v>140.58000000000001</v>
      </c>
      <c r="EN118" s="228">
        <v>0</v>
      </c>
      <c r="EO118" s="231">
        <v>1251.3699999999999</v>
      </c>
      <c r="EP118" s="231">
        <v>1345.31</v>
      </c>
      <c r="EQ118" s="228">
        <v>-93.94</v>
      </c>
      <c r="ER118" s="229">
        <v>-6.9800000000000001E-2</v>
      </c>
      <c r="ES118" s="228">
        <v>631.79</v>
      </c>
      <c r="ET118" s="228">
        <v>347.32</v>
      </c>
      <c r="EU118" s="228">
        <v>516.35</v>
      </c>
      <c r="EV118" s="231">
        <v>6223712</v>
      </c>
      <c r="EW118" s="231">
        <v>1495.47</v>
      </c>
      <c r="EX118" s="231">
        <v>1445.65</v>
      </c>
      <c r="EY118" s="228">
        <v>49.82</v>
      </c>
      <c r="EZ118" s="229">
        <v>3.4500000000000003E-2</v>
      </c>
      <c r="FA118" s="229">
        <v>0.38690000000000002</v>
      </c>
      <c r="FB118" s="227" t="s">
        <v>567</v>
      </c>
      <c r="FC118">
        <f t="shared" si="1"/>
        <v>36</v>
      </c>
    </row>
    <row r="119" spans="1:159" ht="17.25" thickBot="1" x14ac:dyDescent="0.3">
      <c r="A119" s="226">
        <v>45889</v>
      </c>
      <c r="B119" s="227" t="s">
        <v>161</v>
      </c>
      <c r="C119" s="227" t="s">
        <v>611</v>
      </c>
      <c r="D119" s="228">
        <v>175</v>
      </c>
      <c r="E119" s="228">
        <v>8</v>
      </c>
      <c r="F119" s="231">
        <v>3987.7</v>
      </c>
      <c r="G119" s="231">
        <v>3956.2</v>
      </c>
      <c r="H119" s="228">
        <v>31.5</v>
      </c>
      <c r="I119" s="229">
        <v>8.0000000000000002E-3</v>
      </c>
      <c r="J119" s="231">
        <v>3986.4</v>
      </c>
      <c r="K119" s="231">
        <v>3946.6</v>
      </c>
      <c r="L119" s="228">
        <v>39.799999999999997</v>
      </c>
      <c r="M119" s="229">
        <v>1.01E-2</v>
      </c>
      <c r="N119" s="231">
        <v>3987.7</v>
      </c>
      <c r="O119" s="231">
        <v>3956.2</v>
      </c>
      <c r="P119" s="228">
        <v>31.5</v>
      </c>
      <c r="Q119" s="229">
        <v>8.0000000000000002E-3</v>
      </c>
      <c r="R119" s="231">
        <v>4006.7</v>
      </c>
      <c r="S119" s="231">
        <v>3973.9</v>
      </c>
      <c r="T119" s="228">
        <v>32.799999999999997</v>
      </c>
      <c r="U119" s="229">
        <v>8.3000000000000001E-3</v>
      </c>
      <c r="V119" s="231">
        <v>4040</v>
      </c>
      <c r="W119" s="231">
        <v>3991.6</v>
      </c>
      <c r="X119" s="228">
        <v>48.4</v>
      </c>
      <c r="Y119" s="229">
        <v>1.21E-2</v>
      </c>
      <c r="Z119" s="228">
        <v>1.3</v>
      </c>
      <c r="AA119" s="228">
        <v>9.6</v>
      </c>
      <c r="AB119" s="228">
        <v>-8.3000000000000007</v>
      </c>
      <c r="AC119" s="229">
        <v>2.9999999999999997E-4</v>
      </c>
      <c r="AD119" s="228">
        <v>1.3</v>
      </c>
      <c r="AE119" s="228">
        <v>9.6</v>
      </c>
      <c r="AF119" s="228">
        <v>-8.3000000000000007</v>
      </c>
      <c r="AG119" s="229">
        <v>2.9999999999999997E-4</v>
      </c>
      <c r="AH119" s="228">
        <v>20.3</v>
      </c>
      <c r="AI119" s="228">
        <v>27.3</v>
      </c>
      <c r="AJ119" s="228">
        <v>-7</v>
      </c>
      <c r="AK119" s="229">
        <v>5.1000000000000004E-3</v>
      </c>
      <c r="AL119" s="228">
        <v>53.6</v>
      </c>
      <c r="AM119" s="228">
        <v>45</v>
      </c>
      <c r="AN119" s="228">
        <v>8.6</v>
      </c>
      <c r="AO119" s="229">
        <v>1.34E-2</v>
      </c>
      <c r="AP119" s="231">
        <v>4012.87</v>
      </c>
      <c r="AQ119" s="231">
        <v>4033.83</v>
      </c>
      <c r="AR119" s="228">
        <v>0</v>
      </c>
      <c r="AS119" s="228">
        <v>175</v>
      </c>
      <c r="AT119" s="228">
        <v>186</v>
      </c>
      <c r="AU119" s="228">
        <v>-11</v>
      </c>
      <c r="AV119" s="229">
        <v>-6.0699999999999997E-2</v>
      </c>
      <c r="AW119" s="228">
        <v>145</v>
      </c>
      <c r="AX119" s="228">
        <v>173</v>
      </c>
      <c r="AY119" s="228">
        <v>-28</v>
      </c>
      <c r="AZ119" s="229">
        <v>-0.16300000000000001</v>
      </c>
      <c r="BA119" s="228">
        <v>29</v>
      </c>
      <c r="BB119" s="228">
        <v>12</v>
      </c>
      <c r="BC119" s="228">
        <v>16</v>
      </c>
      <c r="BD119" s="229">
        <v>1.3017000000000001</v>
      </c>
      <c r="BE119" s="228">
        <v>1</v>
      </c>
      <c r="BF119" s="228">
        <v>0</v>
      </c>
      <c r="BG119" s="228">
        <v>1</v>
      </c>
      <c r="BH119" s="229">
        <v>1.6667000000000001</v>
      </c>
      <c r="BI119" s="230">
        <v>1109</v>
      </c>
      <c r="BJ119" s="228">
        <v>428</v>
      </c>
      <c r="BK119" s="228">
        <v>682</v>
      </c>
      <c r="BL119" s="229">
        <v>1.5932999999999999</v>
      </c>
      <c r="BM119" s="228">
        <v>359</v>
      </c>
      <c r="BN119" s="228">
        <v>187</v>
      </c>
      <c r="BO119" s="228">
        <v>172</v>
      </c>
      <c r="BP119" s="229">
        <v>0.92330000000000001</v>
      </c>
      <c r="BQ119" s="230">
        <v>1643</v>
      </c>
      <c r="BR119" s="228">
        <v>801</v>
      </c>
      <c r="BS119" s="228">
        <v>843</v>
      </c>
      <c r="BT119" s="229">
        <v>1.0524</v>
      </c>
      <c r="BU119" s="230">
        <v>403103</v>
      </c>
      <c r="BV119" s="230">
        <v>515215</v>
      </c>
      <c r="BW119" s="230">
        <v>-112112</v>
      </c>
      <c r="BX119" s="229">
        <v>-0.21759999999999999</v>
      </c>
      <c r="BY119" s="228">
        <v>467</v>
      </c>
      <c r="BZ119" s="228">
        <v>474</v>
      </c>
      <c r="CA119" s="228">
        <v>-7</v>
      </c>
      <c r="CB119" s="229">
        <v>-1.49E-2</v>
      </c>
      <c r="CC119" s="228">
        <v>452</v>
      </c>
      <c r="CD119" s="228">
        <v>462</v>
      </c>
      <c r="CE119" s="228">
        <v>-9</v>
      </c>
      <c r="CF119" s="229">
        <v>-2.01E-2</v>
      </c>
      <c r="CG119" s="228">
        <v>14</v>
      </c>
      <c r="CH119" s="228">
        <v>12</v>
      </c>
      <c r="CI119" s="228">
        <v>2</v>
      </c>
      <c r="CJ119" s="229">
        <v>0.19389999999999999</v>
      </c>
      <c r="CK119" s="228">
        <v>1</v>
      </c>
      <c r="CL119" s="228">
        <v>1</v>
      </c>
      <c r="CM119" s="228">
        <v>0</v>
      </c>
      <c r="CN119" s="229">
        <v>0</v>
      </c>
      <c r="CO119" s="228">
        <v>202</v>
      </c>
      <c r="CP119" s="228">
        <v>145</v>
      </c>
      <c r="CQ119" s="228">
        <v>58</v>
      </c>
      <c r="CR119" s="229">
        <v>0.39710000000000001</v>
      </c>
      <c r="CS119" s="228">
        <v>145</v>
      </c>
      <c r="CT119" s="228">
        <v>146</v>
      </c>
      <c r="CU119" s="228">
        <v>-1</v>
      </c>
      <c r="CV119" s="229">
        <v>-6.7000000000000002E-3</v>
      </c>
      <c r="CW119" s="228">
        <v>814</v>
      </c>
      <c r="CX119" s="228">
        <v>764</v>
      </c>
      <c r="CY119" s="228">
        <v>49</v>
      </c>
      <c r="CZ119" s="229">
        <v>6.4699999999999994E-2</v>
      </c>
      <c r="DA119" s="228">
        <v>30.16</v>
      </c>
      <c r="DB119" s="228">
        <v>27.63</v>
      </c>
      <c r="DC119" s="228">
        <v>2.5299999999999998</v>
      </c>
      <c r="DD119" s="228">
        <v>2.5299999999999998</v>
      </c>
      <c r="DE119" s="228">
        <v>51.76</v>
      </c>
      <c r="DF119" s="228">
        <v>51.88</v>
      </c>
      <c r="DG119" s="228">
        <v>-21.6</v>
      </c>
      <c r="DH119" s="228">
        <v>-0.12</v>
      </c>
      <c r="DI119" s="228">
        <v>30.72</v>
      </c>
      <c r="DJ119" s="228">
        <v>27.76</v>
      </c>
      <c r="DK119" s="228">
        <v>2.96</v>
      </c>
      <c r="DL119" s="228">
        <v>2.96</v>
      </c>
      <c r="DM119" s="228">
        <v>28.42</v>
      </c>
      <c r="DN119" s="228">
        <v>27.33</v>
      </c>
      <c r="DO119" s="228">
        <v>1.0900000000000001</v>
      </c>
      <c r="DP119" s="228">
        <v>1.0900000000000001</v>
      </c>
      <c r="DQ119" s="228">
        <v>0.72</v>
      </c>
      <c r="DR119" s="228">
        <v>1.01</v>
      </c>
      <c r="DS119" s="228">
        <v>-0.28999999999999998</v>
      </c>
      <c r="DT119" s="229">
        <v>-0.28710000000000002</v>
      </c>
      <c r="DU119" s="231">
        <v>4100</v>
      </c>
      <c r="DV119" s="231">
        <v>3800</v>
      </c>
      <c r="DW119" s="228">
        <v>0.32</v>
      </c>
      <c r="DX119" s="228">
        <v>0.44</v>
      </c>
      <c r="DY119" s="228">
        <v>-0.12</v>
      </c>
      <c r="DZ119" s="229">
        <v>-0.2727</v>
      </c>
      <c r="EA119" s="229">
        <v>3.1099999999999999E-2</v>
      </c>
      <c r="EB119" s="230">
        <v>30800</v>
      </c>
      <c r="EC119" s="229">
        <v>4.7999999999999996E-3</v>
      </c>
      <c r="ED119" s="229">
        <v>3.1099999999999999E-2</v>
      </c>
      <c r="EE119" s="228">
        <v>20.96</v>
      </c>
      <c r="EF119" s="229">
        <v>5.1999999999999998E-3</v>
      </c>
      <c r="EG119" s="230">
        <v>165649</v>
      </c>
      <c r="EH119" s="230">
        <v>327621</v>
      </c>
      <c r="EI119" s="229">
        <v>-0.49440000000000001</v>
      </c>
      <c r="EJ119" s="229">
        <v>0.41089999999999999</v>
      </c>
      <c r="EK119" s="231">
        <v>1148.17</v>
      </c>
      <c r="EL119" s="228">
        <v>352.44</v>
      </c>
      <c r="EM119" s="228">
        <v>176.22</v>
      </c>
      <c r="EN119" s="228">
        <v>0</v>
      </c>
      <c r="EO119" s="231">
        <v>1676.83</v>
      </c>
      <c r="EP119" s="228">
        <v>795.9</v>
      </c>
      <c r="EQ119" s="228">
        <v>880.93</v>
      </c>
      <c r="ER119" s="229">
        <v>1.1068</v>
      </c>
      <c r="ES119" s="228">
        <v>205.43</v>
      </c>
      <c r="ET119" s="228">
        <v>138.44999999999999</v>
      </c>
      <c r="EU119" s="228">
        <v>466.87</v>
      </c>
      <c r="EV119" s="231">
        <v>12418320</v>
      </c>
      <c r="EW119" s="228">
        <v>810.75</v>
      </c>
      <c r="EX119" s="228">
        <v>753.72</v>
      </c>
      <c r="EY119" s="228">
        <v>57.03</v>
      </c>
      <c r="EZ119" s="229">
        <v>7.5700000000000003E-2</v>
      </c>
      <c r="FA119" s="229">
        <v>0.16439999999999999</v>
      </c>
      <c r="FB119" s="227" t="s">
        <v>556</v>
      </c>
      <c r="FC119">
        <f t="shared" si="1"/>
        <v>15</v>
      </c>
    </row>
    <row r="120" spans="1:159" ht="17.25" thickBot="1" x14ac:dyDescent="0.3">
      <c r="A120" s="226">
        <v>45889</v>
      </c>
      <c r="B120" s="227" t="s">
        <v>175</v>
      </c>
      <c r="C120" s="227" t="s">
        <v>685</v>
      </c>
      <c r="D120" s="228">
        <v>450</v>
      </c>
      <c r="E120" s="228">
        <v>8</v>
      </c>
      <c r="F120" s="231">
        <v>1112.4000000000001</v>
      </c>
      <c r="G120" s="231">
        <v>1122.5999999999999</v>
      </c>
      <c r="H120" s="228">
        <v>-10.199999999999999</v>
      </c>
      <c r="I120" s="229">
        <v>-9.1000000000000004E-3</v>
      </c>
      <c r="J120" s="231">
        <v>1115.8</v>
      </c>
      <c r="K120" s="231">
        <v>1125.4000000000001</v>
      </c>
      <c r="L120" s="228">
        <v>-9.6</v>
      </c>
      <c r="M120" s="229">
        <v>-8.5000000000000006E-3</v>
      </c>
      <c r="N120" s="231">
        <v>1112.4000000000001</v>
      </c>
      <c r="O120" s="231">
        <v>1122.5999999999999</v>
      </c>
      <c r="P120" s="228">
        <v>-10.199999999999999</v>
      </c>
      <c r="Q120" s="229">
        <v>-9.1000000000000004E-3</v>
      </c>
      <c r="R120" s="231">
        <v>1117.9000000000001</v>
      </c>
      <c r="S120" s="231">
        <v>1125.9000000000001</v>
      </c>
      <c r="T120" s="228">
        <v>-8</v>
      </c>
      <c r="U120" s="229">
        <v>-7.1000000000000004E-3</v>
      </c>
      <c r="V120" s="231">
        <v>1121</v>
      </c>
      <c r="W120" s="231">
        <v>1122.7</v>
      </c>
      <c r="X120" s="228">
        <v>-1.7</v>
      </c>
      <c r="Y120" s="229">
        <v>-1.5E-3</v>
      </c>
      <c r="Z120" s="228">
        <v>-3.4</v>
      </c>
      <c r="AA120" s="228">
        <v>-2.8</v>
      </c>
      <c r="AB120" s="228">
        <v>-0.6</v>
      </c>
      <c r="AC120" s="229">
        <v>-3.0000000000000001E-3</v>
      </c>
      <c r="AD120" s="228">
        <v>-3.4</v>
      </c>
      <c r="AE120" s="228">
        <v>-2.8</v>
      </c>
      <c r="AF120" s="228">
        <v>-0.6</v>
      </c>
      <c r="AG120" s="229">
        <v>-3.0000000000000001E-3</v>
      </c>
      <c r="AH120" s="228">
        <v>2.1</v>
      </c>
      <c r="AI120" s="228">
        <v>0.5</v>
      </c>
      <c r="AJ120" s="228">
        <v>1.6</v>
      </c>
      <c r="AK120" s="229">
        <v>1.9E-3</v>
      </c>
      <c r="AL120" s="228">
        <v>5.2</v>
      </c>
      <c r="AM120" s="228">
        <v>-2.7</v>
      </c>
      <c r="AN120" s="228">
        <v>7.9</v>
      </c>
      <c r="AO120" s="229">
        <v>4.7000000000000002E-3</v>
      </c>
      <c r="AP120" s="231">
        <v>1109.5899999999999</v>
      </c>
      <c r="AQ120" s="231">
        <v>1116.48</v>
      </c>
      <c r="AR120" s="228">
        <v>0</v>
      </c>
      <c r="AS120" s="228">
        <v>58</v>
      </c>
      <c r="AT120" s="228">
        <v>77</v>
      </c>
      <c r="AU120" s="228">
        <v>-19</v>
      </c>
      <c r="AV120" s="229">
        <v>-0.25080000000000002</v>
      </c>
      <c r="AW120" s="228">
        <v>49</v>
      </c>
      <c r="AX120" s="228">
        <v>71</v>
      </c>
      <c r="AY120" s="228">
        <v>-22</v>
      </c>
      <c r="AZ120" s="229">
        <v>-0.31230000000000002</v>
      </c>
      <c r="BA120" s="228">
        <v>9</v>
      </c>
      <c r="BB120" s="228">
        <v>7</v>
      </c>
      <c r="BC120" s="228">
        <v>2</v>
      </c>
      <c r="BD120" s="229">
        <v>0.36919999999999997</v>
      </c>
      <c r="BE120" s="228">
        <v>0</v>
      </c>
      <c r="BF120" s="228">
        <v>0</v>
      </c>
      <c r="BG120" s="228">
        <v>0</v>
      </c>
      <c r="BH120" s="229">
        <v>1.25</v>
      </c>
      <c r="BI120" s="228">
        <v>124</v>
      </c>
      <c r="BJ120" s="228">
        <v>150</v>
      </c>
      <c r="BK120" s="228">
        <v>-26</v>
      </c>
      <c r="BL120" s="229">
        <v>-0.17580000000000001</v>
      </c>
      <c r="BM120" s="228">
        <v>43</v>
      </c>
      <c r="BN120" s="228">
        <v>50</v>
      </c>
      <c r="BO120" s="228">
        <v>-7</v>
      </c>
      <c r="BP120" s="229">
        <v>-0.13270000000000001</v>
      </c>
      <c r="BQ120" s="228">
        <v>225</v>
      </c>
      <c r="BR120" s="228">
        <v>277</v>
      </c>
      <c r="BS120" s="228">
        <v>-52</v>
      </c>
      <c r="BT120" s="229">
        <v>-0.189</v>
      </c>
      <c r="BU120" s="230">
        <v>705438</v>
      </c>
      <c r="BV120" s="230">
        <v>678882</v>
      </c>
      <c r="BW120" s="230">
        <v>26556</v>
      </c>
      <c r="BX120" s="229">
        <v>3.9100000000000003E-2</v>
      </c>
      <c r="BY120" s="228">
        <v>241</v>
      </c>
      <c r="BZ120" s="228">
        <v>235</v>
      </c>
      <c r="CA120" s="228">
        <v>6</v>
      </c>
      <c r="CB120" s="229">
        <v>2.6700000000000002E-2</v>
      </c>
      <c r="CC120" s="228">
        <v>223</v>
      </c>
      <c r="CD120" s="228">
        <v>220</v>
      </c>
      <c r="CE120" s="228">
        <v>3</v>
      </c>
      <c r="CF120" s="229">
        <v>1.43E-2</v>
      </c>
      <c r="CG120" s="228">
        <v>16</v>
      </c>
      <c r="CH120" s="228">
        <v>13</v>
      </c>
      <c r="CI120" s="228">
        <v>3</v>
      </c>
      <c r="CJ120" s="229">
        <v>0.20899999999999999</v>
      </c>
      <c r="CK120" s="228">
        <v>1</v>
      </c>
      <c r="CL120" s="228">
        <v>1</v>
      </c>
      <c r="CM120" s="228">
        <v>0</v>
      </c>
      <c r="CN120" s="229">
        <v>0.35289999999999999</v>
      </c>
      <c r="CO120" s="228">
        <v>118</v>
      </c>
      <c r="CP120" s="228">
        <v>101</v>
      </c>
      <c r="CQ120" s="228">
        <v>17</v>
      </c>
      <c r="CR120" s="229">
        <v>0.17100000000000001</v>
      </c>
      <c r="CS120" s="228">
        <v>55</v>
      </c>
      <c r="CT120" s="228">
        <v>57</v>
      </c>
      <c r="CU120" s="228">
        <v>-2</v>
      </c>
      <c r="CV120" s="229">
        <v>-3.0700000000000002E-2</v>
      </c>
      <c r="CW120" s="228">
        <v>414</v>
      </c>
      <c r="CX120" s="228">
        <v>393</v>
      </c>
      <c r="CY120" s="228">
        <v>22</v>
      </c>
      <c r="CZ120" s="229">
        <v>5.5500000000000001E-2</v>
      </c>
      <c r="DA120" s="228">
        <v>42.46</v>
      </c>
      <c r="DB120" s="228">
        <v>41.69</v>
      </c>
      <c r="DC120" s="228">
        <v>0.77</v>
      </c>
      <c r="DD120" s="228">
        <v>0.77</v>
      </c>
      <c r="DE120" s="228">
        <v>58.8</v>
      </c>
      <c r="DF120" s="228">
        <v>58.93</v>
      </c>
      <c r="DG120" s="228">
        <v>-16.34</v>
      </c>
      <c r="DH120" s="228">
        <v>-0.13</v>
      </c>
      <c r="DI120" s="228">
        <v>43.62</v>
      </c>
      <c r="DJ120" s="228">
        <v>42.11</v>
      </c>
      <c r="DK120" s="228">
        <v>1.51</v>
      </c>
      <c r="DL120" s="228">
        <v>1.51</v>
      </c>
      <c r="DM120" s="228">
        <v>39.119999999999997</v>
      </c>
      <c r="DN120" s="228">
        <v>40.43</v>
      </c>
      <c r="DO120" s="228">
        <v>-1.31</v>
      </c>
      <c r="DP120" s="228">
        <v>-1.31</v>
      </c>
      <c r="DQ120" s="228">
        <v>0.47</v>
      </c>
      <c r="DR120" s="228">
        <v>0.56000000000000005</v>
      </c>
      <c r="DS120" s="228">
        <v>-0.09</v>
      </c>
      <c r="DT120" s="229">
        <v>-0.16070000000000001</v>
      </c>
      <c r="DU120" s="231">
        <v>1200</v>
      </c>
      <c r="DV120" s="231">
        <v>1100</v>
      </c>
      <c r="DW120" s="228">
        <v>0.35</v>
      </c>
      <c r="DX120" s="228">
        <v>0.33</v>
      </c>
      <c r="DY120" s="228">
        <v>0.02</v>
      </c>
      <c r="DZ120" s="229">
        <v>6.0600000000000001E-2</v>
      </c>
      <c r="EA120" s="229">
        <v>7.2099999999999997E-2</v>
      </c>
      <c r="EB120" s="230">
        <v>128250</v>
      </c>
      <c r="EC120" s="229">
        <v>4.8999999999999998E-3</v>
      </c>
      <c r="ED120" s="229">
        <v>7.2099999999999997E-2</v>
      </c>
      <c r="EE120" s="228">
        <v>6.89</v>
      </c>
      <c r="EF120" s="229">
        <v>6.1999999999999998E-3</v>
      </c>
      <c r="EG120" s="230">
        <v>365537</v>
      </c>
      <c r="EH120" s="230">
        <v>326749</v>
      </c>
      <c r="EI120" s="229">
        <v>0.1187</v>
      </c>
      <c r="EJ120" s="229">
        <v>0.51819999999999999</v>
      </c>
      <c r="EK120" s="228">
        <v>135</v>
      </c>
      <c r="EL120" s="228">
        <v>41.48</v>
      </c>
      <c r="EM120" s="228">
        <v>57.78</v>
      </c>
      <c r="EN120" s="228">
        <v>0</v>
      </c>
      <c r="EO120" s="228">
        <v>234.25</v>
      </c>
      <c r="EP120" s="228">
        <v>287.98</v>
      </c>
      <c r="EQ120" s="228">
        <v>-53.72</v>
      </c>
      <c r="ER120" s="229">
        <v>-0.1865</v>
      </c>
      <c r="ES120" s="228">
        <v>129.13</v>
      </c>
      <c r="ET120" s="228">
        <v>53.33</v>
      </c>
      <c r="EU120" s="228">
        <v>240.87</v>
      </c>
      <c r="EV120" s="231">
        <v>26548239</v>
      </c>
      <c r="EW120" s="228">
        <v>423.33</v>
      </c>
      <c r="EX120" s="228">
        <v>401.42</v>
      </c>
      <c r="EY120" s="228">
        <v>21.91</v>
      </c>
      <c r="EZ120" s="229">
        <v>5.4600000000000003E-2</v>
      </c>
      <c r="FA120" s="229">
        <v>0.14030000000000001</v>
      </c>
      <c r="FB120" s="227" t="s">
        <v>567</v>
      </c>
      <c r="FC120">
        <f t="shared" si="1"/>
        <v>18</v>
      </c>
    </row>
    <row r="121" spans="1:159" ht="17.25" thickBot="1" x14ac:dyDescent="0.3">
      <c r="A121" s="226">
        <v>45889</v>
      </c>
      <c r="B121" s="227" t="s">
        <v>172</v>
      </c>
      <c r="C121" s="227" t="s">
        <v>246</v>
      </c>
      <c r="D121" s="228">
        <v>400</v>
      </c>
      <c r="E121" s="228">
        <v>8</v>
      </c>
      <c r="F121" s="231">
        <v>2019.2</v>
      </c>
      <c r="G121" s="231">
        <v>2031.2</v>
      </c>
      <c r="H121" s="228">
        <v>-12</v>
      </c>
      <c r="I121" s="229">
        <v>-5.8999999999999999E-3</v>
      </c>
      <c r="J121" s="231">
        <v>2017.5</v>
      </c>
      <c r="K121" s="231">
        <v>2029.9</v>
      </c>
      <c r="L121" s="228">
        <v>-12.4</v>
      </c>
      <c r="M121" s="229">
        <v>-6.1000000000000004E-3</v>
      </c>
      <c r="N121" s="231">
        <v>2019.2</v>
      </c>
      <c r="O121" s="231">
        <v>2031.2</v>
      </c>
      <c r="P121" s="228">
        <v>-12</v>
      </c>
      <c r="Q121" s="229">
        <v>-5.8999999999999999E-3</v>
      </c>
      <c r="R121" s="231">
        <v>2030.7</v>
      </c>
      <c r="S121" s="231">
        <v>2043</v>
      </c>
      <c r="T121" s="228">
        <v>-12.3</v>
      </c>
      <c r="U121" s="229">
        <v>-6.0000000000000001E-3</v>
      </c>
      <c r="V121" s="231">
        <v>2040.3</v>
      </c>
      <c r="W121" s="231">
        <v>2054.4</v>
      </c>
      <c r="X121" s="228">
        <v>-14.1</v>
      </c>
      <c r="Y121" s="229">
        <v>-6.8999999999999999E-3</v>
      </c>
      <c r="Z121" s="228">
        <v>1.7</v>
      </c>
      <c r="AA121" s="228">
        <v>1.3</v>
      </c>
      <c r="AB121" s="228">
        <v>0.4</v>
      </c>
      <c r="AC121" s="229">
        <v>8.0000000000000004E-4</v>
      </c>
      <c r="AD121" s="228">
        <v>1.7</v>
      </c>
      <c r="AE121" s="228">
        <v>1.3</v>
      </c>
      <c r="AF121" s="228">
        <v>0.4</v>
      </c>
      <c r="AG121" s="229">
        <v>8.0000000000000004E-4</v>
      </c>
      <c r="AH121" s="228">
        <v>13.2</v>
      </c>
      <c r="AI121" s="228">
        <v>13.1</v>
      </c>
      <c r="AJ121" s="228">
        <v>0.1</v>
      </c>
      <c r="AK121" s="229">
        <v>6.4999999999999997E-3</v>
      </c>
      <c r="AL121" s="228">
        <v>22.8</v>
      </c>
      <c r="AM121" s="228">
        <v>24.5</v>
      </c>
      <c r="AN121" s="228">
        <v>-1.7</v>
      </c>
      <c r="AO121" s="229">
        <v>1.1299999999999999E-2</v>
      </c>
      <c r="AP121" s="231">
        <v>2018.76</v>
      </c>
      <c r="AQ121" s="231">
        <v>2030.61</v>
      </c>
      <c r="AR121" s="228">
        <v>0</v>
      </c>
      <c r="AS121" s="228">
        <v>754</v>
      </c>
      <c r="AT121" s="228">
        <v>838</v>
      </c>
      <c r="AU121" s="228">
        <v>-84</v>
      </c>
      <c r="AV121" s="229">
        <v>-0.1002</v>
      </c>
      <c r="AW121" s="228">
        <v>546</v>
      </c>
      <c r="AX121" s="228">
        <v>658</v>
      </c>
      <c r="AY121" s="228">
        <v>-112</v>
      </c>
      <c r="AZ121" s="229">
        <v>-0.17080000000000001</v>
      </c>
      <c r="BA121" s="228">
        <v>138</v>
      </c>
      <c r="BB121" s="228">
        <v>54</v>
      </c>
      <c r="BC121" s="228">
        <v>85</v>
      </c>
      <c r="BD121" s="229">
        <v>1.5759000000000001</v>
      </c>
      <c r="BE121" s="228">
        <v>70</v>
      </c>
      <c r="BF121" s="228">
        <v>126</v>
      </c>
      <c r="BG121" s="228">
        <v>-56</v>
      </c>
      <c r="BH121" s="229">
        <v>-0.44640000000000002</v>
      </c>
      <c r="BI121" s="230">
        <v>1197</v>
      </c>
      <c r="BJ121" s="230">
        <v>2341</v>
      </c>
      <c r="BK121" s="230">
        <v>-1144</v>
      </c>
      <c r="BL121" s="229">
        <v>-0.48880000000000001</v>
      </c>
      <c r="BM121" s="228">
        <v>763</v>
      </c>
      <c r="BN121" s="230">
        <v>1364</v>
      </c>
      <c r="BO121" s="228">
        <v>-601</v>
      </c>
      <c r="BP121" s="229">
        <v>-0.4405</v>
      </c>
      <c r="BQ121" s="230">
        <v>2714</v>
      </c>
      <c r="BR121" s="230">
        <v>4543</v>
      </c>
      <c r="BS121" s="230">
        <v>-1829</v>
      </c>
      <c r="BT121" s="229">
        <v>-0.40260000000000001</v>
      </c>
      <c r="BU121" s="230">
        <v>2679530</v>
      </c>
      <c r="BV121" s="230">
        <v>3339229</v>
      </c>
      <c r="BW121" s="230">
        <v>-659699</v>
      </c>
      <c r="BX121" s="229">
        <v>-0.1976</v>
      </c>
      <c r="BY121" s="230">
        <v>6835</v>
      </c>
      <c r="BZ121" s="230">
        <v>6826</v>
      </c>
      <c r="CA121" s="228">
        <v>9</v>
      </c>
      <c r="CB121" s="229">
        <v>1.2999999999999999E-3</v>
      </c>
      <c r="CC121" s="230">
        <v>6070</v>
      </c>
      <c r="CD121" s="230">
        <v>6227</v>
      </c>
      <c r="CE121" s="228">
        <v>-156</v>
      </c>
      <c r="CF121" s="229">
        <v>-2.5100000000000001E-2</v>
      </c>
      <c r="CG121" s="228">
        <v>395</v>
      </c>
      <c r="CH121" s="228">
        <v>296</v>
      </c>
      <c r="CI121" s="228">
        <v>99</v>
      </c>
      <c r="CJ121" s="229">
        <v>0.3332</v>
      </c>
      <c r="CK121" s="228">
        <v>370</v>
      </c>
      <c r="CL121" s="228">
        <v>303</v>
      </c>
      <c r="CM121" s="228">
        <v>67</v>
      </c>
      <c r="CN121" s="229">
        <v>0.22</v>
      </c>
      <c r="CO121" s="230">
        <v>1563</v>
      </c>
      <c r="CP121" s="230">
        <v>1550</v>
      </c>
      <c r="CQ121" s="228">
        <v>13</v>
      </c>
      <c r="CR121" s="229">
        <v>8.0999999999999996E-3</v>
      </c>
      <c r="CS121" s="230">
        <v>1120</v>
      </c>
      <c r="CT121" s="230">
        <v>1152</v>
      </c>
      <c r="CU121" s="228">
        <v>-32</v>
      </c>
      <c r="CV121" s="229">
        <v>-2.8000000000000001E-2</v>
      </c>
      <c r="CW121" s="230">
        <v>9517</v>
      </c>
      <c r="CX121" s="230">
        <v>9528</v>
      </c>
      <c r="CY121" s="228">
        <v>-11</v>
      </c>
      <c r="CZ121" s="229">
        <v>-1.1000000000000001E-3</v>
      </c>
      <c r="DA121" s="228">
        <v>18.02</v>
      </c>
      <c r="DB121" s="228">
        <v>17.98</v>
      </c>
      <c r="DC121" s="228">
        <v>0.04</v>
      </c>
      <c r="DD121" s="228">
        <v>0.04</v>
      </c>
      <c r="DE121" s="228">
        <v>28.63</v>
      </c>
      <c r="DF121" s="228">
        <v>28.69</v>
      </c>
      <c r="DG121" s="228">
        <v>-10.61</v>
      </c>
      <c r="DH121" s="228">
        <v>-0.06</v>
      </c>
      <c r="DI121" s="228">
        <v>18.45</v>
      </c>
      <c r="DJ121" s="228">
        <v>17.670000000000002</v>
      </c>
      <c r="DK121" s="228">
        <v>0.78</v>
      </c>
      <c r="DL121" s="228">
        <v>0.78</v>
      </c>
      <c r="DM121" s="228">
        <v>17.36</v>
      </c>
      <c r="DN121" s="228">
        <v>18.5</v>
      </c>
      <c r="DO121" s="228">
        <v>-1.1399999999999999</v>
      </c>
      <c r="DP121" s="228">
        <v>-1.1399999999999999</v>
      </c>
      <c r="DQ121" s="228">
        <v>0.72</v>
      </c>
      <c r="DR121" s="228">
        <v>0.74</v>
      </c>
      <c r="DS121" s="228">
        <v>-0.02</v>
      </c>
      <c r="DT121" s="229">
        <v>-2.7E-2</v>
      </c>
      <c r="DU121" s="231">
        <v>2200</v>
      </c>
      <c r="DV121" s="231">
        <v>2000</v>
      </c>
      <c r="DW121" s="228">
        <v>0.64</v>
      </c>
      <c r="DX121" s="228">
        <v>0.57999999999999996</v>
      </c>
      <c r="DY121" s="228">
        <v>0.06</v>
      </c>
      <c r="DZ121" s="229">
        <v>0.10340000000000001</v>
      </c>
      <c r="EA121" s="229">
        <v>0.1119</v>
      </c>
      <c r="EB121" s="230">
        <v>2967200</v>
      </c>
      <c r="EC121" s="229">
        <v>5.7000000000000002E-3</v>
      </c>
      <c r="ED121" s="229">
        <v>0.1119</v>
      </c>
      <c r="EE121" s="228">
        <v>11.85</v>
      </c>
      <c r="EF121" s="229">
        <v>5.8999999999999999E-3</v>
      </c>
      <c r="EG121" s="230">
        <v>2109466</v>
      </c>
      <c r="EH121" s="230">
        <v>2350302</v>
      </c>
      <c r="EI121" s="229">
        <v>-0.10249999999999999</v>
      </c>
      <c r="EJ121" s="229">
        <v>0.7873</v>
      </c>
      <c r="EK121" s="231">
        <v>1227.1500000000001</v>
      </c>
      <c r="EL121" s="228">
        <v>764.82</v>
      </c>
      <c r="EM121" s="228">
        <v>755.24</v>
      </c>
      <c r="EN121" s="228">
        <v>0</v>
      </c>
      <c r="EO121" s="231">
        <v>2747.21</v>
      </c>
      <c r="EP121" s="231">
        <v>4588.75</v>
      </c>
      <c r="EQ121" s="231">
        <v>-1841.54</v>
      </c>
      <c r="ER121" s="229">
        <v>-0.40129999999999999</v>
      </c>
      <c r="ES121" s="231">
        <v>1635.1</v>
      </c>
      <c r="ET121" s="231">
        <v>1081.3499999999999</v>
      </c>
      <c r="EU121" s="231">
        <v>6840.86</v>
      </c>
      <c r="EV121" s="231">
        <v>294735983</v>
      </c>
      <c r="EW121" s="231">
        <v>9557.31</v>
      </c>
      <c r="EX121" s="231">
        <v>9609.06</v>
      </c>
      <c r="EY121" s="228">
        <v>-51.75</v>
      </c>
      <c r="EZ121" s="229">
        <v>-5.4000000000000003E-3</v>
      </c>
      <c r="FA121" s="229">
        <v>0.15989999999999999</v>
      </c>
      <c r="FB121" s="227" t="s">
        <v>567</v>
      </c>
      <c r="FC121">
        <f t="shared" si="1"/>
        <v>765</v>
      </c>
    </row>
    <row r="122" spans="1:159" ht="17.25" thickBot="1" x14ac:dyDescent="0.3">
      <c r="A122" s="226">
        <v>45889</v>
      </c>
      <c r="B122" s="227" t="s">
        <v>221</v>
      </c>
      <c r="C122" s="227" t="s">
        <v>578</v>
      </c>
      <c r="D122" s="228">
        <v>400</v>
      </c>
      <c r="E122" s="228">
        <v>8</v>
      </c>
      <c r="F122" s="231">
        <v>1217.5999999999999</v>
      </c>
      <c r="G122" s="231">
        <v>1203</v>
      </c>
      <c r="H122" s="228">
        <v>14.6</v>
      </c>
      <c r="I122" s="229">
        <v>1.21E-2</v>
      </c>
      <c r="J122" s="231">
        <v>1214.5999999999999</v>
      </c>
      <c r="K122" s="231">
        <v>1199.5</v>
      </c>
      <c r="L122" s="228">
        <v>15.1</v>
      </c>
      <c r="M122" s="229">
        <v>1.26E-2</v>
      </c>
      <c r="N122" s="231">
        <v>1217.5999999999999</v>
      </c>
      <c r="O122" s="231">
        <v>1203</v>
      </c>
      <c r="P122" s="228">
        <v>14.6</v>
      </c>
      <c r="Q122" s="229">
        <v>1.21E-2</v>
      </c>
      <c r="R122" s="231">
        <v>1216.5</v>
      </c>
      <c r="S122" s="231">
        <v>1201.8</v>
      </c>
      <c r="T122" s="228">
        <v>14.7</v>
      </c>
      <c r="U122" s="229">
        <v>1.2200000000000001E-2</v>
      </c>
      <c r="V122" s="231">
        <v>1217.9000000000001</v>
      </c>
      <c r="W122" s="231">
        <v>1202</v>
      </c>
      <c r="X122" s="228">
        <v>15.9</v>
      </c>
      <c r="Y122" s="229">
        <v>1.32E-2</v>
      </c>
      <c r="Z122" s="228">
        <v>3</v>
      </c>
      <c r="AA122" s="228">
        <v>3.5</v>
      </c>
      <c r="AB122" s="228">
        <v>-0.5</v>
      </c>
      <c r="AC122" s="229">
        <v>2.5000000000000001E-3</v>
      </c>
      <c r="AD122" s="228">
        <v>3</v>
      </c>
      <c r="AE122" s="228">
        <v>3.5</v>
      </c>
      <c r="AF122" s="228">
        <v>-0.5</v>
      </c>
      <c r="AG122" s="229">
        <v>2.5000000000000001E-3</v>
      </c>
      <c r="AH122" s="228">
        <v>1.9</v>
      </c>
      <c r="AI122" s="228">
        <v>2.2999999999999998</v>
      </c>
      <c r="AJ122" s="228">
        <v>-0.4</v>
      </c>
      <c r="AK122" s="229">
        <v>1.6000000000000001E-3</v>
      </c>
      <c r="AL122" s="228">
        <v>3.3</v>
      </c>
      <c r="AM122" s="228">
        <v>2.5</v>
      </c>
      <c r="AN122" s="228">
        <v>0.8</v>
      </c>
      <c r="AO122" s="229">
        <v>2.7000000000000001E-3</v>
      </c>
      <c r="AP122" s="231">
        <v>1213.3499999999999</v>
      </c>
      <c r="AQ122" s="231">
        <v>1209.3800000000001</v>
      </c>
      <c r="AR122" s="228">
        <v>0</v>
      </c>
      <c r="AS122" s="228">
        <v>168</v>
      </c>
      <c r="AT122" s="228">
        <v>135</v>
      </c>
      <c r="AU122" s="228">
        <v>33</v>
      </c>
      <c r="AV122" s="229">
        <v>0.24310000000000001</v>
      </c>
      <c r="AW122" s="228">
        <v>118</v>
      </c>
      <c r="AX122" s="228">
        <v>102</v>
      </c>
      <c r="AY122" s="228">
        <v>16</v>
      </c>
      <c r="AZ122" s="229">
        <v>0.152</v>
      </c>
      <c r="BA122" s="228">
        <v>48</v>
      </c>
      <c r="BB122" s="228">
        <v>32</v>
      </c>
      <c r="BC122" s="228">
        <v>16</v>
      </c>
      <c r="BD122" s="229">
        <v>0.50609999999999999</v>
      </c>
      <c r="BE122" s="228">
        <v>2</v>
      </c>
      <c r="BF122" s="228">
        <v>1</v>
      </c>
      <c r="BG122" s="228">
        <v>1</v>
      </c>
      <c r="BH122" s="229">
        <v>1.5333000000000001</v>
      </c>
      <c r="BI122" s="228">
        <v>437</v>
      </c>
      <c r="BJ122" s="228">
        <v>319</v>
      </c>
      <c r="BK122" s="228">
        <v>118</v>
      </c>
      <c r="BL122" s="229">
        <v>0.36880000000000002</v>
      </c>
      <c r="BM122" s="228">
        <v>125</v>
      </c>
      <c r="BN122" s="228">
        <v>177</v>
      </c>
      <c r="BO122" s="228">
        <v>-53</v>
      </c>
      <c r="BP122" s="229">
        <v>-0.29709999999999998</v>
      </c>
      <c r="BQ122" s="228">
        <v>729</v>
      </c>
      <c r="BR122" s="228">
        <v>631</v>
      </c>
      <c r="BS122" s="228">
        <v>98</v>
      </c>
      <c r="BT122" s="229">
        <v>0.15490000000000001</v>
      </c>
      <c r="BU122" s="230">
        <v>1133983</v>
      </c>
      <c r="BV122" s="230">
        <v>637672</v>
      </c>
      <c r="BW122" s="230">
        <v>496311</v>
      </c>
      <c r="BX122" s="229">
        <v>0.77829999999999999</v>
      </c>
      <c r="BY122" s="228">
        <v>530</v>
      </c>
      <c r="BZ122" s="228">
        <v>532</v>
      </c>
      <c r="CA122" s="228">
        <v>-2</v>
      </c>
      <c r="CB122" s="229">
        <v>-4.1999999999999997E-3</v>
      </c>
      <c r="CC122" s="228">
        <v>460</v>
      </c>
      <c r="CD122" s="228">
        <v>477</v>
      </c>
      <c r="CE122" s="228">
        <v>-17</v>
      </c>
      <c r="CF122" s="229">
        <v>-3.5999999999999997E-2</v>
      </c>
      <c r="CG122" s="228">
        <v>68</v>
      </c>
      <c r="CH122" s="228">
        <v>53</v>
      </c>
      <c r="CI122" s="228">
        <v>14</v>
      </c>
      <c r="CJ122" s="229">
        <v>0.26729999999999998</v>
      </c>
      <c r="CK122" s="228">
        <v>3</v>
      </c>
      <c r="CL122" s="228">
        <v>2</v>
      </c>
      <c r="CM122" s="228">
        <v>1</v>
      </c>
      <c r="CN122" s="229">
        <v>0.28889999999999999</v>
      </c>
      <c r="CO122" s="228">
        <v>352</v>
      </c>
      <c r="CP122" s="228">
        <v>347</v>
      </c>
      <c r="CQ122" s="228">
        <v>4</v>
      </c>
      <c r="CR122" s="229">
        <v>1.2800000000000001E-2</v>
      </c>
      <c r="CS122" s="228">
        <v>301</v>
      </c>
      <c r="CT122" s="228">
        <v>292</v>
      </c>
      <c r="CU122" s="228">
        <v>8</v>
      </c>
      <c r="CV122" s="229">
        <v>2.87E-2</v>
      </c>
      <c r="CW122" s="230">
        <v>1182</v>
      </c>
      <c r="CX122" s="230">
        <v>1172</v>
      </c>
      <c r="CY122" s="228">
        <v>11</v>
      </c>
      <c r="CZ122" s="229">
        <v>8.9999999999999993E-3</v>
      </c>
      <c r="DA122" s="228">
        <v>30.39</v>
      </c>
      <c r="DB122" s="228">
        <v>32.61</v>
      </c>
      <c r="DC122" s="228">
        <v>-2.2200000000000002</v>
      </c>
      <c r="DD122" s="228">
        <v>-2.2200000000000002</v>
      </c>
      <c r="DE122" s="228">
        <v>45.25</v>
      </c>
      <c r="DF122" s="228">
        <v>45.33</v>
      </c>
      <c r="DG122" s="228">
        <v>-14.86</v>
      </c>
      <c r="DH122" s="228">
        <v>-0.08</v>
      </c>
      <c r="DI122" s="228">
        <v>30.78</v>
      </c>
      <c r="DJ122" s="228">
        <v>34.270000000000003</v>
      </c>
      <c r="DK122" s="228">
        <v>-3.49</v>
      </c>
      <c r="DL122" s="228">
        <v>-3.49</v>
      </c>
      <c r="DM122" s="228">
        <v>29.01</v>
      </c>
      <c r="DN122" s="228">
        <v>29.61</v>
      </c>
      <c r="DO122" s="228">
        <v>-0.6</v>
      </c>
      <c r="DP122" s="228">
        <v>-0.6</v>
      </c>
      <c r="DQ122" s="228">
        <v>0.86</v>
      </c>
      <c r="DR122" s="228">
        <v>0.84</v>
      </c>
      <c r="DS122" s="228">
        <v>0.02</v>
      </c>
      <c r="DT122" s="229">
        <v>2.3800000000000002E-2</v>
      </c>
      <c r="DU122" s="231">
        <v>1300</v>
      </c>
      <c r="DV122" s="231">
        <v>1140</v>
      </c>
      <c r="DW122" s="228">
        <v>0.28999999999999998</v>
      </c>
      <c r="DX122" s="228">
        <v>0.56000000000000005</v>
      </c>
      <c r="DY122" s="228">
        <v>-0.27</v>
      </c>
      <c r="DZ122" s="229">
        <v>-0.48209999999999997</v>
      </c>
      <c r="EA122" s="229">
        <v>0.13300000000000001</v>
      </c>
      <c r="EB122" s="230">
        <v>456400</v>
      </c>
      <c r="EC122" s="229">
        <v>-8.9999999999999998E-4</v>
      </c>
      <c r="ED122" s="229">
        <v>0.13300000000000001</v>
      </c>
      <c r="EE122" s="228">
        <v>-3.97</v>
      </c>
      <c r="EF122" s="229">
        <v>-3.3E-3</v>
      </c>
      <c r="EG122" s="230">
        <v>595489</v>
      </c>
      <c r="EH122" s="230">
        <v>243139</v>
      </c>
      <c r="EI122" s="229">
        <v>1.4492</v>
      </c>
      <c r="EJ122" s="229">
        <v>0.52510000000000001</v>
      </c>
      <c r="EK122" s="228">
        <v>451.3</v>
      </c>
      <c r="EL122" s="228">
        <v>120.68</v>
      </c>
      <c r="EM122" s="228">
        <v>166.84</v>
      </c>
      <c r="EN122" s="228">
        <v>0</v>
      </c>
      <c r="EO122" s="228">
        <v>738.83</v>
      </c>
      <c r="EP122" s="228">
        <v>638.19000000000005</v>
      </c>
      <c r="EQ122" s="228">
        <v>100.63</v>
      </c>
      <c r="ER122" s="229">
        <v>0.15770000000000001</v>
      </c>
      <c r="ES122" s="228">
        <v>371.48</v>
      </c>
      <c r="ET122" s="228">
        <v>284.16000000000003</v>
      </c>
      <c r="EU122" s="228">
        <v>529.99</v>
      </c>
      <c r="EV122" s="231">
        <v>32757726</v>
      </c>
      <c r="EW122" s="231">
        <v>1185.6199999999999</v>
      </c>
      <c r="EX122" s="231">
        <v>1169.25</v>
      </c>
      <c r="EY122" s="228">
        <v>16.37</v>
      </c>
      <c r="EZ122" s="229">
        <v>1.4E-2</v>
      </c>
      <c r="FA122" s="229">
        <v>0.2964</v>
      </c>
      <c r="FB122" s="227" t="s">
        <v>556</v>
      </c>
      <c r="FC122">
        <f t="shared" si="1"/>
        <v>70</v>
      </c>
    </row>
    <row r="123" spans="1:159" ht="17.25" thickBot="1" x14ac:dyDescent="0.3">
      <c r="A123" s="226">
        <v>45889</v>
      </c>
      <c r="B123" s="227" t="s">
        <v>170</v>
      </c>
      <c r="C123" s="227" t="s">
        <v>535</v>
      </c>
      <c r="D123" s="228">
        <v>1700</v>
      </c>
      <c r="E123" s="228">
        <v>8</v>
      </c>
      <c r="F123" s="228">
        <v>876.65</v>
      </c>
      <c r="G123" s="228">
        <v>885.65</v>
      </c>
      <c r="H123" s="228">
        <v>-9</v>
      </c>
      <c r="I123" s="229">
        <v>-1.0200000000000001E-2</v>
      </c>
      <c r="J123" s="228">
        <v>876.05</v>
      </c>
      <c r="K123" s="228">
        <v>883.9</v>
      </c>
      <c r="L123" s="228">
        <v>-7.85</v>
      </c>
      <c r="M123" s="229">
        <v>-8.8999999999999999E-3</v>
      </c>
      <c r="N123" s="228">
        <v>876.65</v>
      </c>
      <c r="O123" s="228">
        <v>885.65</v>
      </c>
      <c r="P123" s="228">
        <v>-9</v>
      </c>
      <c r="Q123" s="229">
        <v>-1.0200000000000001E-2</v>
      </c>
      <c r="R123" s="228">
        <v>881.55</v>
      </c>
      <c r="S123" s="228">
        <v>890.05</v>
      </c>
      <c r="T123" s="228">
        <v>-8.5</v>
      </c>
      <c r="U123" s="229">
        <v>-9.5999999999999992E-3</v>
      </c>
      <c r="V123" s="228">
        <v>885.8</v>
      </c>
      <c r="W123" s="228">
        <v>895.55</v>
      </c>
      <c r="X123" s="228">
        <v>-9.75</v>
      </c>
      <c r="Y123" s="229">
        <v>-1.09E-2</v>
      </c>
      <c r="Z123" s="228">
        <v>0.6</v>
      </c>
      <c r="AA123" s="228">
        <v>1.75</v>
      </c>
      <c r="AB123" s="228">
        <v>-1.1499999999999999</v>
      </c>
      <c r="AC123" s="229">
        <v>6.9999999999999999E-4</v>
      </c>
      <c r="AD123" s="228">
        <v>0.6</v>
      </c>
      <c r="AE123" s="228">
        <v>1.75</v>
      </c>
      <c r="AF123" s="228">
        <v>-1.1499999999999999</v>
      </c>
      <c r="AG123" s="229">
        <v>6.9999999999999999E-4</v>
      </c>
      <c r="AH123" s="228">
        <v>5.5</v>
      </c>
      <c r="AI123" s="228">
        <v>6.15</v>
      </c>
      <c r="AJ123" s="228">
        <v>-0.65</v>
      </c>
      <c r="AK123" s="229">
        <v>6.3E-3</v>
      </c>
      <c r="AL123" s="228">
        <v>9.75</v>
      </c>
      <c r="AM123" s="228">
        <v>11.65</v>
      </c>
      <c r="AN123" s="228">
        <v>-1.9</v>
      </c>
      <c r="AO123" s="229">
        <v>1.11E-2</v>
      </c>
      <c r="AP123" s="228">
        <v>882.78</v>
      </c>
      <c r="AQ123" s="228">
        <v>887.8</v>
      </c>
      <c r="AR123" s="228">
        <v>0</v>
      </c>
      <c r="AS123" s="228">
        <v>398</v>
      </c>
      <c r="AT123" s="228">
        <v>397</v>
      </c>
      <c r="AU123" s="228">
        <v>1</v>
      </c>
      <c r="AV123" s="229">
        <v>1.9E-3</v>
      </c>
      <c r="AW123" s="228">
        <v>317</v>
      </c>
      <c r="AX123" s="228">
        <v>346</v>
      </c>
      <c r="AY123" s="228">
        <v>-29</v>
      </c>
      <c r="AZ123" s="229">
        <v>-8.3099999999999993E-2</v>
      </c>
      <c r="BA123" s="228">
        <v>77</v>
      </c>
      <c r="BB123" s="228">
        <v>46</v>
      </c>
      <c r="BC123" s="228">
        <v>31</v>
      </c>
      <c r="BD123" s="229">
        <v>0.66669999999999996</v>
      </c>
      <c r="BE123" s="228">
        <v>3</v>
      </c>
      <c r="BF123" s="228">
        <v>5</v>
      </c>
      <c r="BG123" s="228">
        <v>-1</v>
      </c>
      <c r="BH123" s="229">
        <v>-0.3125</v>
      </c>
      <c r="BI123" s="230">
        <v>1237</v>
      </c>
      <c r="BJ123" s="230">
        <v>1787</v>
      </c>
      <c r="BK123" s="228">
        <v>-551</v>
      </c>
      <c r="BL123" s="229">
        <v>-0.30809999999999998</v>
      </c>
      <c r="BM123" s="228">
        <v>621</v>
      </c>
      <c r="BN123" s="228">
        <v>763</v>
      </c>
      <c r="BO123" s="228">
        <v>-142</v>
      </c>
      <c r="BP123" s="229">
        <v>-0.18659999999999999</v>
      </c>
      <c r="BQ123" s="230">
        <v>2255</v>
      </c>
      <c r="BR123" s="230">
        <v>2947</v>
      </c>
      <c r="BS123" s="228">
        <v>-692</v>
      </c>
      <c r="BT123" s="229">
        <v>-0.23480000000000001</v>
      </c>
      <c r="BU123" s="230">
        <v>1287175</v>
      </c>
      <c r="BV123" s="230">
        <v>1611097</v>
      </c>
      <c r="BW123" s="230">
        <v>-323922</v>
      </c>
      <c r="BX123" s="229">
        <v>-0.2011</v>
      </c>
      <c r="BY123" s="230">
        <v>1312</v>
      </c>
      <c r="BZ123" s="230">
        <v>1289</v>
      </c>
      <c r="CA123" s="228">
        <v>23</v>
      </c>
      <c r="CB123" s="229">
        <v>1.77E-2</v>
      </c>
      <c r="CC123" s="230">
        <v>1168</v>
      </c>
      <c r="CD123" s="230">
        <v>1165</v>
      </c>
      <c r="CE123" s="228">
        <v>4</v>
      </c>
      <c r="CF123" s="229">
        <v>3.2000000000000002E-3</v>
      </c>
      <c r="CG123" s="228">
        <v>132</v>
      </c>
      <c r="CH123" s="228">
        <v>112</v>
      </c>
      <c r="CI123" s="228">
        <v>20</v>
      </c>
      <c r="CJ123" s="229">
        <v>0.17419999999999999</v>
      </c>
      <c r="CK123" s="228">
        <v>12</v>
      </c>
      <c r="CL123" s="228">
        <v>13</v>
      </c>
      <c r="CM123" s="228">
        <v>0</v>
      </c>
      <c r="CN123" s="229">
        <v>-3.5299999999999998E-2</v>
      </c>
      <c r="CO123" s="230">
        <v>1340</v>
      </c>
      <c r="CP123" s="230">
        <v>1280</v>
      </c>
      <c r="CQ123" s="228">
        <v>61</v>
      </c>
      <c r="CR123" s="229">
        <v>4.7399999999999998E-2</v>
      </c>
      <c r="CS123" s="228">
        <v>839</v>
      </c>
      <c r="CT123" s="228">
        <v>852</v>
      </c>
      <c r="CU123" s="228">
        <v>-13</v>
      </c>
      <c r="CV123" s="229">
        <v>-1.52E-2</v>
      </c>
      <c r="CW123" s="230">
        <v>3491</v>
      </c>
      <c r="CX123" s="230">
        <v>3421</v>
      </c>
      <c r="CY123" s="228">
        <v>70</v>
      </c>
      <c r="CZ123" s="229">
        <v>2.06E-2</v>
      </c>
      <c r="DA123" s="228">
        <v>29.66</v>
      </c>
      <c r="DB123" s="228">
        <v>30.3</v>
      </c>
      <c r="DC123" s="228">
        <v>-0.64</v>
      </c>
      <c r="DD123" s="228">
        <v>-0.64</v>
      </c>
      <c r="DE123" s="228">
        <v>42.41</v>
      </c>
      <c r="DF123" s="228">
        <v>42.49</v>
      </c>
      <c r="DG123" s="228">
        <v>-12.75</v>
      </c>
      <c r="DH123" s="228">
        <v>-0.08</v>
      </c>
      <c r="DI123" s="228">
        <v>30.06</v>
      </c>
      <c r="DJ123" s="228">
        <v>29.63</v>
      </c>
      <c r="DK123" s="228">
        <v>0.43</v>
      </c>
      <c r="DL123" s="228">
        <v>0.43</v>
      </c>
      <c r="DM123" s="228">
        <v>28.86</v>
      </c>
      <c r="DN123" s="228">
        <v>31.87</v>
      </c>
      <c r="DO123" s="228">
        <v>-3.01</v>
      </c>
      <c r="DP123" s="228">
        <v>-3.01</v>
      </c>
      <c r="DQ123" s="228">
        <v>0.63</v>
      </c>
      <c r="DR123" s="228">
        <v>0.67</v>
      </c>
      <c r="DS123" s="228">
        <v>-0.04</v>
      </c>
      <c r="DT123" s="229">
        <v>-5.9700000000000003E-2</v>
      </c>
      <c r="DU123" s="231">
        <v>1000</v>
      </c>
      <c r="DV123" s="228">
        <v>800</v>
      </c>
      <c r="DW123" s="228">
        <v>0.5</v>
      </c>
      <c r="DX123" s="228">
        <v>0.43</v>
      </c>
      <c r="DY123" s="228">
        <v>7.0000000000000007E-2</v>
      </c>
      <c r="DZ123" s="229">
        <v>0.1628</v>
      </c>
      <c r="EA123" s="229">
        <v>0.1096</v>
      </c>
      <c r="EB123" s="230">
        <v>1422900</v>
      </c>
      <c r="EC123" s="229">
        <v>5.5999999999999999E-3</v>
      </c>
      <c r="ED123" s="229">
        <v>0.1096</v>
      </c>
      <c r="EE123" s="228">
        <v>5.0199999999999996</v>
      </c>
      <c r="EF123" s="229">
        <v>5.7000000000000002E-3</v>
      </c>
      <c r="EG123" s="230">
        <v>445503</v>
      </c>
      <c r="EH123" s="230">
        <v>655441</v>
      </c>
      <c r="EI123" s="229">
        <v>-0.32029999999999997</v>
      </c>
      <c r="EJ123" s="229">
        <v>0.34610000000000002</v>
      </c>
      <c r="EK123" s="231">
        <v>1292.74</v>
      </c>
      <c r="EL123" s="228">
        <v>613.84</v>
      </c>
      <c r="EM123" s="228">
        <v>401.48</v>
      </c>
      <c r="EN123" s="228">
        <v>0</v>
      </c>
      <c r="EO123" s="231">
        <v>2308.06</v>
      </c>
      <c r="EP123" s="231">
        <v>2999.52</v>
      </c>
      <c r="EQ123" s="228">
        <v>-691.46</v>
      </c>
      <c r="ER123" s="229">
        <v>-0.23050000000000001</v>
      </c>
      <c r="ES123" s="231">
        <v>1395.43</v>
      </c>
      <c r="ET123" s="228">
        <v>787.79</v>
      </c>
      <c r="EU123" s="231">
        <v>1313.08</v>
      </c>
      <c r="EV123" s="231">
        <v>78172636</v>
      </c>
      <c r="EW123" s="231">
        <v>3496.3</v>
      </c>
      <c r="EX123" s="231">
        <v>3433.76</v>
      </c>
      <c r="EY123" s="228">
        <v>62.54</v>
      </c>
      <c r="EZ123" s="229">
        <v>1.8200000000000001E-2</v>
      </c>
      <c r="FA123" s="229">
        <v>0.50949999999999995</v>
      </c>
      <c r="FB123" s="227" t="s">
        <v>567</v>
      </c>
      <c r="FC123">
        <f t="shared" si="1"/>
        <v>144</v>
      </c>
    </row>
    <row r="124" spans="1:159" ht="17.25" thickBot="1" x14ac:dyDescent="0.3">
      <c r="A124" s="226">
        <v>45889</v>
      </c>
      <c r="B124" s="227" t="s">
        <v>175</v>
      </c>
      <c r="C124" s="227" t="s">
        <v>248</v>
      </c>
      <c r="D124" s="228">
        <v>1000</v>
      </c>
      <c r="E124" s="228">
        <v>8</v>
      </c>
      <c r="F124" s="228">
        <v>572.15</v>
      </c>
      <c r="G124" s="228">
        <v>571.9</v>
      </c>
      <c r="H124" s="228">
        <v>0.25</v>
      </c>
      <c r="I124" s="229">
        <v>4.0000000000000002E-4</v>
      </c>
      <c r="J124" s="228">
        <v>580.1</v>
      </c>
      <c r="K124" s="228">
        <v>579.75</v>
      </c>
      <c r="L124" s="228">
        <v>0.35</v>
      </c>
      <c r="M124" s="229">
        <v>5.9999999999999995E-4</v>
      </c>
      <c r="N124" s="228">
        <v>572.15</v>
      </c>
      <c r="O124" s="228">
        <v>571.9</v>
      </c>
      <c r="P124" s="228">
        <v>0.25</v>
      </c>
      <c r="Q124" s="229">
        <v>4.0000000000000002E-4</v>
      </c>
      <c r="R124" s="228">
        <v>574.95000000000005</v>
      </c>
      <c r="S124" s="228">
        <v>574.65</v>
      </c>
      <c r="T124" s="228">
        <v>0.3</v>
      </c>
      <c r="U124" s="229">
        <v>5.0000000000000001E-4</v>
      </c>
      <c r="V124" s="228">
        <v>578.04999999999995</v>
      </c>
      <c r="W124" s="228">
        <v>577.54999999999995</v>
      </c>
      <c r="X124" s="228">
        <v>0.5</v>
      </c>
      <c r="Y124" s="229">
        <v>8.9999999999999998E-4</v>
      </c>
      <c r="Z124" s="228">
        <v>-7.95</v>
      </c>
      <c r="AA124" s="228">
        <v>-7.85</v>
      </c>
      <c r="AB124" s="228">
        <v>-0.1</v>
      </c>
      <c r="AC124" s="229">
        <v>-1.37E-2</v>
      </c>
      <c r="AD124" s="228">
        <v>-7.95</v>
      </c>
      <c r="AE124" s="228">
        <v>-7.85</v>
      </c>
      <c r="AF124" s="228">
        <v>-0.1</v>
      </c>
      <c r="AG124" s="229">
        <v>-1.37E-2</v>
      </c>
      <c r="AH124" s="228">
        <v>-5.15</v>
      </c>
      <c r="AI124" s="228">
        <v>-5.0999999999999996</v>
      </c>
      <c r="AJ124" s="228">
        <v>-0.05</v>
      </c>
      <c r="AK124" s="229">
        <v>-8.8999999999999999E-3</v>
      </c>
      <c r="AL124" s="228">
        <v>-2.0499999999999998</v>
      </c>
      <c r="AM124" s="228">
        <v>-2.2000000000000002</v>
      </c>
      <c r="AN124" s="228">
        <v>0.15</v>
      </c>
      <c r="AO124" s="229">
        <v>-3.5000000000000001E-3</v>
      </c>
      <c r="AP124" s="228">
        <v>572.29</v>
      </c>
      <c r="AQ124" s="228">
        <v>574.89</v>
      </c>
      <c r="AR124" s="228">
        <v>0</v>
      </c>
      <c r="AS124" s="228">
        <v>380</v>
      </c>
      <c r="AT124" s="228">
        <v>511</v>
      </c>
      <c r="AU124" s="228">
        <v>-131</v>
      </c>
      <c r="AV124" s="229">
        <v>-0.25619999999999998</v>
      </c>
      <c r="AW124" s="228">
        <v>238</v>
      </c>
      <c r="AX124" s="228">
        <v>402</v>
      </c>
      <c r="AY124" s="228">
        <v>-164</v>
      </c>
      <c r="AZ124" s="229">
        <v>-0.40739999999999998</v>
      </c>
      <c r="BA124" s="228">
        <v>141</v>
      </c>
      <c r="BB124" s="228">
        <v>104</v>
      </c>
      <c r="BC124" s="228">
        <v>36</v>
      </c>
      <c r="BD124" s="229">
        <v>0.34849999999999998</v>
      </c>
      <c r="BE124" s="228">
        <v>1</v>
      </c>
      <c r="BF124" s="228">
        <v>5</v>
      </c>
      <c r="BG124" s="228">
        <v>-3</v>
      </c>
      <c r="BH124" s="229">
        <v>-0.76249999999999996</v>
      </c>
      <c r="BI124" s="228">
        <v>432</v>
      </c>
      <c r="BJ124" s="228">
        <v>866</v>
      </c>
      <c r="BK124" s="228">
        <v>-433</v>
      </c>
      <c r="BL124" s="229">
        <v>-0.50070000000000003</v>
      </c>
      <c r="BM124" s="228">
        <v>168</v>
      </c>
      <c r="BN124" s="228">
        <v>295</v>
      </c>
      <c r="BO124" s="228">
        <v>-127</v>
      </c>
      <c r="BP124" s="229">
        <v>-0.42880000000000001</v>
      </c>
      <c r="BQ124" s="228">
        <v>981</v>
      </c>
      <c r="BR124" s="230">
        <v>1672</v>
      </c>
      <c r="BS124" s="228">
        <v>-691</v>
      </c>
      <c r="BT124" s="229">
        <v>-0.4133</v>
      </c>
      <c r="BU124" s="230">
        <v>1622205</v>
      </c>
      <c r="BV124" s="230">
        <v>4371940</v>
      </c>
      <c r="BW124" s="230">
        <v>-2749735</v>
      </c>
      <c r="BX124" s="229">
        <v>-0.629</v>
      </c>
      <c r="BY124" s="230">
        <v>1823</v>
      </c>
      <c r="BZ124" s="230">
        <v>1906</v>
      </c>
      <c r="CA124" s="228">
        <v>-83</v>
      </c>
      <c r="CB124" s="229">
        <v>-4.36E-2</v>
      </c>
      <c r="CC124" s="230">
        <v>1319</v>
      </c>
      <c r="CD124" s="230">
        <v>1413</v>
      </c>
      <c r="CE124" s="228">
        <v>-94</v>
      </c>
      <c r="CF124" s="229">
        <v>-6.6699999999999995E-2</v>
      </c>
      <c r="CG124" s="228">
        <v>499</v>
      </c>
      <c r="CH124" s="228">
        <v>488</v>
      </c>
      <c r="CI124" s="228">
        <v>11</v>
      </c>
      <c r="CJ124" s="229">
        <v>2.1899999999999999E-2</v>
      </c>
      <c r="CK124" s="228">
        <v>6</v>
      </c>
      <c r="CL124" s="228">
        <v>5</v>
      </c>
      <c r="CM124" s="228">
        <v>1</v>
      </c>
      <c r="CN124" s="229">
        <v>9.5699999999999993E-2</v>
      </c>
      <c r="CO124" s="228">
        <v>694</v>
      </c>
      <c r="CP124" s="228">
        <v>694</v>
      </c>
      <c r="CQ124" s="228">
        <v>0</v>
      </c>
      <c r="CR124" s="229">
        <v>-2.9999999999999997E-4</v>
      </c>
      <c r="CS124" s="228">
        <v>452</v>
      </c>
      <c r="CT124" s="228">
        <v>461</v>
      </c>
      <c r="CU124" s="228">
        <v>-9</v>
      </c>
      <c r="CV124" s="229">
        <v>-1.9800000000000002E-2</v>
      </c>
      <c r="CW124" s="230">
        <v>2970</v>
      </c>
      <c r="CX124" s="230">
        <v>3062</v>
      </c>
      <c r="CY124" s="228">
        <v>-92</v>
      </c>
      <c r="CZ124" s="229">
        <v>-3.0200000000000001E-2</v>
      </c>
      <c r="DA124" s="228">
        <v>25.88</v>
      </c>
      <c r="DB124" s="228">
        <v>26.58</v>
      </c>
      <c r="DC124" s="228">
        <v>-0.7</v>
      </c>
      <c r="DD124" s="228">
        <v>-0.7</v>
      </c>
      <c r="DE124" s="228">
        <v>36.909999999999997</v>
      </c>
      <c r="DF124" s="228">
        <v>37</v>
      </c>
      <c r="DG124" s="228">
        <v>-11.03</v>
      </c>
      <c r="DH124" s="228">
        <v>-0.09</v>
      </c>
      <c r="DI124" s="228">
        <v>26.18</v>
      </c>
      <c r="DJ124" s="228">
        <v>26.88</v>
      </c>
      <c r="DK124" s="228">
        <v>-0.7</v>
      </c>
      <c r="DL124" s="228">
        <v>-0.7</v>
      </c>
      <c r="DM124" s="228">
        <v>25.12</v>
      </c>
      <c r="DN124" s="228">
        <v>25.7</v>
      </c>
      <c r="DO124" s="228">
        <v>-0.57999999999999996</v>
      </c>
      <c r="DP124" s="228">
        <v>-0.57999999999999996</v>
      </c>
      <c r="DQ124" s="228">
        <v>0.65</v>
      </c>
      <c r="DR124" s="228">
        <v>0.66</v>
      </c>
      <c r="DS124" s="228">
        <v>-0.01</v>
      </c>
      <c r="DT124" s="229">
        <v>-1.52E-2</v>
      </c>
      <c r="DU124" s="228">
        <v>600</v>
      </c>
      <c r="DV124" s="228">
        <v>580</v>
      </c>
      <c r="DW124" s="228">
        <v>0.39</v>
      </c>
      <c r="DX124" s="228">
        <v>0.34</v>
      </c>
      <c r="DY124" s="228">
        <v>0.05</v>
      </c>
      <c r="DZ124" s="229">
        <v>0.14710000000000001</v>
      </c>
      <c r="EA124" s="229">
        <v>0.27679999999999999</v>
      </c>
      <c r="EB124" s="230">
        <v>8623000</v>
      </c>
      <c r="EC124" s="229">
        <v>4.8999999999999998E-3</v>
      </c>
      <c r="ED124" s="229">
        <v>0.27679999999999999</v>
      </c>
      <c r="EE124" s="228">
        <v>2.6</v>
      </c>
      <c r="EF124" s="229">
        <v>4.4999999999999997E-3</v>
      </c>
      <c r="EG124" s="230">
        <v>951657</v>
      </c>
      <c r="EH124" s="230">
        <v>2856707</v>
      </c>
      <c r="EI124" s="229">
        <v>-0.66690000000000005</v>
      </c>
      <c r="EJ124" s="229">
        <v>0.58660000000000001</v>
      </c>
      <c r="EK124" s="228">
        <v>448.16</v>
      </c>
      <c r="EL124" s="228">
        <v>169.18</v>
      </c>
      <c r="EM124" s="228">
        <v>381.06</v>
      </c>
      <c r="EN124" s="228">
        <v>0</v>
      </c>
      <c r="EO124" s="228">
        <v>998.4</v>
      </c>
      <c r="EP124" s="231">
        <v>1695.22</v>
      </c>
      <c r="EQ124" s="228">
        <v>-696.82</v>
      </c>
      <c r="ER124" s="229">
        <v>-0.41110000000000002</v>
      </c>
      <c r="ES124" s="228">
        <v>733.01</v>
      </c>
      <c r="ET124" s="228">
        <v>456.35</v>
      </c>
      <c r="EU124" s="231">
        <v>1825.6</v>
      </c>
      <c r="EV124" s="231">
        <v>60244101</v>
      </c>
      <c r="EW124" s="231">
        <v>3014.96</v>
      </c>
      <c r="EX124" s="231">
        <v>3105.6</v>
      </c>
      <c r="EY124" s="228">
        <v>-90.64</v>
      </c>
      <c r="EZ124" s="229">
        <v>-2.92E-2</v>
      </c>
      <c r="FA124" s="229">
        <v>0.86150000000000004</v>
      </c>
      <c r="FB124" s="227" t="s">
        <v>556</v>
      </c>
      <c r="FC124">
        <f t="shared" si="1"/>
        <v>504</v>
      </c>
    </row>
    <row r="125" spans="1:159" ht="17.25" thickBot="1" x14ac:dyDescent="0.3">
      <c r="A125" s="226">
        <v>45889</v>
      </c>
      <c r="B125" s="227" t="s">
        <v>175</v>
      </c>
      <c r="C125" s="227" t="s">
        <v>608</v>
      </c>
      <c r="D125" s="228">
        <v>700</v>
      </c>
      <c r="E125" s="228">
        <v>8</v>
      </c>
      <c r="F125" s="228">
        <v>901.5</v>
      </c>
      <c r="G125" s="228">
        <v>897.7</v>
      </c>
      <c r="H125" s="228">
        <v>3.8</v>
      </c>
      <c r="I125" s="229">
        <v>4.1999999999999997E-3</v>
      </c>
      <c r="J125" s="228">
        <v>899.35</v>
      </c>
      <c r="K125" s="228">
        <v>894.3</v>
      </c>
      <c r="L125" s="228">
        <v>5.05</v>
      </c>
      <c r="M125" s="229">
        <v>5.5999999999999999E-3</v>
      </c>
      <c r="N125" s="228">
        <v>901.5</v>
      </c>
      <c r="O125" s="228">
        <v>897.7</v>
      </c>
      <c r="P125" s="228">
        <v>3.8</v>
      </c>
      <c r="Q125" s="229">
        <v>4.1999999999999997E-3</v>
      </c>
      <c r="R125" s="228">
        <v>905.4</v>
      </c>
      <c r="S125" s="228">
        <v>901.6</v>
      </c>
      <c r="T125" s="228">
        <v>3.8</v>
      </c>
      <c r="U125" s="229">
        <v>4.1999999999999997E-3</v>
      </c>
      <c r="V125" s="228">
        <v>909.1</v>
      </c>
      <c r="W125" s="228">
        <v>904.3</v>
      </c>
      <c r="X125" s="228">
        <v>4.8</v>
      </c>
      <c r="Y125" s="229">
        <v>5.3E-3</v>
      </c>
      <c r="Z125" s="228">
        <v>2.15</v>
      </c>
      <c r="AA125" s="228">
        <v>3.4</v>
      </c>
      <c r="AB125" s="228">
        <v>-1.25</v>
      </c>
      <c r="AC125" s="229">
        <v>2.3999999999999998E-3</v>
      </c>
      <c r="AD125" s="228">
        <v>2.15</v>
      </c>
      <c r="AE125" s="228">
        <v>3.4</v>
      </c>
      <c r="AF125" s="228">
        <v>-1.25</v>
      </c>
      <c r="AG125" s="229">
        <v>2.3999999999999998E-3</v>
      </c>
      <c r="AH125" s="228">
        <v>6.05</v>
      </c>
      <c r="AI125" s="228">
        <v>7.3</v>
      </c>
      <c r="AJ125" s="228">
        <v>-1.25</v>
      </c>
      <c r="AK125" s="229">
        <v>6.7000000000000002E-3</v>
      </c>
      <c r="AL125" s="228">
        <v>9.75</v>
      </c>
      <c r="AM125" s="228">
        <v>10</v>
      </c>
      <c r="AN125" s="228">
        <v>-0.25</v>
      </c>
      <c r="AO125" s="229">
        <v>1.0800000000000001E-2</v>
      </c>
      <c r="AP125" s="228">
        <v>897.97</v>
      </c>
      <c r="AQ125" s="228">
        <v>902.11</v>
      </c>
      <c r="AR125" s="228">
        <v>0</v>
      </c>
      <c r="AS125" s="228">
        <v>126</v>
      </c>
      <c r="AT125" s="228">
        <v>208</v>
      </c>
      <c r="AU125" s="228">
        <v>-82</v>
      </c>
      <c r="AV125" s="229">
        <v>-0.39489999999999997</v>
      </c>
      <c r="AW125" s="228">
        <v>94</v>
      </c>
      <c r="AX125" s="228">
        <v>152</v>
      </c>
      <c r="AY125" s="228">
        <v>-58</v>
      </c>
      <c r="AZ125" s="229">
        <v>-0.38030000000000003</v>
      </c>
      <c r="BA125" s="228">
        <v>27</v>
      </c>
      <c r="BB125" s="228">
        <v>53</v>
      </c>
      <c r="BC125" s="228">
        <v>-26</v>
      </c>
      <c r="BD125" s="229">
        <v>-0.48630000000000001</v>
      </c>
      <c r="BE125" s="228">
        <v>4</v>
      </c>
      <c r="BF125" s="228">
        <v>3</v>
      </c>
      <c r="BG125" s="228">
        <v>1</v>
      </c>
      <c r="BH125" s="229">
        <v>0.44900000000000001</v>
      </c>
      <c r="BI125" s="228">
        <v>371</v>
      </c>
      <c r="BJ125" s="228">
        <v>652</v>
      </c>
      <c r="BK125" s="228">
        <v>-282</v>
      </c>
      <c r="BL125" s="229">
        <v>-0.43149999999999999</v>
      </c>
      <c r="BM125" s="228">
        <v>168</v>
      </c>
      <c r="BN125" s="228">
        <v>246</v>
      </c>
      <c r="BO125" s="228">
        <v>-78</v>
      </c>
      <c r="BP125" s="229">
        <v>-0.31659999999999999</v>
      </c>
      <c r="BQ125" s="228">
        <v>665</v>
      </c>
      <c r="BR125" s="230">
        <v>1107</v>
      </c>
      <c r="BS125" s="228">
        <v>-442</v>
      </c>
      <c r="BT125" s="229">
        <v>-0.39910000000000001</v>
      </c>
      <c r="BU125" s="230">
        <v>453745</v>
      </c>
      <c r="BV125" s="230">
        <v>1203475</v>
      </c>
      <c r="BW125" s="230">
        <v>-749730</v>
      </c>
      <c r="BX125" s="229">
        <v>-0.623</v>
      </c>
      <c r="BY125" s="228">
        <v>735</v>
      </c>
      <c r="BZ125" s="228">
        <v>715</v>
      </c>
      <c r="CA125" s="228">
        <v>20</v>
      </c>
      <c r="CB125" s="229">
        <v>2.76E-2</v>
      </c>
      <c r="CC125" s="228">
        <v>634</v>
      </c>
      <c r="CD125" s="228">
        <v>622</v>
      </c>
      <c r="CE125" s="228">
        <v>12</v>
      </c>
      <c r="CF125" s="229">
        <v>1.95E-2</v>
      </c>
      <c r="CG125" s="228">
        <v>92</v>
      </c>
      <c r="CH125" s="228">
        <v>85</v>
      </c>
      <c r="CI125" s="228">
        <v>7</v>
      </c>
      <c r="CJ125" s="229">
        <v>8.0199999999999994E-2</v>
      </c>
      <c r="CK125" s="228">
        <v>9</v>
      </c>
      <c r="CL125" s="228">
        <v>8</v>
      </c>
      <c r="CM125" s="228">
        <v>1</v>
      </c>
      <c r="CN125" s="229">
        <v>0.1066</v>
      </c>
      <c r="CO125" s="228">
        <v>462</v>
      </c>
      <c r="CP125" s="228">
        <v>474</v>
      </c>
      <c r="CQ125" s="228">
        <v>-12</v>
      </c>
      <c r="CR125" s="229">
        <v>-2.5600000000000001E-2</v>
      </c>
      <c r="CS125" s="228">
        <v>265</v>
      </c>
      <c r="CT125" s="228">
        <v>259</v>
      </c>
      <c r="CU125" s="228">
        <v>6</v>
      </c>
      <c r="CV125" s="229">
        <v>2.2200000000000001E-2</v>
      </c>
      <c r="CW125" s="230">
        <v>1461</v>
      </c>
      <c r="CX125" s="230">
        <v>1448</v>
      </c>
      <c r="CY125" s="228">
        <v>13</v>
      </c>
      <c r="CZ125" s="229">
        <v>9.1999999999999998E-3</v>
      </c>
      <c r="DA125" s="228">
        <v>25.27</v>
      </c>
      <c r="DB125" s="228">
        <v>25.52</v>
      </c>
      <c r="DC125" s="228">
        <v>-0.25</v>
      </c>
      <c r="DD125" s="228">
        <v>-0.25</v>
      </c>
      <c r="DE125" s="228">
        <v>34.450000000000003</v>
      </c>
      <c r="DF125" s="228">
        <v>34.53</v>
      </c>
      <c r="DG125" s="228">
        <v>-9.18</v>
      </c>
      <c r="DH125" s="228">
        <v>-0.08</v>
      </c>
      <c r="DI125" s="228">
        <v>25.4</v>
      </c>
      <c r="DJ125" s="228">
        <v>25.77</v>
      </c>
      <c r="DK125" s="228">
        <v>-0.37</v>
      </c>
      <c r="DL125" s="228">
        <v>-0.37</v>
      </c>
      <c r="DM125" s="228">
        <v>25</v>
      </c>
      <c r="DN125" s="228">
        <v>24.87</v>
      </c>
      <c r="DO125" s="228">
        <v>0.13</v>
      </c>
      <c r="DP125" s="228">
        <v>0.13</v>
      </c>
      <c r="DQ125" s="228">
        <v>0.56999999999999995</v>
      </c>
      <c r="DR125" s="228">
        <v>0.55000000000000004</v>
      </c>
      <c r="DS125" s="228">
        <v>0.02</v>
      </c>
      <c r="DT125" s="229">
        <v>3.6400000000000002E-2</v>
      </c>
      <c r="DU125" s="228">
        <v>920</v>
      </c>
      <c r="DV125" s="228">
        <v>850</v>
      </c>
      <c r="DW125" s="228">
        <v>0.45</v>
      </c>
      <c r="DX125" s="228">
        <v>0.38</v>
      </c>
      <c r="DY125" s="228">
        <v>7.0000000000000007E-2</v>
      </c>
      <c r="DZ125" s="229">
        <v>0.1842</v>
      </c>
      <c r="EA125" s="229">
        <v>0.1366</v>
      </c>
      <c r="EB125" s="230">
        <v>1028300</v>
      </c>
      <c r="EC125" s="229">
        <v>4.3E-3</v>
      </c>
      <c r="ED125" s="229">
        <v>0.1366</v>
      </c>
      <c r="EE125" s="228">
        <v>4.1399999999999997</v>
      </c>
      <c r="EF125" s="229">
        <v>4.5999999999999999E-3</v>
      </c>
      <c r="EG125" s="230">
        <v>196154</v>
      </c>
      <c r="EH125" s="230">
        <v>671468</v>
      </c>
      <c r="EI125" s="229">
        <v>-0.70789999999999997</v>
      </c>
      <c r="EJ125" s="229">
        <v>0.43230000000000002</v>
      </c>
      <c r="EK125" s="228">
        <v>387.54</v>
      </c>
      <c r="EL125" s="228">
        <v>164.97</v>
      </c>
      <c r="EM125" s="228">
        <v>125.75</v>
      </c>
      <c r="EN125" s="228">
        <v>0</v>
      </c>
      <c r="EO125" s="228">
        <v>678.26</v>
      </c>
      <c r="EP125" s="231">
        <v>1126.42</v>
      </c>
      <c r="EQ125" s="228">
        <v>-448.16</v>
      </c>
      <c r="ER125" s="229">
        <v>-0.39789999999999998</v>
      </c>
      <c r="ES125" s="228">
        <v>479.16</v>
      </c>
      <c r="ET125" s="228">
        <v>257.16000000000003</v>
      </c>
      <c r="EU125" s="228">
        <v>735.07</v>
      </c>
      <c r="EV125" s="231">
        <v>44274984</v>
      </c>
      <c r="EW125" s="231">
        <v>1471.4</v>
      </c>
      <c r="EX125" s="231">
        <v>1455.26</v>
      </c>
      <c r="EY125" s="228">
        <v>16.14</v>
      </c>
      <c r="EZ125" s="229">
        <v>1.11E-2</v>
      </c>
      <c r="FA125" s="229">
        <v>0.36609999999999998</v>
      </c>
      <c r="FB125" s="227" t="s">
        <v>555</v>
      </c>
      <c r="FC125">
        <f t="shared" si="1"/>
        <v>101</v>
      </c>
    </row>
    <row r="126" spans="1:159" ht="17.25" thickBot="1" x14ac:dyDescent="0.3">
      <c r="A126" s="226">
        <v>45889</v>
      </c>
      <c r="B126" s="227" t="s">
        <v>206</v>
      </c>
      <c r="C126" s="227" t="s">
        <v>589</v>
      </c>
      <c r="D126" s="228">
        <v>450</v>
      </c>
      <c r="E126" s="228">
        <v>8</v>
      </c>
      <c r="F126" s="231">
        <v>1295.7</v>
      </c>
      <c r="G126" s="231">
        <v>1254.5999999999999</v>
      </c>
      <c r="H126" s="228">
        <v>41.1</v>
      </c>
      <c r="I126" s="229">
        <v>3.2800000000000003E-2</v>
      </c>
      <c r="J126" s="231">
        <v>1300</v>
      </c>
      <c r="K126" s="231">
        <v>1257.8</v>
      </c>
      <c r="L126" s="228">
        <v>42.2</v>
      </c>
      <c r="M126" s="229">
        <v>3.3599999999999998E-2</v>
      </c>
      <c r="N126" s="231">
        <v>1295.7</v>
      </c>
      <c r="O126" s="231">
        <v>1254.5999999999999</v>
      </c>
      <c r="P126" s="228">
        <v>41.1</v>
      </c>
      <c r="Q126" s="229">
        <v>3.2800000000000003E-2</v>
      </c>
      <c r="R126" s="231">
        <v>1301.2</v>
      </c>
      <c r="S126" s="231">
        <v>1259.0999999999999</v>
      </c>
      <c r="T126" s="228">
        <v>42.1</v>
      </c>
      <c r="U126" s="229">
        <v>3.3399999999999999E-2</v>
      </c>
      <c r="V126" s="231">
        <v>1304</v>
      </c>
      <c r="W126" s="231">
        <v>1260.0999999999999</v>
      </c>
      <c r="X126" s="228">
        <v>43.9</v>
      </c>
      <c r="Y126" s="229">
        <v>3.4799999999999998E-2</v>
      </c>
      <c r="Z126" s="228">
        <v>-4.3</v>
      </c>
      <c r="AA126" s="228">
        <v>-3.2</v>
      </c>
      <c r="AB126" s="228">
        <v>-1.1000000000000001</v>
      </c>
      <c r="AC126" s="229">
        <v>-3.3E-3</v>
      </c>
      <c r="AD126" s="228">
        <v>-4.3</v>
      </c>
      <c r="AE126" s="228">
        <v>-3.2</v>
      </c>
      <c r="AF126" s="228">
        <v>-1.1000000000000001</v>
      </c>
      <c r="AG126" s="229">
        <v>-3.3E-3</v>
      </c>
      <c r="AH126" s="228">
        <v>1.2</v>
      </c>
      <c r="AI126" s="228">
        <v>1.3</v>
      </c>
      <c r="AJ126" s="228">
        <v>-0.1</v>
      </c>
      <c r="AK126" s="229">
        <v>8.9999999999999998E-4</v>
      </c>
      <c r="AL126" s="228">
        <v>4</v>
      </c>
      <c r="AM126" s="228">
        <v>2.2999999999999998</v>
      </c>
      <c r="AN126" s="228">
        <v>1.7</v>
      </c>
      <c r="AO126" s="229">
        <v>3.0999999999999999E-3</v>
      </c>
      <c r="AP126" s="231">
        <v>1280.2</v>
      </c>
      <c r="AQ126" s="231">
        <v>1286.44</v>
      </c>
      <c r="AR126" s="228">
        <v>0</v>
      </c>
      <c r="AS126" s="228">
        <v>312</v>
      </c>
      <c r="AT126" s="228">
        <v>122</v>
      </c>
      <c r="AU126" s="228">
        <v>190</v>
      </c>
      <c r="AV126" s="229">
        <v>1.5642</v>
      </c>
      <c r="AW126" s="228">
        <v>249</v>
      </c>
      <c r="AX126" s="228">
        <v>106</v>
      </c>
      <c r="AY126" s="228">
        <v>143</v>
      </c>
      <c r="AZ126" s="229">
        <v>1.3463000000000001</v>
      </c>
      <c r="BA126" s="228">
        <v>62</v>
      </c>
      <c r="BB126" s="228">
        <v>15</v>
      </c>
      <c r="BC126" s="228">
        <v>47</v>
      </c>
      <c r="BD126" s="229">
        <v>3.1328</v>
      </c>
      <c r="BE126" s="228">
        <v>1</v>
      </c>
      <c r="BF126" s="228">
        <v>0</v>
      </c>
      <c r="BG126" s="228">
        <v>0</v>
      </c>
      <c r="BH126" s="229">
        <v>1</v>
      </c>
      <c r="BI126" s="230">
        <v>1585</v>
      </c>
      <c r="BJ126" s="228">
        <v>294</v>
      </c>
      <c r="BK126" s="230">
        <v>1291</v>
      </c>
      <c r="BL126" s="229">
        <v>4.3944000000000001</v>
      </c>
      <c r="BM126" s="228">
        <v>323</v>
      </c>
      <c r="BN126" s="228">
        <v>179</v>
      </c>
      <c r="BO126" s="228">
        <v>144</v>
      </c>
      <c r="BP126" s="229">
        <v>0.80349999999999999</v>
      </c>
      <c r="BQ126" s="230">
        <v>2220</v>
      </c>
      <c r="BR126" s="228">
        <v>594</v>
      </c>
      <c r="BS126" s="230">
        <v>1625</v>
      </c>
      <c r="BT126" s="229">
        <v>2.7343999999999999</v>
      </c>
      <c r="BU126" s="230">
        <v>1963076</v>
      </c>
      <c r="BV126" s="230">
        <v>1121310</v>
      </c>
      <c r="BW126" s="230">
        <v>841766</v>
      </c>
      <c r="BX126" s="229">
        <v>0.75070000000000003</v>
      </c>
      <c r="BY126" s="230">
        <v>1174</v>
      </c>
      <c r="BZ126" s="230">
        <v>1163</v>
      </c>
      <c r="CA126" s="228">
        <v>11</v>
      </c>
      <c r="CB126" s="229">
        <v>9.2999999999999992E-3</v>
      </c>
      <c r="CC126" s="230">
        <v>1097</v>
      </c>
      <c r="CD126" s="230">
        <v>1113</v>
      </c>
      <c r="CE126" s="228">
        <v>-16</v>
      </c>
      <c r="CF126" s="229">
        <v>-1.46E-2</v>
      </c>
      <c r="CG126" s="228">
        <v>76</v>
      </c>
      <c r="CH126" s="228">
        <v>49</v>
      </c>
      <c r="CI126" s="228">
        <v>27</v>
      </c>
      <c r="CJ126" s="229">
        <v>0.54530000000000001</v>
      </c>
      <c r="CK126" s="228">
        <v>1</v>
      </c>
      <c r="CL126" s="228">
        <v>1</v>
      </c>
      <c r="CM126" s="228">
        <v>0</v>
      </c>
      <c r="CN126" s="229">
        <v>0.54549999999999998</v>
      </c>
      <c r="CO126" s="228">
        <v>250</v>
      </c>
      <c r="CP126" s="228">
        <v>273</v>
      </c>
      <c r="CQ126" s="228">
        <v>-24</v>
      </c>
      <c r="CR126" s="229">
        <v>-8.6800000000000002E-2</v>
      </c>
      <c r="CS126" s="228">
        <v>161</v>
      </c>
      <c r="CT126" s="228">
        <v>144</v>
      </c>
      <c r="CU126" s="228">
        <v>17</v>
      </c>
      <c r="CV126" s="229">
        <v>0.1152</v>
      </c>
      <c r="CW126" s="230">
        <v>1584</v>
      </c>
      <c r="CX126" s="230">
        <v>1580</v>
      </c>
      <c r="CY126" s="228">
        <v>4</v>
      </c>
      <c r="CZ126" s="229">
        <v>2.3E-3</v>
      </c>
      <c r="DA126" s="228">
        <v>32.770000000000003</v>
      </c>
      <c r="DB126" s="228">
        <v>32.700000000000003</v>
      </c>
      <c r="DC126" s="228">
        <v>7.0000000000000007E-2</v>
      </c>
      <c r="DD126" s="228">
        <v>7.0000000000000007E-2</v>
      </c>
      <c r="DE126" s="228">
        <v>50.89</v>
      </c>
      <c r="DF126" s="228">
        <v>50.82</v>
      </c>
      <c r="DG126" s="228">
        <v>-18.12</v>
      </c>
      <c r="DH126" s="228">
        <v>7.0000000000000007E-2</v>
      </c>
      <c r="DI126" s="228">
        <v>32.61</v>
      </c>
      <c r="DJ126" s="228">
        <v>32.97</v>
      </c>
      <c r="DK126" s="228">
        <v>-0.36</v>
      </c>
      <c r="DL126" s="228">
        <v>-0.36</v>
      </c>
      <c r="DM126" s="228">
        <v>33.53</v>
      </c>
      <c r="DN126" s="228">
        <v>32.270000000000003</v>
      </c>
      <c r="DO126" s="228">
        <v>1.26</v>
      </c>
      <c r="DP126" s="228">
        <v>1.26</v>
      </c>
      <c r="DQ126" s="228">
        <v>0.64</v>
      </c>
      <c r="DR126" s="228">
        <v>0.53</v>
      </c>
      <c r="DS126" s="228">
        <v>0.11</v>
      </c>
      <c r="DT126" s="229">
        <v>0.20749999999999999</v>
      </c>
      <c r="DU126" s="231">
        <v>1300</v>
      </c>
      <c r="DV126" s="231">
        <v>1200</v>
      </c>
      <c r="DW126" s="228">
        <v>0.2</v>
      </c>
      <c r="DX126" s="228">
        <v>0.61</v>
      </c>
      <c r="DY126" s="228">
        <v>-0.41</v>
      </c>
      <c r="DZ126" s="229">
        <v>-0.67210000000000003</v>
      </c>
      <c r="EA126" s="229">
        <v>6.5199999999999994E-2</v>
      </c>
      <c r="EB126" s="230">
        <v>382050</v>
      </c>
      <c r="EC126" s="229">
        <v>4.1999999999999997E-3</v>
      </c>
      <c r="ED126" s="229">
        <v>6.5199999999999994E-2</v>
      </c>
      <c r="EE126" s="228">
        <v>6.24</v>
      </c>
      <c r="EF126" s="229">
        <v>4.8999999999999998E-3</v>
      </c>
      <c r="EG126" s="230">
        <v>1214817</v>
      </c>
      <c r="EH126" s="230">
        <v>693365</v>
      </c>
      <c r="EI126" s="229">
        <v>0.75209999999999999</v>
      </c>
      <c r="EJ126" s="229">
        <v>0.61880000000000002</v>
      </c>
      <c r="EK126" s="231">
        <v>1611.82</v>
      </c>
      <c r="EL126" s="228">
        <v>313.64</v>
      </c>
      <c r="EM126" s="228">
        <v>308.45999999999998</v>
      </c>
      <c r="EN126" s="228">
        <v>0</v>
      </c>
      <c r="EO126" s="231">
        <v>2233.92</v>
      </c>
      <c r="EP126" s="228">
        <v>583.74</v>
      </c>
      <c r="EQ126" s="231">
        <v>1650.18</v>
      </c>
      <c r="ER126" s="229">
        <v>2.8269000000000002</v>
      </c>
      <c r="ES126" s="228">
        <v>256.08999999999997</v>
      </c>
      <c r="ET126" s="228">
        <v>152.87</v>
      </c>
      <c r="EU126" s="231">
        <v>1173.8599999999999</v>
      </c>
      <c r="EV126" s="231">
        <v>56080191</v>
      </c>
      <c r="EW126" s="231">
        <v>1582.82</v>
      </c>
      <c r="EX126" s="231">
        <v>1541.36</v>
      </c>
      <c r="EY126" s="228">
        <v>41.46</v>
      </c>
      <c r="EZ126" s="229">
        <v>2.69E-2</v>
      </c>
      <c r="FA126" s="229">
        <v>0.218</v>
      </c>
      <c r="FB126" s="227" t="s">
        <v>555</v>
      </c>
      <c r="FC126">
        <f t="shared" si="1"/>
        <v>77</v>
      </c>
    </row>
    <row r="127" spans="1:159" ht="17.25" thickBot="1" x14ac:dyDescent="0.3">
      <c r="A127" s="226">
        <v>45889</v>
      </c>
      <c r="B127" s="227" t="s">
        <v>184</v>
      </c>
      <c r="C127" s="227" t="s">
        <v>249</v>
      </c>
      <c r="D127" s="228">
        <v>175</v>
      </c>
      <c r="E127" s="228">
        <v>8</v>
      </c>
      <c r="F127" s="231">
        <v>3595.4</v>
      </c>
      <c r="G127" s="231">
        <v>3623.3</v>
      </c>
      <c r="H127" s="228">
        <v>-27.9</v>
      </c>
      <c r="I127" s="229">
        <v>-7.7000000000000002E-3</v>
      </c>
      <c r="J127" s="231">
        <v>3592.3</v>
      </c>
      <c r="K127" s="231">
        <v>3613</v>
      </c>
      <c r="L127" s="228">
        <v>-20.7</v>
      </c>
      <c r="M127" s="229">
        <v>-5.7000000000000002E-3</v>
      </c>
      <c r="N127" s="231">
        <v>3595.4</v>
      </c>
      <c r="O127" s="231">
        <v>3623.3</v>
      </c>
      <c r="P127" s="228">
        <v>-27.9</v>
      </c>
      <c r="Q127" s="229">
        <v>-7.7000000000000002E-3</v>
      </c>
      <c r="R127" s="231">
        <v>3616.8</v>
      </c>
      <c r="S127" s="231">
        <v>3644.3</v>
      </c>
      <c r="T127" s="228">
        <v>-27.5</v>
      </c>
      <c r="U127" s="229">
        <v>-7.4999999999999997E-3</v>
      </c>
      <c r="V127" s="231">
        <v>3633.9</v>
      </c>
      <c r="W127" s="231">
        <v>3662.5</v>
      </c>
      <c r="X127" s="228">
        <v>-28.6</v>
      </c>
      <c r="Y127" s="229">
        <v>-7.7999999999999996E-3</v>
      </c>
      <c r="Z127" s="228">
        <v>3.1</v>
      </c>
      <c r="AA127" s="228">
        <v>10.3</v>
      </c>
      <c r="AB127" s="228">
        <v>-7.2</v>
      </c>
      <c r="AC127" s="229">
        <v>8.9999999999999998E-4</v>
      </c>
      <c r="AD127" s="228">
        <v>3.1</v>
      </c>
      <c r="AE127" s="228">
        <v>10.3</v>
      </c>
      <c r="AF127" s="228">
        <v>-7.2</v>
      </c>
      <c r="AG127" s="229">
        <v>8.9999999999999998E-4</v>
      </c>
      <c r="AH127" s="228">
        <v>24.5</v>
      </c>
      <c r="AI127" s="228">
        <v>31.3</v>
      </c>
      <c r="AJ127" s="228">
        <v>-6.8</v>
      </c>
      <c r="AK127" s="229">
        <v>6.7999999999999996E-3</v>
      </c>
      <c r="AL127" s="228">
        <v>41.6</v>
      </c>
      <c r="AM127" s="228">
        <v>49.5</v>
      </c>
      <c r="AN127" s="228">
        <v>-7.9</v>
      </c>
      <c r="AO127" s="229">
        <v>1.1599999999999999E-2</v>
      </c>
      <c r="AP127" s="231">
        <v>3596.58</v>
      </c>
      <c r="AQ127" s="231">
        <v>3617.15</v>
      </c>
      <c r="AR127" s="228">
        <v>0</v>
      </c>
      <c r="AS127" s="228">
        <v>885</v>
      </c>
      <c r="AT127" s="228">
        <v>566</v>
      </c>
      <c r="AU127" s="228">
        <v>319</v>
      </c>
      <c r="AV127" s="229">
        <v>0.56359999999999999</v>
      </c>
      <c r="AW127" s="228">
        <v>685</v>
      </c>
      <c r="AX127" s="228">
        <v>453</v>
      </c>
      <c r="AY127" s="228">
        <v>232</v>
      </c>
      <c r="AZ127" s="229">
        <v>0.51129999999999998</v>
      </c>
      <c r="BA127" s="228">
        <v>162</v>
      </c>
      <c r="BB127" s="228">
        <v>107</v>
      </c>
      <c r="BC127" s="228">
        <v>55</v>
      </c>
      <c r="BD127" s="229">
        <v>0.5141</v>
      </c>
      <c r="BE127" s="228">
        <v>37</v>
      </c>
      <c r="BF127" s="228">
        <v>5</v>
      </c>
      <c r="BG127" s="228">
        <v>32</v>
      </c>
      <c r="BH127" s="229">
        <v>5.9882</v>
      </c>
      <c r="BI127" s="230">
        <v>3165</v>
      </c>
      <c r="BJ127" s="230">
        <v>1955</v>
      </c>
      <c r="BK127" s="230">
        <v>1210</v>
      </c>
      <c r="BL127" s="229">
        <v>0.61880000000000002</v>
      </c>
      <c r="BM127" s="230">
        <v>1404</v>
      </c>
      <c r="BN127" s="228">
        <v>745</v>
      </c>
      <c r="BO127" s="228">
        <v>659</v>
      </c>
      <c r="BP127" s="229">
        <v>0.88490000000000002</v>
      </c>
      <c r="BQ127" s="230">
        <v>5454</v>
      </c>
      <c r="BR127" s="230">
        <v>3266</v>
      </c>
      <c r="BS127" s="230">
        <v>2188</v>
      </c>
      <c r="BT127" s="229">
        <v>0.66990000000000005</v>
      </c>
      <c r="BU127" s="230">
        <v>1370636</v>
      </c>
      <c r="BV127" s="230">
        <v>1389154</v>
      </c>
      <c r="BW127" s="230">
        <v>-18518</v>
      </c>
      <c r="BX127" s="229">
        <v>-1.3299999999999999E-2</v>
      </c>
      <c r="BY127" s="230">
        <v>5477</v>
      </c>
      <c r="BZ127" s="230">
        <v>5434</v>
      </c>
      <c r="CA127" s="228">
        <v>43</v>
      </c>
      <c r="CB127" s="229">
        <v>7.9000000000000008E-3</v>
      </c>
      <c r="CC127" s="230">
        <v>4578</v>
      </c>
      <c r="CD127" s="230">
        <v>4686</v>
      </c>
      <c r="CE127" s="228">
        <v>-108</v>
      </c>
      <c r="CF127" s="229">
        <v>-2.3E-2</v>
      </c>
      <c r="CG127" s="228">
        <v>748</v>
      </c>
      <c r="CH127" s="228">
        <v>632</v>
      </c>
      <c r="CI127" s="228">
        <v>115</v>
      </c>
      <c r="CJ127" s="229">
        <v>0.1825</v>
      </c>
      <c r="CK127" s="228">
        <v>151</v>
      </c>
      <c r="CL127" s="228">
        <v>116</v>
      </c>
      <c r="CM127" s="228">
        <v>35</v>
      </c>
      <c r="CN127" s="229">
        <v>0.30270000000000002</v>
      </c>
      <c r="CO127" s="230">
        <v>2285</v>
      </c>
      <c r="CP127" s="230">
        <v>1952</v>
      </c>
      <c r="CQ127" s="228">
        <v>333</v>
      </c>
      <c r="CR127" s="229">
        <v>0.1706</v>
      </c>
      <c r="CS127" s="230">
        <v>1086</v>
      </c>
      <c r="CT127" s="230">
        <v>1044</v>
      </c>
      <c r="CU127" s="228">
        <v>43</v>
      </c>
      <c r="CV127" s="229">
        <v>4.0800000000000003E-2</v>
      </c>
      <c r="CW127" s="230">
        <v>8848</v>
      </c>
      <c r="CX127" s="230">
        <v>8430</v>
      </c>
      <c r="CY127" s="228">
        <v>418</v>
      </c>
      <c r="CZ127" s="229">
        <v>4.9599999999999998E-2</v>
      </c>
      <c r="DA127" s="228">
        <v>19.55</v>
      </c>
      <c r="DB127" s="228">
        <v>18.8</v>
      </c>
      <c r="DC127" s="228">
        <v>0.75</v>
      </c>
      <c r="DD127" s="228">
        <v>0.75</v>
      </c>
      <c r="DE127" s="228">
        <v>29.71</v>
      </c>
      <c r="DF127" s="228">
        <v>29.78</v>
      </c>
      <c r="DG127" s="228">
        <v>-10.16</v>
      </c>
      <c r="DH127" s="228">
        <v>-7.0000000000000007E-2</v>
      </c>
      <c r="DI127" s="228">
        <v>19.89</v>
      </c>
      <c r="DJ127" s="228">
        <v>18.98</v>
      </c>
      <c r="DK127" s="228">
        <v>0.91</v>
      </c>
      <c r="DL127" s="228">
        <v>0.91</v>
      </c>
      <c r="DM127" s="228">
        <v>18.78</v>
      </c>
      <c r="DN127" s="228">
        <v>18.329999999999998</v>
      </c>
      <c r="DO127" s="228">
        <v>0.45</v>
      </c>
      <c r="DP127" s="228">
        <v>0.45</v>
      </c>
      <c r="DQ127" s="228">
        <v>0.48</v>
      </c>
      <c r="DR127" s="228">
        <v>0.53</v>
      </c>
      <c r="DS127" s="228">
        <v>-0.05</v>
      </c>
      <c r="DT127" s="229">
        <v>-9.4299999999999995E-2</v>
      </c>
      <c r="DU127" s="231">
        <v>3700</v>
      </c>
      <c r="DV127" s="231">
        <v>3600</v>
      </c>
      <c r="DW127" s="228">
        <v>0.44</v>
      </c>
      <c r="DX127" s="228">
        <v>0.38</v>
      </c>
      <c r="DY127" s="228">
        <v>0.06</v>
      </c>
      <c r="DZ127" s="229">
        <v>0.15790000000000001</v>
      </c>
      <c r="EA127" s="229">
        <v>0.1641</v>
      </c>
      <c r="EB127" s="230">
        <v>2080575</v>
      </c>
      <c r="EC127" s="229">
        <v>6.0000000000000001E-3</v>
      </c>
      <c r="ED127" s="229">
        <v>0.1641</v>
      </c>
      <c r="EE127" s="228">
        <v>20.57</v>
      </c>
      <c r="EF127" s="229">
        <v>5.7000000000000002E-3</v>
      </c>
      <c r="EG127" s="230">
        <v>810957</v>
      </c>
      <c r="EH127" s="230">
        <v>934862</v>
      </c>
      <c r="EI127" s="229">
        <v>-0.13250000000000001</v>
      </c>
      <c r="EJ127" s="229">
        <v>0.5917</v>
      </c>
      <c r="EK127" s="231">
        <v>3264.96</v>
      </c>
      <c r="EL127" s="231">
        <v>1402.18</v>
      </c>
      <c r="EM127" s="228">
        <v>886.52</v>
      </c>
      <c r="EN127" s="228">
        <v>0</v>
      </c>
      <c r="EO127" s="231">
        <v>5553.66</v>
      </c>
      <c r="EP127" s="231">
        <v>3351.17</v>
      </c>
      <c r="EQ127" s="231">
        <v>2202.48</v>
      </c>
      <c r="ER127" s="229">
        <v>0.65720000000000001</v>
      </c>
      <c r="ES127" s="231">
        <v>2373.9699999999998</v>
      </c>
      <c r="ET127" s="231">
        <v>1072.82</v>
      </c>
      <c r="EU127" s="231">
        <v>5482.89</v>
      </c>
      <c r="EV127" s="231">
        <v>272014607</v>
      </c>
      <c r="EW127" s="231">
        <v>8929.69</v>
      </c>
      <c r="EX127" s="231">
        <v>8545.81</v>
      </c>
      <c r="EY127" s="228">
        <v>383.88</v>
      </c>
      <c r="EZ127" s="229">
        <v>4.4900000000000002E-2</v>
      </c>
      <c r="FA127" s="229">
        <v>9.0499999999999997E-2</v>
      </c>
      <c r="FB127" s="227" t="s">
        <v>567</v>
      </c>
      <c r="FC127">
        <f t="shared" si="1"/>
        <v>899</v>
      </c>
    </row>
    <row r="128" spans="1:159" ht="17.25" thickBot="1" x14ac:dyDescent="0.3">
      <c r="A128" s="226">
        <v>45889</v>
      </c>
      <c r="B128" s="227" t="s">
        <v>175</v>
      </c>
      <c r="C128" s="227" t="s">
        <v>565</v>
      </c>
      <c r="D128" s="228">
        <v>4462</v>
      </c>
      <c r="E128" s="228">
        <v>8</v>
      </c>
      <c r="F128" s="228">
        <v>216.44</v>
      </c>
      <c r="G128" s="228">
        <v>217.14</v>
      </c>
      <c r="H128" s="228">
        <v>-0.7</v>
      </c>
      <c r="I128" s="229">
        <v>-3.2000000000000002E-3</v>
      </c>
      <c r="J128" s="228">
        <v>216.53</v>
      </c>
      <c r="K128" s="228">
        <v>217.03</v>
      </c>
      <c r="L128" s="228">
        <v>-0.5</v>
      </c>
      <c r="M128" s="229">
        <v>-2.3E-3</v>
      </c>
      <c r="N128" s="228">
        <v>216.44</v>
      </c>
      <c r="O128" s="228">
        <v>217.14</v>
      </c>
      <c r="P128" s="228">
        <v>-0.7</v>
      </c>
      <c r="Q128" s="229">
        <v>-3.2000000000000002E-3</v>
      </c>
      <c r="R128" s="228">
        <v>217.02</v>
      </c>
      <c r="S128" s="228">
        <v>217.69</v>
      </c>
      <c r="T128" s="228">
        <v>-0.67</v>
      </c>
      <c r="U128" s="229">
        <v>-3.0999999999999999E-3</v>
      </c>
      <c r="V128" s="228">
        <v>217.76</v>
      </c>
      <c r="W128" s="228">
        <v>218.48</v>
      </c>
      <c r="X128" s="228">
        <v>-0.72</v>
      </c>
      <c r="Y128" s="229">
        <v>-3.3E-3</v>
      </c>
      <c r="Z128" s="228">
        <v>-0.09</v>
      </c>
      <c r="AA128" s="228">
        <v>0.11</v>
      </c>
      <c r="AB128" s="228">
        <v>-0.2</v>
      </c>
      <c r="AC128" s="229">
        <v>-4.0000000000000002E-4</v>
      </c>
      <c r="AD128" s="228">
        <v>-0.09</v>
      </c>
      <c r="AE128" s="228">
        <v>0.11</v>
      </c>
      <c r="AF128" s="228">
        <v>-0.2</v>
      </c>
      <c r="AG128" s="229">
        <v>-4.0000000000000002E-4</v>
      </c>
      <c r="AH128" s="228">
        <v>0.49</v>
      </c>
      <c r="AI128" s="228">
        <v>0.66</v>
      </c>
      <c r="AJ128" s="228">
        <v>-0.17</v>
      </c>
      <c r="AK128" s="229">
        <v>2.3E-3</v>
      </c>
      <c r="AL128" s="228">
        <v>1.23</v>
      </c>
      <c r="AM128" s="228">
        <v>1.45</v>
      </c>
      <c r="AN128" s="228">
        <v>-0.22</v>
      </c>
      <c r="AO128" s="229">
        <v>5.7000000000000002E-3</v>
      </c>
      <c r="AP128" s="228">
        <v>216.13</v>
      </c>
      <c r="AQ128" s="228">
        <v>216.86</v>
      </c>
      <c r="AR128" s="228">
        <v>0</v>
      </c>
      <c r="AS128" s="228">
        <v>265</v>
      </c>
      <c r="AT128" s="228">
        <v>546</v>
      </c>
      <c r="AU128" s="228">
        <v>-281</v>
      </c>
      <c r="AV128" s="229">
        <v>-0.51429999999999998</v>
      </c>
      <c r="AW128" s="228">
        <v>221</v>
      </c>
      <c r="AX128" s="228">
        <v>428</v>
      </c>
      <c r="AY128" s="228">
        <v>-206</v>
      </c>
      <c r="AZ128" s="229">
        <v>-0.4824</v>
      </c>
      <c r="BA128" s="228">
        <v>41</v>
      </c>
      <c r="BB128" s="228">
        <v>110</v>
      </c>
      <c r="BC128" s="228">
        <v>-68</v>
      </c>
      <c r="BD128" s="229">
        <v>-0.62290000000000001</v>
      </c>
      <c r="BE128" s="228">
        <v>2</v>
      </c>
      <c r="BF128" s="228">
        <v>8</v>
      </c>
      <c r="BG128" s="228">
        <v>-6</v>
      </c>
      <c r="BH128" s="229">
        <v>-0.72940000000000005</v>
      </c>
      <c r="BI128" s="228">
        <v>491</v>
      </c>
      <c r="BJ128" s="230">
        <v>1577</v>
      </c>
      <c r="BK128" s="230">
        <v>-1087</v>
      </c>
      <c r="BL128" s="229">
        <v>-0.68899999999999995</v>
      </c>
      <c r="BM128" s="228">
        <v>225</v>
      </c>
      <c r="BN128" s="228">
        <v>859</v>
      </c>
      <c r="BO128" s="228">
        <v>-634</v>
      </c>
      <c r="BP128" s="229">
        <v>-0.73770000000000002</v>
      </c>
      <c r="BQ128" s="228">
        <v>981</v>
      </c>
      <c r="BR128" s="230">
        <v>2982</v>
      </c>
      <c r="BS128" s="230">
        <v>-2001</v>
      </c>
      <c r="BT128" s="229">
        <v>-0.67100000000000004</v>
      </c>
      <c r="BU128" s="230">
        <v>6609465</v>
      </c>
      <c r="BV128" s="230">
        <v>9901224</v>
      </c>
      <c r="BW128" s="230">
        <v>-3291759</v>
      </c>
      <c r="BX128" s="229">
        <v>-0.33250000000000002</v>
      </c>
      <c r="BY128" s="230">
        <v>1027</v>
      </c>
      <c r="BZ128" s="230">
        <v>1060</v>
      </c>
      <c r="CA128" s="228">
        <v>-33</v>
      </c>
      <c r="CB128" s="229">
        <v>-3.09E-2</v>
      </c>
      <c r="CC128" s="228">
        <v>933</v>
      </c>
      <c r="CD128" s="228">
        <v>968</v>
      </c>
      <c r="CE128" s="228">
        <v>-35</v>
      </c>
      <c r="CF128" s="229">
        <v>-3.6299999999999999E-2</v>
      </c>
      <c r="CG128" s="228">
        <v>87</v>
      </c>
      <c r="CH128" s="228">
        <v>85</v>
      </c>
      <c r="CI128" s="228">
        <v>2</v>
      </c>
      <c r="CJ128" s="229">
        <v>1.9300000000000001E-2</v>
      </c>
      <c r="CK128" s="228">
        <v>8</v>
      </c>
      <c r="CL128" s="228">
        <v>7</v>
      </c>
      <c r="CM128" s="228">
        <v>1</v>
      </c>
      <c r="CN128" s="229">
        <v>0.11269999999999999</v>
      </c>
      <c r="CO128" s="228">
        <v>635</v>
      </c>
      <c r="CP128" s="228">
        <v>625</v>
      </c>
      <c r="CQ128" s="228">
        <v>10</v>
      </c>
      <c r="CR128" s="229">
        <v>1.67E-2</v>
      </c>
      <c r="CS128" s="228">
        <v>616</v>
      </c>
      <c r="CT128" s="228">
        <v>613</v>
      </c>
      <c r="CU128" s="228">
        <v>2</v>
      </c>
      <c r="CV128" s="229">
        <v>3.8999999999999998E-3</v>
      </c>
      <c r="CW128" s="230">
        <v>2278</v>
      </c>
      <c r="CX128" s="230">
        <v>2298</v>
      </c>
      <c r="CY128" s="228">
        <v>-20</v>
      </c>
      <c r="CZ128" s="229">
        <v>-8.6999999999999994E-3</v>
      </c>
      <c r="DA128" s="228">
        <v>29.78</v>
      </c>
      <c r="DB128" s="228">
        <v>31.69</v>
      </c>
      <c r="DC128" s="228">
        <v>-1.91</v>
      </c>
      <c r="DD128" s="228">
        <v>-1.91</v>
      </c>
      <c r="DE128" s="228">
        <v>39.840000000000003</v>
      </c>
      <c r="DF128" s="228">
        <v>39.94</v>
      </c>
      <c r="DG128" s="228">
        <v>-10.06</v>
      </c>
      <c r="DH128" s="228">
        <v>-0.1</v>
      </c>
      <c r="DI128" s="228">
        <v>28.67</v>
      </c>
      <c r="DJ128" s="228">
        <v>30.72</v>
      </c>
      <c r="DK128" s="228">
        <v>-2.0499999999999998</v>
      </c>
      <c r="DL128" s="228">
        <v>-2.0499999999999998</v>
      </c>
      <c r="DM128" s="228">
        <v>32.200000000000003</v>
      </c>
      <c r="DN128" s="228">
        <v>33.46</v>
      </c>
      <c r="DO128" s="228">
        <v>-1.26</v>
      </c>
      <c r="DP128" s="228">
        <v>-1.26</v>
      </c>
      <c r="DQ128" s="228">
        <v>0.97</v>
      </c>
      <c r="DR128" s="228">
        <v>0.98</v>
      </c>
      <c r="DS128" s="228">
        <v>-0.01</v>
      </c>
      <c r="DT128" s="229">
        <v>-1.0200000000000001E-2</v>
      </c>
      <c r="DU128" s="228">
        <v>200</v>
      </c>
      <c r="DV128" s="228">
        <v>180</v>
      </c>
      <c r="DW128" s="228">
        <v>0.46</v>
      </c>
      <c r="DX128" s="228">
        <v>0.54</v>
      </c>
      <c r="DY128" s="228">
        <v>-0.08</v>
      </c>
      <c r="DZ128" s="229">
        <v>-0.14810000000000001</v>
      </c>
      <c r="EA128" s="229">
        <v>9.1800000000000007E-2</v>
      </c>
      <c r="EB128" s="230">
        <v>4243362</v>
      </c>
      <c r="EC128" s="229">
        <v>2.7000000000000001E-3</v>
      </c>
      <c r="ED128" s="229">
        <v>9.1800000000000007E-2</v>
      </c>
      <c r="EE128" s="228">
        <v>0.73</v>
      </c>
      <c r="EF128" s="229">
        <v>3.3999999999999998E-3</v>
      </c>
      <c r="EG128" s="230">
        <v>4228311</v>
      </c>
      <c r="EH128" s="230">
        <v>4158620</v>
      </c>
      <c r="EI128" s="229">
        <v>1.6799999999999999E-2</v>
      </c>
      <c r="EJ128" s="229">
        <v>0.63970000000000005</v>
      </c>
      <c r="EK128" s="228">
        <v>505.38</v>
      </c>
      <c r="EL128" s="228">
        <v>219.95</v>
      </c>
      <c r="EM128" s="228">
        <v>264.77999999999997</v>
      </c>
      <c r="EN128" s="228">
        <v>0</v>
      </c>
      <c r="EO128" s="228">
        <v>990.11</v>
      </c>
      <c r="EP128" s="231">
        <v>2993.76</v>
      </c>
      <c r="EQ128" s="231">
        <v>-2003.65</v>
      </c>
      <c r="ER128" s="229">
        <v>-0.66930000000000001</v>
      </c>
      <c r="ES128" s="228">
        <v>635.23</v>
      </c>
      <c r="ET128" s="228">
        <v>564.05999999999995</v>
      </c>
      <c r="EU128" s="231">
        <v>1027.26</v>
      </c>
      <c r="EV128" s="231">
        <v>169036274</v>
      </c>
      <c r="EW128" s="231">
        <v>2226.5500000000002</v>
      </c>
      <c r="EX128" s="231">
        <v>2248.5500000000002</v>
      </c>
      <c r="EY128" s="228">
        <v>-22</v>
      </c>
      <c r="EZ128" s="229">
        <v>-9.7999999999999997E-3</v>
      </c>
      <c r="FA128" s="229">
        <v>0.62260000000000004</v>
      </c>
      <c r="FB128" s="227" t="s">
        <v>568</v>
      </c>
      <c r="FC128">
        <f t="shared" si="1"/>
        <v>94</v>
      </c>
    </row>
    <row r="129" spans="1:159" ht="17.25" thickBot="1" x14ac:dyDescent="0.3">
      <c r="A129" s="226">
        <v>45889</v>
      </c>
      <c r="B129" s="227" t="s">
        <v>221</v>
      </c>
      <c r="C129" s="227" t="s">
        <v>561</v>
      </c>
      <c r="D129" s="228">
        <v>150</v>
      </c>
      <c r="E129" s="228">
        <v>8</v>
      </c>
      <c r="F129" s="231">
        <v>5193</v>
      </c>
      <c r="G129" s="231">
        <v>5116.5</v>
      </c>
      <c r="H129" s="228">
        <v>76.5</v>
      </c>
      <c r="I129" s="229">
        <v>1.4999999999999999E-2</v>
      </c>
      <c r="J129" s="231">
        <v>5180.5</v>
      </c>
      <c r="K129" s="231">
        <v>5111</v>
      </c>
      <c r="L129" s="228">
        <v>69.5</v>
      </c>
      <c r="M129" s="229">
        <v>1.3599999999999999E-2</v>
      </c>
      <c r="N129" s="231">
        <v>5193</v>
      </c>
      <c r="O129" s="231">
        <v>5116.5</v>
      </c>
      <c r="P129" s="228">
        <v>76.5</v>
      </c>
      <c r="Q129" s="229">
        <v>1.4999999999999999E-2</v>
      </c>
      <c r="R129" s="231">
        <v>5193</v>
      </c>
      <c r="S129" s="231">
        <v>5119.5</v>
      </c>
      <c r="T129" s="228">
        <v>73.5</v>
      </c>
      <c r="U129" s="229">
        <v>1.44E-2</v>
      </c>
      <c r="V129" s="231">
        <v>5190</v>
      </c>
      <c r="W129" s="231">
        <v>5114.5</v>
      </c>
      <c r="X129" s="228">
        <v>75.5</v>
      </c>
      <c r="Y129" s="229">
        <v>1.4800000000000001E-2</v>
      </c>
      <c r="Z129" s="228">
        <v>12.5</v>
      </c>
      <c r="AA129" s="228">
        <v>5.5</v>
      </c>
      <c r="AB129" s="228">
        <v>7</v>
      </c>
      <c r="AC129" s="229">
        <v>2.3999999999999998E-3</v>
      </c>
      <c r="AD129" s="228">
        <v>12.5</v>
      </c>
      <c r="AE129" s="228">
        <v>5.5</v>
      </c>
      <c r="AF129" s="228">
        <v>7</v>
      </c>
      <c r="AG129" s="229">
        <v>2.3999999999999998E-3</v>
      </c>
      <c r="AH129" s="228">
        <v>12.5</v>
      </c>
      <c r="AI129" s="228">
        <v>8.5</v>
      </c>
      <c r="AJ129" s="228">
        <v>4</v>
      </c>
      <c r="AK129" s="229">
        <v>2.3999999999999998E-3</v>
      </c>
      <c r="AL129" s="228">
        <v>9.5</v>
      </c>
      <c r="AM129" s="228">
        <v>3.5</v>
      </c>
      <c r="AN129" s="228">
        <v>6</v>
      </c>
      <c r="AO129" s="229">
        <v>1.8E-3</v>
      </c>
      <c r="AP129" s="231">
        <v>5191.0600000000004</v>
      </c>
      <c r="AQ129" s="231">
        <v>5195.12</v>
      </c>
      <c r="AR129" s="228">
        <v>0</v>
      </c>
      <c r="AS129" s="228">
        <v>461</v>
      </c>
      <c r="AT129" s="228">
        <v>244</v>
      </c>
      <c r="AU129" s="228">
        <v>217</v>
      </c>
      <c r="AV129" s="229">
        <v>0.88800000000000001</v>
      </c>
      <c r="AW129" s="228">
        <v>357</v>
      </c>
      <c r="AX129" s="228">
        <v>166</v>
      </c>
      <c r="AY129" s="228">
        <v>191</v>
      </c>
      <c r="AZ129" s="229">
        <v>1.1496999999999999</v>
      </c>
      <c r="BA129" s="228">
        <v>102</v>
      </c>
      <c r="BB129" s="228">
        <v>77</v>
      </c>
      <c r="BC129" s="228">
        <v>25</v>
      </c>
      <c r="BD129" s="229">
        <v>0.31850000000000001</v>
      </c>
      <c r="BE129" s="228">
        <v>2</v>
      </c>
      <c r="BF129" s="228">
        <v>1</v>
      </c>
      <c r="BG129" s="228">
        <v>1</v>
      </c>
      <c r="BH129" s="229">
        <v>1.3077000000000001</v>
      </c>
      <c r="BI129" s="230">
        <v>1398</v>
      </c>
      <c r="BJ129" s="228">
        <v>622</v>
      </c>
      <c r="BK129" s="228">
        <v>776</v>
      </c>
      <c r="BL129" s="229">
        <v>1.2466999999999999</v>
      </c>
      <c r="BM129" s="228">
        <v>479</v>
      </c>
      <c r="BN129" s="228">
        <v>265</v>
      </c>
      <c r="BO129" s="228">
        <v>215</v>
      </c>
      <c r="BP129" s="229">
        <v>0.81100000000000005</v>
      </c>
      <c r="BQ129" s="230">
        <v>2338</v>
      </c>
      <c r="BR129" s="230">
        <v>1131</v>
      </c>
      <c r="BS129" s="230">
        <v>1207</v>
      </c>
      <c r="BT129" s="229">
        <v>1.0672999999999999</v>
      </c>
      <c r="BU129" s="230">
        <v>337169</v>
      </c>
      <c r="BV129" s="230">
        <v>95151</v>
      </c>
      <c r="BW129" s="230">
        <v>242018</v>
      </c>
      <c r="BX129" s="229">
        <v>2.5434999999999999</v>
      </c>
      <c r="BY129" s="230">
        <v>1458</v>
      </c>
      <c r="BZ129" s="230">
        <v>1461</v>
      </c>
      <c r="CA129" s="228">
        <v>-2</v>
      </c>
      <c r="CB129" s="229">
        <v>-1.6999999999999999E-3</v>
      </c>
      <c r="CC129" s="230">
        <v>1277</v>
      </c>
      <c r="CD129" s="230">
        <v>1337</v>
      </c>
      <c r="CE129" s="228">
        <v>-60</v>
      </c>
      <c r="CF129" s="229">
        <v>-4.4699999999999997E-2</v>
      </c>
      <c r="CG129" s="228">
        <v>177</v>
      </c>
      <c r="CH129" s="228">
        <v>118</v>
      </c>
      <c r="CI129" s="228">
        <v>58</v>
      </c>
      <c r="CJ129" s="229">
        <v>0.49440000000000001</v>
      </c>
      <c r="CK129" s="228">
        <v>4</v>
      </c>
      <c r="CL129" s="228">
        <v>5</v>
      </c>
      <c r="CM129" s="228">
        <v>-1</v>
      </c>
      <c r="CN129" s="229">
        <v>-0.2273</v>
      </c>
      <c r="CO129" s="228">
        <v>443</v>
      </c>
      <c r="CP129" s="228">
        <v>492</v>
      </c>
      <c r="CQ129" s="228">
        <v>-49</v>
      </c>
      <c r="CR129" s="229">
        <v>-9.9099999999999994E-2</v>
      </c>
      <c r="CS129" s="228">
        <v>294</v>
      </c>
      <c r="CT129" s="228">
        <v>281</v>
      </c>
      <c r="CU129" s="228">
        <v>13</v>
      </c>
      <c r="CV129" s="229">
        <v>4.4900000000000002E-2</v>
      </c>
      <c r="CW129" s="230">
        <v>2196</v>
      </c>
      <c r="CX129" s="230">
        <v>2234</v>
      </c>
      <c r="CY129" s="228">
        <v>-39</v>
      </c>
      <c r="CZ129" s="229">
        <v>-1.7299999999999999E-2</v>
      </c>
      <c r="DA129" s="228">
        <v>28.08</v>
      </c>
      <c r="DB129" s="228">
        <v>28.69</v>
      </c>
      <c r="DC129" s="228">
        <v>-0.61</v>
      </c>
      <c r="DD129" s="228">
        <v>-0.61</v>
      </c>
      <c r="DE129" s="228">
        <v>34.51</v>
      </c>
      <c r="DF129" s="228">
        <v>34.54</v>
      </c>
      <c r="DG129" s="228">
        <v>-6.43</v>
      </c>
      <c r="DH129" s="228">
        <v>-0.03</v>
      </c>
      <c r="DI129" s="228">
        <v>27.86</v>
      </c>
      <c r="DJ129" s="228">
        <v>28.77</v>
      </c>
      <c r="DK129" s="228">
        <v>-0.91</v>
      </c>
      <c r="DL129" s="228">
        <v>-0.91</v>
      </c>
      <c r="DM129" s="228">
        <v>28.73</v>
      </c>
      <c r="DN129" s="228">
        <v>28.49</v>
      </c>
      <c r="DO129" s="228">
        <v>0.24</v>
      </c>
      <c r="DP129" s="228">
        <v>0.24</v>
      </c>
      <c r="DQ129" s="228">
        <v>0.66</v>
      </c>
      <c r="DR129" s="228">
        <v>0.56999999999999995</v>
      </c>
      <c r="DS129" s="228">
        <v>0.09</v>
      </c>
      <c r="DT129" s="229">
        <v>0.15790000000000001</v>
      </c>
      <c r="DU129" s="231">
        <v>5200</v>
      </c>
      <c r="DV129" s="231">
        <v>4400</v>
      </c>
      <c r="DW129" s="228">
        <v>0.34</v>
      </c>
      <c r="DX129" s="228">
        <v>0.43</v>
      </c>
      <c r="DY129" s="228">
        <v>-0.09</v>
      </c>
      <c r="DZ129" s="229">
        <v>-0.20930000000000001</v>
      </c>
      <c r="EA129" s="229">
        <v>0.124</v>
      </c>
      <c r="EB129" s="230">
        <v>237750</v>
      </c>
      <c r="EC129" s="229">
        <v>0</v>
      </c>
      <c r="ED129" s="229">
        <v>0.124</v>
      </c>
      <c r="EE129" s="228">
        <v>4.0599999999999996</v>
      </c>
      <c r="EF129" s="229">
        <v>8.0000000000000004E-4</v>
      </c>
      <c r="EG129" s="230">
        <v>162585</v>
      </c>
      <c r="EH129" s="230">
        <v>33395</v>
      </c>
      <c r="EI129" s="229">
        <v>3.8685</v>
      </c>
      <c r="EJ129" s="229">
        <v>0.48220000000000002</v>
      </c>
      <c r="EK129" s="231">
        <v>1438.8</v>
      </c>
      <c r="EL129" s="228">
        <v>469.95</v>
      </c>
      <c r="EM129" s="228">
        <v>460.65</v>
      </c>
      <c r="EN129" s="228">
        <v>0</v>
      </c>
      <c r="EO129" s="231">
        <v>2369.41</v>
      </c>
      <c r="EP129" s="231">
        <v>1131.28</v>
      </c>
      <c r="EQ129" s="231">
        <v>1238.1199999999999</v>
      </c>
      <c r="ER129" s="229">
        <v>1.0944</v>
      </c>
      <c r="ES129" s="228">
        <v>459.44</v>
      </c>
      <c r="ET129" s="228">
        <v>275.33999999999997</v>
      </c>
      <c r="EU129" s="231">
        <v>1458.27</v>
      </c>
      <c r="EV129" s="231">
        <v>18631884</v>
      </c>
      <c r="EW129" s="231">
        <v>2193.0500000000002</v>
      </c>
      <c r="EX129" s="231">
        <v>2209.1799999999998</v>
      </c>
      <c r="EY129" s="228">
        <v>-16.13</v>
      </c>
      <c r="EZ129" s="229">
        <v>-7.3000000000000001E-3</v>
      </c>
      <c r="FA129" s="229">
        <v>0.22689999999999999</v>
      </c>
      <c r="FB129" s="227" t="s">
        <v>556</v>
      </c>
      <c r="FC129">
        <f t="shared" si="1"/>
        <v>181</v>
      </c>
    </row>
    <row r="130" spans="1:159" ht="17.25" thickBot="1" x14ac:dyDescent="0.3">
      <c r="A130" s="226">
        <v>45889</v>
      </c>
      <c r="B130" s="227" t="s">
        <v>170</v>
      </c>
      <c r="C130" s="227" t="s">
        <v>250</v>
      </c>
      <c r="D130" s="228">
        <v>425</v>
      </c>
      <c r="E130" s="228">
        <v>8</v>
      </c>
      <c r="F130" s="231">
        <v>1944.6</v>
      </c>
      <c r="G130" s="231">
        <v>1975.1</v>
      </c>
      <c r="H130" s="228">
        <v>-30.5</v>
      </c>
      <c r="I130" s="229">
        <v>-1.54E-2</v>
      </c>
      <c r="J130" s="231">
        <v>1940.3</v>
      </c>
      <c r="K130" s="231">
        <v>1968.6</v>
      </c>
      <c r="L130" s="228">
        <v>-28.3</v>
      </c>
      <c r="M130" s="229">
        <v>-1.44E-2</v>
      </c>
      <c r="N130" s="231">
        <v>1944.6</v>
      </c>
      <c r="O130" s="231">
        <v>1975.1</v>
      </c>
      <c r="P130" s="228">
        <v>-30.5</v>
      </c>
      <c r="Q130" s="229">
        <v>-1.54E-2</v>
      </c>
      <c r="R130" s="231">
        <v>1955.8</v>
      </c>
      <c r="S130" s="231">
        <v>1986</v>
      </c>
      <c r="T130" s="228">
        <v>-30.2</v>
      </c>
      <c r="U130" s="229">
        <v>-1.52E-2</v>
      </c>
      <c r="V130" s="231">
        <v>1964.3</v>
      </c>
      <c r="W130" s="231">
        <v>1995.8</v>
      </c>
      <c r="X130" s="228">
        <v>-31.5</v>
      </c>
      <c r="Y130" s="229">
        <v>-1.5800000000000002E-2</v>
      </c>
      <c r="Z130" s="228">
        <v>4.3</v>
      </c>
      <c r="AA130" s="228">
        <v>6.5</v>
      </c>
      <c r="AB130" s="228">
        <v>-2.2000000000000002</v>
      </c>
      <c r="AC130" s="229">
        <v>2.2000000000000001E-3</v>
      </c>
      <c r="AD130" s="228">
        <v>4.3</v>
      </c>
      <c r="AE130" s="228">
        <v>6.5</v>
      </c>
      <c r="AF130" s="228">
        <v>-2.2000000000000002</v>
      </c>
      <c r="AG130" s="229">
        <v>2.2000000000000001E-3</v>
      </c>
      <c r="AH130" s="228">
        <v>15.5</v>
      </c>
      <c r="AI130" s="228">
        <v>17.399999999999999</v>
      </c>
      <c r="AJ130" s="228">
        <v>-1.9</v>
      </c>
      <c r="AK130" s="229">
        <v>8.0000000000000002E-3</v>
      </c>
      <c r="AL130" s="228">
        <v>24</v>
      </c>
      <c r="AM130" s="228">
        <v>27.2</v>
      </c>
      <c r="AN130" s="228">
        <v>-3.2</v>
      </c>
      <c r="AO130" s="229">
        <v>1.24E-2</v>
      </c>
      <c r="AP130" s="231">
        <v>1950.52</v>
      </c>
      <c r="AQ130" s="231">
        <v>1960.76</v>
      </c>
      <c r="AR130" s="228">
        <v>0</v>
      </c>
      <c r="AS130" s="228">
        <v>208</v>
      </c>
      <c r="AT130" s="228">
        <v>169</v>
      </c>
      <c r="AU130" s="228">
        <v>40</v>
      </c>
      <c r="AV130" s="229">
        <v>0.2359</v>
      </c>
      <c r="AW130" s="228">
        <v>148</v>
      </c>
      <c r="AX130" s="228">
        <v>139</v>
      </c>
      <c r="AY130" s="228">
        <v>9</v>
      </c>
      <c r="AZ130" s="229">
        <v>6.5199999999999994E-2</v>
      </c>
      <c r="BA130" s="228">
        <v>57</v>
      </c>
      <c r="BB130" s="228">
        <v>28</v>
      </c>
      <c r="BC130" s="228">
        <v>29</v>
      </c>
      <c r="BD130" s="229">
        <v>1.0205</v>
      </c>
      <c r="BE130" s="228">
        <v>3</v>
      </c>
      <c r="BF130" s="228">
        <v>1</v>
      </c>
      <c r="BG130" s="228">
        <v>2</v>
      </c>
      <c r="BH130" s="229">
        <v>2</v>
      </c>
      <c r="BI130" s="228">
        <v>631</v>
      </c>
      <c r="BJ130" s="228">
        <v>536</v>
      </c>
      <c r="BK130" s="228">
        <v>96</v>
      </c>
      <c r="BL130" s="229">
        <v>0.17879999999999999</v>
      </c>
      <c r="BM130" s="228">
        <v>401</v>
      </c>
      <c r="BN130" s="228">
        <v>208</v>
      </c>
      <c r="BO130" s="228">
        <v>193</v>
      </c>
      <c r="BP130" s="229">
        <v>0.92700000000000005</v>
      </c>
      <c r="BQ130" s="230">
        <v>1241</v>
      </c>
      <c r="BR130" s="228">
        <v>912</v>
      </c>
      <c r="BS130" s="228">
        <v>329</v>
      </c>
      <c r="BT130" s="229">
        <v>0.36020000000000002</v>
      </c>
      <c r="BU130" s="230">
        <v>568836</v>
      </c>
      <c r="BV130" s="230">
        <v>484977</v>
      </c>
      <c r="BW130" s="230">
        <v>83859</v>
      </c>
      <c r="BX130" s="229">
        <v>0.1729</v>
      </c>
      <c r="BY130" s="230">
        <v>2171</v>
      </c>
      <c r="BZ130" s="230">
        <v>2169</v>
      </c>
      <c r="CA130" s="228">
        <v>2</v>
      </c>
      <c r="CB130" s="229">
        <v>6.9999999999999999E-4</v>
      </c>
      <c r="CC130" s="230">
        <v>2046</v>
      </c>
      <c r="CD130" s="230">
        <v>2073</v>
      </c>
      <c r="CE130" s="228">
        <v>-27</v>
      </c>
      <c r="CF130" s="229">
        <v>-1.2800000000000001E-2</v>
      </c>
      <c r="CG130" s="228">
        <v>115</v>
      </c>
      <c r="CH130" s="228">
        <v>88</v>
      </c>
      <c r="CI130" s="228">
        <v>27</v>
      </c>
      <c r="CJ130" s="229">
        <v>0.31109999999999999</v>
      </c>
      <c r="CK130" s="228">
        <v>9</v>
      </c>
      <c r="CL130" s="228">
        <v>8</v>
      </c>
      <c r="CM130" s="228">
        <v>1</v>
      </c>
      <c r="CN130" s="229">
        <v>9.8000000000000004E-2</v>
      </c>
      <c r="CO130" s="228">
        <v>745</v>
      </c>
      <c r="CP130" s="228">
        <v>695</v>
      </c>
      <c r="CQ130" s="228">
        <v>50</v>
      </c>
      <c r="CR130" s="229">
        <v>7.1800000000000003E-2</v>
      </c>
      <c r="CS130" s="228">
        <v>512</v>
      </c>
      <c r="CT130" s="228">
        <v>504</v>
      </c>
      <c r="CU130" s="228">
        <v>8</v>
      </c>
      <c r="CV130" s="229">
        <v>1.52E-2</v>
      </c>
      <c r="CW130" s="230">
        <v>3428</v>
      </c>
      <c r="CX130" s="230">
        <v>3369</v>
      </c>
      <c r="CY130" s="228">
        <v>59</v>
      </c>
      <c r="CZ130" s="229">
        <v>1.7600000000000001E-2</v>
      </c>
      <c r="DA130" s="228">
        <v>24.98</v>
      </c>
      <c r="DB130" s="228">
        <v>24.66</v>
      </c>
      <c r="DC130" s="228">
        <v>0.32</v>
      </c>
      <c r="DD130" s="228">
        <v>0.32</v>
      </c>
      <c r="DE130" s="228">
        <v>33.53</v>
      </c>
      <c r="DF130" s="228">
        <v>33.549999999999997</v>
      </c>
      <c r="DG130" s="228">
        <v>-8.5500000000000007</v>
      </c>
      <c r="DH130" s="228">
        <v>-0.02</v>
      </c>
      <c r="DI130" s="228">
        <v>24.74</v>
      </c>
      <c r="DJ130" s="228">
        <v>24.06</v>
      </c>
      <c r="DK130" s="228">
        <v>0.68</v>
      </c>
      <c r="DL130" s="228">
        <v>0.68</v>
      </c>
      <c r="DM130" s="228">
        <v>25.36</v>
      </c>
      <c r="DN130" s="228">
        <v>26.22</v>
      </c>
      <c r="DO130" s="228">
        <v>-0.86</v>
      </c>
      <c r="DP130" s="228">
        <v>-0.86</v>
      </c>
      <c r="DQ130" s="228">
        <v>0.69</v>
      </c>
      <c r="DR130" s="228">
        <v>0.73</v>
      </c>
      <c r="DS130" s="228">
        <v>-0.04</v>
      </c>
      <c r="DT130" s="229">
        <v>-5.4800000000000001E-2</v>
      </c>
      <c r="DU130" s="231">
        <v>2000</v>
      </c>
      <c r="DV130" s="231">
        <v>1900</v>
      </c>
      <c r="DW130" s="228">
        <v>0.64</v>
      </c>
      <c r="DX130" s="228">
        <v>0.39</v>
      </c>
      <c r="DY130" s="228">
        <v>0.25</v>
      </c>
      <c r="DZ130" s="229">
        <v>0.64100000000000001</v>
      </c>
      <c r="EA130" s="229">
        <v>5.74E-2</v>
      </c>
      <c r="EB130" s="230">
        <v>495550</v>
      </c>
      <c r="EC130" s="229">
        <v>5.7999999999999996E-3</v>
      </c>
      <c r="ED130" s="229">
        <v>5.74E-2</v>
      </c>
      <c r="EE130" s="228">
        <v>10.24</v>
      </c>
      <c r="EF130" s="229">
        <v>5.1999999999999998E-3</v>
      </c>
      <c r="EG130" s="230">
        <v>343522</v>
      </c>
      <c r="EH130" s="230">
        <v>272377</v>
      </c>
      <c r="EI130" s="229">
        <v>0.26119999999999999</v>
      </c>
      <c r="EJ130" s="229">
        <v>0.60389999999999999</v>
      </c>
      <c r="EK130" s="228">
        <v>654.59</v>
      </c>
      <c r="EL130" s="228">
        <v>399.6</v>
      </c>
      <c r="EM130" s="228">
        <v>209.23</v>
      </c>
      <c r="EN130" s="228">
        <v>0</v>
      </c>
      <c r="EO130" s="231">
        <v>1263.42</v>
      </c>
      <c r="EP130" s="228">
        <v>943.33</v>
      </c>
      <c r="EQ130" s="228">
        <v>320.08999999999997</v>
      </c>
      <c r="ER130" s="229">
        <v>0.33929999999999999</v>
      </c>
      <c r="ES130" s="228">
        <v>777.08</v>
      </c>
      <c r="ET130" s="228">
        <v>485.82</v>
      </c>
      <c r="EU130" s="231">
        <v>2171.2800000000002</v>
      </c>
      <c r="EV130" s="231">
        <v>48501721</v>
      </c>
      <c r="EW130" s="231">
        <v>3434.18</v>
      </c>
      <c r="EX130" s="231">
        <v>3409.48</v>
      </c>
      <c r="EY130" s="228">
        <v>24.7</v>
      </c>
      <c r="EZ130" s="229">
        <v>7.1999999999999998E-3</v>
      </c>
      <c r="FA130" s="229">
        <v>0.36349999999999999</v>
      </c>
      <c r="FB130" s="227" t="s">
        <v>567</v>
      </c>
      <c r="FC130">
        <f t="shared" si="1"/>
        <v>125</v>
      </c>
    </row>
    <row r="131" spans="1:159" ht="17.25" thickBot="1" x14ac:dyDescent="0.3">
      <c r="A131" s="226">
        <v>45889</v>
      </c>
      <c r="B131" s="227" t="s">
        <v>162</v>
      </c>
      <c r="C131" s="227" t="s">
        <v>251</v>
      </c>
      <c r="D131" s="228">
        <v>200</v>
      </c>
      <c r="E131" s="228">
        <v>8</v>
      </c>
      <c r="F131" s="231">
        <v>3396.3</v>
      </c>
      <c r="G131" s="231">
        <v>3356.4</v>
      </c>
      <c r="H131" s="228">
        <v>39.9</v>
      </c>
      <c r="I131" s="229">
        <v>1.1900000000000001E-2</v>
      </c>
      <c r="J131" s="231">
        <v>3395.6</v>
      </c>
      <c r="K131" s="231">
        <v>3354</v>
      </c>
      <c r="L131" s="228">
        <v>41.6</v>
      </c>
      <c r="M131" s="229">
        <v>1.24E-2</v>
      </c>
      <c r="N131" s="231">
        <v>3396.3</v>
      </c>
      <c r="O131" s="231">
        <v>3356.4</v>
      </c>
      <c r="P131" s="228">
        <v>39.9</v>
      </c>
      <c r="Q131" s="229">
        <v>1.1900000000000001E-2</v>
      </c>
      <c r="R131" s="231">
        <v>3416.1</v>
      </c>
      <c r="S131" s="231">
        <v>3375.8</v>
      </c>
      <c r="T131" s="228">
        <v>40.299999999999997</v>
      </c>
      <c r="U131" s="229">
        <v>1.1900000000000001E-2</v>
      </c>
      <c r="V131" s="231">
        <v>3430.7</v>
      </c>
      <c r="W131" s="231">
        <v>3393.6</v>
      </c>
      <c r="X131" s="228">
        <v>37.1</v>
      </c>
      <c r="Y131" s="229">
        <v>1.09E-2</v>
      </c>
      <c r="Z131" s="228">
        <v>0.7</v>
      </c>
      <c r="AA131" s="228">
        <v>2.4</v>
      </c>
      <c r="AB131" s="228">
        <v>-1.7</v>
      </c>
      <c r="AC131" s="229">
        <v>2.0000000000000001E-4</v>
      </c>
      <c r="AD131" s="228">
        <v>0.7</v>
      </c>
      <c r="AE131" s="228">
        <v>2.4</v>
      </c>
      <c r="AF131" s="228">
        <v>-1.7</v>
      </c>
      <c r="AG131" s="229">
        <v>2.0000000000000001E-4</v>
      </c>
      <c r="AH131" s="228">
        <v>20.5</v>
      </c>
      <c r="AI131" s="228">
        <v>21.8</v>
      </c>
      <c r="AJ131" s="228">
        <v>-1.3</v>
      </c>
      <c r="AK131" s="229">
        <v>6.0000000000000001E-3</v>
      </c>
      <c r="AL131" s="228">
        <v>35.1</v>
      </c>
      <c r="AM131" s="228">
        <v>39.6</v>
      </c>
      <c r="AN131" s="228">
        <v>-4.5</v>
      </c>
      <c r="AO131" s="229">
        <v>1.03E-2</v>
      </c>
      <c r="AP131" s="231">
        <v>3380</v>
      </c>
      <c r="AQ131" s="231">
        <v>3404.01</v>
      </c>
      <c r="AR131" s="228">
        <v>0</v>
      </c>
      <c r="AS131" s="228">
        <v>840</v>
      </c>
      <c r="AT131" s="230">
        <v>1336</v>
      </c>
      <c r="AU131" s="228">
        <v>-496</v>
      </c>
      <c r="AV131" s="229">
        <v>-0.37130000000000002</v>
      </c>
      <c r="AW131" s="228">
        <v>698</v>
      </c>
      <c r="AX131" s="230">
        <v>1091</v>
      </c>
      <c r="AY131" s="228">
        <v>-393</v>
      </c>
      <c r="AZ131" s="229">
        <v>-0.3604</v>
      </c>
      <c r="BA131" s="228">
        <v>135</v>
      </c>
      <c r="BB131" s="228">
        <v>112</v>
      </c>
      <c r="BC131" s="228">
        <v>23</v>
      </c>
      <c r="BD131" s="229">
        <v>0.20660000000000001</v>
      </c>
      <c r="BE131" s="228">
        <v>7</v>
      </c>
      <c r="BF131" s="228">
        <v>133</v>
      </c>
      <c r="BG131" s="228">
        <v>-126</v>
      </c>
      <c r="BH131" s="229">
        <v>-0.94450000000000001</v>
      </c>
      <c r="BI131" s="230">
        <v>3511</v>
      </c>
      <c r="BJ131" s="230">
        <v>4789</v>
      </c>
      <c r="BK131" s="230">
        <v>-1278</v>
      </c>
      <c r="BL131" s="229">
        <v>-0.26679999999999998</v>
      </c>
      <c r="BM131" s="230">
        <v>1913</v>
      </c>
      <c r="BN131" s="230">
        <v>2938</v>
      </c>
      <c r="BO131" s="230">
        <v>-1025</v>
      </c>
      <c r="BP131" s="229">
        <v>-0.34889999999999999</v>
      </c>
      <c r="BQ131" s="230">
        <v>6264</v>
      </c>
      <c r="BR131" s="230">
        <v>9063</v>
      </c>
      <c r="BS131" s="230">
        <v>-2799</v>
      </c>
      <c r="BT131" s="229">
        <v>-0.30880000000000002</v>
      </c>
      <c r="BU131" s="230">
        <v>3030993</v>
      </c>
      <c r="BV131" s="230">
        <v>2640384</v>
      </c>
      <c r="BW131" s="230">
        <v>390609</v>
      </c>
      <c r="BX131" s="229">
        <v>0.1479</v>
      </c>
      <c r="BY131" s="230">
        <v>6693</v>
      </c>
      <c r="BZ131" s="230">
        <v>6740</v>
      </c>
      <c r="CA131" s="228">
        <v>-47</v>
      </c>
      <c r="CB131" s="229">
        <v>-6.8999999999999999E-3</v>
      </c>
      <c r="CC131" s="230">
        <v>5837</v>
      </c>
      <c r="CD131" s="230">
        <v>5939</v>
      </c>
      <c r="CE131" s="228">
        <v>-102</v>
      </c>
      <c r="CF131" s="229">
        <v>-1.72E-2</v>
      </c>
      <c r="CG131" s="228">
        <v>606</v>
      </c>
      <c r="CH131" s="228">
        <v>551</v>
      </c>
      <c r="CI131" s="228">
        <v>55</v>
      </c>
      <c r="CJ131" s="229">
        <v>0.1003</v>
      </c>
      <c r="CK131" s="228">
        <v>250</v>
      </c>
      <c r="CL131" s="228">
        <v>250</v>
      </c>
      <c r="CM131" s="228">
        <v>0</v>
      </c>
      <c r="CN131" s="229">
        <v>2.9999999999999997E-4</v>
      </c>
      <c r="CO131" s="230">
        <v>2357</v>
      </c>
      <c r="CP131" s="230">
        <v>2338</v>
      </c>
      <c r="CQ131" s="228">
        <v>19</v>
      </c>
      <c r="CR131" s="229">
        <v>8.3000000000000001E-3</v>
      </c>
      <c r="CS131" s="230">
        <v>2007</v>
      </c>
      <c r="CT131" s="230">
        <v>1866</v>
      </c>
      <c r="CU131" s="228">
        <v>141</v>
      </c>
      <c r="CV131" s="229">
        <v>7.5700000000000003E-2</v>
      </c>
      <c r="CW131" s="230">
        <v>11057</v>
      </c>
      <c r="CX131" s="230">
        <v>10943</v>
      </c>
      <c r="CY131" s="228">
        <v>114</v>
      </c>
      <c r="CZ131" s="229">
        <v>1.04E-2</v>
      </c>
      <c r="DA131" s="228">
        <v>23.79</v>
      </c>
      <c r="DB131" s="228">
        <v>25</v>
      </c>
      <c r="DC131" s="228">
        <v>-1.21</v>
      </c>
      <c r="DD131" s="228">
        <v>-1.21</v>
      </c>
      <c r="DE131" s="228">
        <v>34.06</v>
      </c>
      <c r="DF131" s="228">
        <v>34.11</v>
      </c>
      <c r="DG131" s="228">
        <v>-10.27</v>
      </c>
      <c r="DH131" s="228">
        <v>-0.05</v>
      </c>
      <c r="DI131" s="228">
        <v>21.88</v>
      </c>
      <c r="DJ131" s="228">
        <v>23.72</v>
      </c>
      <c r="DK131" s="228">
        <v>-1.84</v>
      </c>
      <c r="DL131" s="228">
        <v>-1.84</v>
      </c>
      <c r="DM131" s="228">
        <v>27.3</v>
      </c>
      <c r="DN131" s="228">
        <v>27.08</v>
      </c>
      <c r="DO131" s="228">
        <v>0.22</v>
      </c>
      <c r="DP131" s="228">
        <v>0.22</v>
      </c>
      <c r="DQ131" s="228">
        <v>0.85</v>
      </c>
      <c r="DR131" s="228">
        <v>0.8</v>
      </c>
      <c r="DS131" s="228">
        <v>0.05</v>
      </c>
      <c r="DT131" s="229">
        <v>6.25E-2</v>
      </c>
      <c r="DU131" s="231">
        <v>3400</v>
      </c>
      <c r="DV131" s="231">
        <v>3100</v>
      </c>
      <c r="DW131" s="228">
        <v>0.54</v>
      </c>
      <c r="DX131" s="228">
        <v>0.61</v>
      </c>
      <c r="DY131" s="228">
        <v>-7.0000000000000007E-2</v>
      </c>
      <c r="DZ131" s="229">
        <v>-0.1148</v>
      </c>
      <c r="EA131" s="229">
        <v>0.12790000000000001</v>
      </c>
      <c r="EB131" s="230">
        <v>2357800</v>
      </c>
      <c r="EC131" s="229">
        <v>5.7999999999999996E-3</v>
      </c>
      <c r="ED131" s="229">
        <v>0.12790000000000001</v>
      </c>
      <c r="EE131" s="228">
        <v>24.01</v>
      </c>
      <c r="EF131" s="229">
        <v>7.1000000000000004E-3</v>
      </c>
      <c r="EG131" s="230">
        <v>2159516</v>
      </c>
      <c r="EH131" s="230">
        <v>1721707</v>
      </c>
      <c r="EI131" s="229">
        <v>0.25430000000000003</v>
      </c>
      <c r="EJ131" s="229">
        <v>0.71250000000000002</v>
      </c>
      <c r="EK131" s="231">
        <v>3587.39</v>
      </c>
      <c r="EL131" s="231">
        <v>1863.11</v>
      </c>
      <c r="EM131" s="228">
        <v>836.84</v>
      </c>
      <c r="EN131" s="228">
        <v>0</v>
      </c>
      <c r="EO131" s="231">
        <v>6287.33</v>
      </c>
      <c r="EP131" s="231">
        <v>9073.39</v>
      </c>
      <c r="EQ131" s="231">
        <v>-2786.05</v>
      </c>
      <c r="ER131" s="229">
        <v>-0.30709999999999998</v>
      </c>
      <c r="ES131" s="231">
        <v>2371.91</v>
      </c>
      <c r="ET131" s="231">
        <v>1864.75</v>
      </c>
      <c r="EU131" s="231">
        <v>6699.09</v>
      </c>
      <c r="EV131" s="231">
        <v>190812745</v>
      </c>
      <c r="EW131" s="231">
        <v>10935.75</v>
      </c>
      <c r="EX131" s="231">
        <v>10742.56</v>
      </c>
      <c r="EY131" s="228">
        <v>193.19</v>
      </c>
      <c r="EZ131" s="229">
        <v>1.7999999999999999E-2</v>
      </c>
      <c r="FA131" s="229">
        <v>0.1706</v>
      </c>
      <c r="FB131" s="227" t="s">
        <v>556</v>
      </c>
      <c r="FC131">
        <f t="shared" ref="FC131:FC147" si="2">BY131-CC131</f>
        <v>856</v>
      </c>
    </row>
    <row r="132" spans="1:159" ht="17.25" thickBot="1" x14ac:dyDescent="0.3">
      <c r="A132" s="226">
        <v>45889</v>
      </c>
      <c r="B132" s="227" t="s">
        <v>175</v>
      </c>
      <c r="C132" s="227" t="s">
        <v>253</v>
      </c>
      <c r="D132" s="228">
        <v>3000</v>
      </c>
      <c r="E132" s="228">
        <v>8</v>
      </c>
      <c r="F132" s="228">
        <v>266.64999999999998</v>
      </c>
      <c r="G132" s="228">
        <v>270.25</v>
      </c>
      <c r="H132" s="228">
        <v>-3.6</v>
      </c>
      <c r="I132" s="229">
        <v>-1.3299999999999999E-2</v>
      </c>
      <c r="J132" s="228">
        <v>266.10000000000002</v>
      </c>
      <c r="K132" s="228">
        <v>269.55</v>
      </c>
      <c r="L132" s="228">
        <v>-3.45</v>
      </c>
      <c r="M132" s="229">
        <v>-1.2800000000000001E-2</v>
      </c>
      <c r="N132" s="228">
        <v>266.64999999999998</v>
      </c>
      <c r="O132" s="228">
        <v>270.25</v>
      </c>
      <c r="P132" s="228">
        <v>-3.6</v>
      </c>
      <c r="Q132" s="229">
        <v>-1.3299999999999999E-2</v>
      </c>
      <c r="R132" s="228">
        <v>268.10000000000002</v>
      </c>
      <c r="S132" s="228">
        <v>271.85000000000002</v>
      </c>
      <c r="T132" s="228">
        <v>-3.75</v>
      </c>
      <c r="U132" s="229">
        <v>-1.38E-2</v>
      </c>
      <c r="V132" s="228">
        <v>269.10000000000002</v>
      </c>
      <c r="W132" s="228">
        <v>271.25</v>
      </c>
      <c r="X132" s="228">
        <v>-2.15</v>
      </c>
      <c r="Y132" s="229">
        <v>-7.9000000000000008E-3</v>
      </c>
      <c r="Z132" s="228">
        <v>0.55000000000000004</v>
      </c>
      <c r="AA132" s="228">
        <v>0.7</v>
      </c>
      <c r="AB132" s="228">
        <v>-0.15</v>
      </c>
      <c r="AC132" s="229">
        <v>2.0999999999999999E-3</v>
      </c>
      <c r="AD132" s="228">
        <v>0.55000000000000004</v>
      </c>
      <c r="AE132" s="228">
        <v>0.7</v>
      </c>
      <c r="AF132" s="228">
        <v>-0.15</v>
      </c>
      <c r="AG132" s="229">
        <v>2.0999999999999999E-3</v>
      </c>
      <c r="AH132" s="228">
        <v>2</v>
      </c>
      <c r="AI132" s="228">
        <v>2.2999999999999998</v>
      </c>
      <c r="AJ132" s="228">
        <v>-0.3</v>
      </c>
      <c r="AK132" s="229">
        <v>7.4999999999999997E-3</v>
      </c>
      <c r="AL132" s="228">
        <v>3</v>
      </c>
      <c r="AM132" s="228">
        <v>1.7</v>
      </c>
      <c r="AN132" s="228">
        <v>1.3</v>
      </c>
      <c r="AO132" s="229">
        <v>1.1299999999999999E-2</v>
      </c>
      <c r="AP132" s="228">
        <v>266.56</v>
      </c>
      <c r="AQ132" s="228">
        <v>267.95999999999998</v>
      </c>
      <c r="AR132" s="228">
        <v>0</v>
      </c>
      <c r="AS132" s="228">
        <v>171</v>
      </c>
      <c r="AT132" s="228">
        <v>151</v>
      </c>
      <c r="AU132" s="228">
        <v>20</v>
      </c>
      <c r="AV132" s="229">
        <v>0.1305</v>
      </c>
      <c r="AW132" s="228">
        <v>135</v>
      </c>
      <c r="AX132" s="228">
        <v>130</v>
      </c>
      <c r="AY132" s="228">
        <v>5</v>
      </c>
      <c r="AZ132" s="229">
        <v>0.04</v>
      </c>
      <c r="BA132" s="228">
        <v>35</v>
      </c>
      <c r="BB132" s="228">
        <v>21</v>
      </c>
      <c r="BC132" s="228">
        <v>14</v>
      </c>
      <c r="BD132" s="229">
        <v>0.67689999999999995</v>
      </c>
      <c r="BE132" s="228">
        <v>1</v>
      </c>
      <c r="BF132" s="228">
        <v>0</v>
      </c>
      <c r="BG132" s="228">
        <v>0</v>
      </c>
      <c r="BH132" s="229">
        <v>1.2</v>
      </c>
      <c r="BI132" s="228">
        <v>396</v>
      </c>
      <c r="BJ132" s="228">
        <v>542</v>
      </c>
      <c r="BK132" s="228">
        <v>-146</v>
      </c>
      <c r="BL132" s="229">
        <v>-0.26860000000000001</v>
      </c>
      <c r="BM132" s="228">
        <v>312</v>
      </c>
      <c r="BN132" s="228">
        <v>378</v>
      </c>
      <c r="BO132" s="228">
        <v>-65</v>
      </c>
      <c r="BP132" s="229">
        <v>-0.1726</v>
      </c>
      <c r="BQ132" s="228">
        <v>880</v>
      </c>
      <c r="BR132" s="230">
        <v>1071</v>
      </c>
      <c r="BS132" s="228">
        <v>-191</v>
      </c>
      <c r="BT132" s="229">
        <v>-0.1784</v>
      </c>
      <c r="BU132" s="230">
        <v>2331330</v>
      </c>
      <c r="BV132" s="230">
        <v>2146051</v>
      </c>
      <c r="BW132" s="230">
        <v>185279</v>
      </c>
      <c r="BX132" s="229">
        <v>8.6300000000000002E-2</v>
      </c>
      <c r="BY132" s="228">
        <v>726</v>
      </c>
      <c r="BZ132" s="228">
        <v>690</v>
      </c>
      <c r="CA132" s="228">
        <v>36</v>
      </c>
      <c r="CB132" s="229">
        <v>5.1799999999999999E-2</v>
      </c>
      <c r="CC132" s="228">
        <v>661</v>
      </c>
      <c r="CD132" s="228">
        <v>643</v>
      </c>
      <c r="CE132" s="228">
        <v>19</v>
      </c>
      <c r="CF132" s="229">
        <v>2.93E-2</v>
      </c>
      <c r="CG132" s="228">
        <v>60</v>
      </c>
      <c r="CH132" s="228">
        <v>44</v>
      </c>
      <c r="CI132" s="228">
        <v>16</v>
      </c>
      <c r="CJ132" s="229">
        <v>0.36609999999999998</v>
      </c>
      <c r="CK132" s="228">
        <v>5</v>
      </c>
      <c r="CL132" s="228">
        <v>4</v>
      </c>
      <c r="CM132" s="228">
        <v>1</v>
      </c>
      <c r="CN132" s="229">
        <v>0.23400000000000001</v>
      </c>
      <c r="CO132" s="228">
        <v>502</v>
      </c>
      <c r="CP132" s="228">
        <v>484</v>
      </c>
      <c r="CQ132" s="228">
        <v>18</v>
      </c>
      <c r="CR132" s="229">
        <v>3.6799999999999999E-2</v>
      </c>
      <c r="CS132" s="228">
        <v>411</v>
      </c>
      <c r="CT132" s="228">
        <v>415</v>
      </c>
      <c r="CU132" s="228">
        <v>-3</v>
      </c>
      <c r="CV132" s="229">
        <v>-7.9000000000000008E-3</v>
      </c>
      <c r="CW132" s="230">
        <v>1639</v>
      </c>
      <c r="CX132" s="230">
        <v>1589</v>
      </c>
      <c r="CY132" s="228">
        <v>50</v>
      </c>
      <c r="CZ132" s="229">
        <v>3.1699999999999999E-2</v>
      </c>
      <c r="DA132" s="228">
        <v>31.11</v>
      </c>
      <c r="DB132" s="228">
        <v>30.61</v>
      </c>
      <c r="DC132" s="228">
        <v>0.5</v>
      </c>
      <c r="DD132" s="228">
        <v>0.5</v>
      </c>
      <c r="DE132" s="228">
        <v>45.42</v>
      </c>
      <c r="DF132" s="228">
        <v>45.5</v>
      </c>
      <c r="DG132" s="228">
        <v>-14.31</v>
      </c>
      <c r="DH132" s="228">
        <v>-0.08</v>
      </c>
      <c r="DI132" s="228">
        <v>29.86</v>
      </c>
      <c r="DJ132" s="228">
        <v>28.76</v>
      </c>
      <c r="DK132" s="228">
        <v>1.1000000000000001</v>
      </c>
      <c r="DL132" s="228">
        <v>1.1000000000000001</v>
      </c>
      <c r="DM132" s="228">
        <v>32.700000000000003</v>
      </c>
      <c r="DN132" s="228">
        <v>33.26</v>
      </c>
      <c r="DO132" s="228">
        <v>-0.56000000000000005</v>
      </c>
      <c r="DP132" s="228">
        <v>-0.56000000000000005</v>
      </c>
      <c r="DQ132" s="228">
        <v>0.82</v>
      </c>
      <c r="DR132" s="228">
        <v>0.86</v>
      </c>
      <c r="DS132" s="228">
        <v>-0.04</v>
      </c>
      <c r="DT132" s="229">
        <v>-4.65E-2</v>
      </c>
      <c r="DU132" s="228">
        <v>270</v>
      </c>
      <c r="DV132" s="228">
        <v>240</v>
      </c>
      <c r="DW132" s="228">
        <v>0.79</v>
      </c>
      <c r="DX132" s="228">
        <v>0.7</v>
      </c>
      <c r="DY132" s="228">
        <v>0.09</v>
      </c>
      <c r="DZ132" s="229">
        <v>0.12859999999999999</v>
      </c>
      <c r="EA132" s="229">
        <v>8.8999999999999996E-2</v>
      </c>
      <c r="EB132" s="230">
        <v>1788000</v>
      </c>
      <c r="EC132" s="229">
        <v>5.4000000000000003E-3</v>
      </c>
      <c r="ED132" s="229">
        <v>8.8999999999999996E-2</v>
      </c>
      <c r="EE132" s="228">
        <v>1.4</v>
      </c>
      <c r="EF132" s="229">
        <v>5.3E-3</v>
      </c>
      <c r="EG132" s="230">
        <v>945396</v>
      </c>
      <c r="EH132" s="230">
        <v>860527</v>
      </c>
      <c r="EI132" s="229">
        <v>9.8599999999999993E-2</v>
      </c>
      <c r="EJ132" s="229">
        <v>0.40550000000000003</v>
      </c>
      <c r="EK132" s="228">
        <v>410.73</v>
      </c>
      <c r="EL132" s="228">
        <v>303.89999999999998</v>
      </c>
      <c r="EM132" s="228">
        <v>171.24</v>
      </c>
      <c r="EN132" s="228">
        <v>0</v>
      </c>
      <c r="EO132" s="228">
        <v>885.88</v>
      </c>
      <c r="EP132" s="231">
        <v>1083.98</v>
      </c>
      <c r="EQ132" s="228">
        <v>-198.1</v>
      </c>
      <c r="ER132" s="229">
        <v>-0.18279999999999999</v>
      </c>
      <c r="ES132" s="228">
        <v>513.99</v>
      </c>
      <c r="ET132" s="228">
        <v>387.38</v>
      </c>
      <c r="EU132" s="228">
        <v>726.4</v>
      </c>
      <c r="EV132" s="231">
        <v>109606743</v>
      </c>
      <c r="EW132" s="231">
        <v>1627.77</v>
      </c>
      <c r="EX132" s="231">
        <v>1585.07</v>
      </c>
      <c r="EY132" s="228">
        <v>42.7</v>
      </c>
      <c r="EZ132" s="229">
        <v>2.69E-2</v>
      </c>
      <c r="FA132" s="229">
        <v>0.56100000000000005</v>
      </c>
      <c r="FB132" s="227" t="s">
        <v>567</v>
      </c>
      <c r="FC132">
        <f t="shared" si="2"/>
        <v>65</v>
      </c>
    </row>
    <row r="133" spans="1:159" ht="17.25" thickBot="1" x14ac:dyDescent="0.3">
      <c r="A133" s="226">
        <v>45889</v>
      </c>
      <c r="B133" s="227" t="s">
        <v>170</v>
      </c>
      <c r="C133" s="227" t="s">
        <v>674</v>
      </c>
      <c r="D133" s="228">
        <v>225</v>
      </c>
      <c r="E133" s="228">
        <v>8</v>
      </c>
      <c r="F133" s="231">
        <v>2512.9</v>
      </c>
      <c r="G133" s="231">
        <v>2499.4</v>
      </c>
      <c r="H133" s="228">
        <v>13.5</v>
      </c>
      <c r="I133" s="229">
        <v>5.4000000000000003E-3</v>
      </c>
      <c r="J133" s="231">
        <v>2506.6</v>
      </c>
      <c r="K133" s="231">
        <v>2492.1999999999998</v>
      </c>
      <c r="L133" s="228">
        <v>14.4</v>
      </c>
      <c r="M133" s="229">
        <v>5.7999999999999996E-3</v>
      </c>
      <c r="N133" s="231">
        <v>2512.9</v>
      </c>
      <c r="O133" s="231">
        <v>2499.4</v>
      </c>
      <c r="P133" s="228">
        <v>13.5</v>
      </c>
      <c r="Q133" s="229">
        <v>5.4000000000000003E-3</v>
      </c>
      <c r="R133" s="231">
        <v>2524.9</v>
      </c>
      <c r="S133" s="231">
        <v>2510.9</v>
      </c>
      <c r="T133" s="228">
        <v>14</v>
      </c>
      <c r="U133" s="229">
        <v>5.5999999999999999E-3</v>
      </c>
      <c r="V133" s="231">
        <v>2535</v>
      </c>
      <c r="W133" s="231">
        <v>2521.8000000000002</v>
      </c>
      <c r="X133" s="228">
        <v>13.2</v>
      </c>
      <c r="Y133" s="229">
        <v>5.1999999999999998E-3</v>
      </c>
      <c r="Z133" s="228">
        <v>6.3</v>
      </c>
      <c r="AA133" s="228">
        <v>7.2</v>
      </c>
      <c r="AB133" s="228">
        <v>-0.9</v>
      </c>
      <c r="AC133" s="229">
        <v>2.5000000000000001E-3</v>
      </c>
      <c r="AD133" s="228">
        <v>6.3</v>
      </c>
      <c r="AE133" s="228">
        <v>7.2</v>
      </c>
      <c r="AF133" s="228">
        <v>-0.9</v>
      </c>
      <c r="AG133" s="229">
        <v>2.5000000000000001E-3</v>
      </c>
      <c r="AH133" s="228">
        <v>18.3</v>
      </c>
      <c r="AI133" s="228">
        <v>18.7</v>
      </c>
      <c r="AJ133" s="228">
        <v>-0.4</v>
      </c>
      <c r="AK133" s="229">
        <v>7.3000000000000001E-3</v>
      </c>
      <c r="AL133" s="228">
        <v>28.4</v>
      </c>
      <c r="AM133" s="228">
        <v>29.6</v>
      </c>
      <c r="AN133" s="228">
        <v>-1.2</v>
      </c>
      <c r="AO133" s="229">
        <v>1.1299999999999999E-2</v>
      </c>
      <c r="AP133" s="231">
        <v>2509.62</v>
      </c>
      <c r="AQ133" s="231">
        <v>2521.48</v>
      </c>
      <c r="AR133" s="228">
        <v>0</v>
      </c>
      <c r="AS133" s="228">
        <v>49</v>
      </c>
      <c r="AT133" s="228">
        <v>85</v>
      </c>
      <c r="AU133" s="228">
        <v>-36</v>
      </c>
      <c r="AV133" s="229">
        <v>-0.4229</v>
      </c>
      <c r="AW133" s="228">
        <v>40</v>
      </c>
      <c r="AX133" s="228">
        <v>75</v>
      </c>
      <c r="AY133" s="228">
        <v>-35</v>
      </c>
      <c r="AZ133" s="229">
        <v>-0.46660000000000001</v>
      </c>
      <c r="BA133" s="228">
        <v>8</v>
      </c>
      <c r="BB133" s="228">
        <v>9</v>
      </c>
      <c r="BC133" s="228">
        <v>0</v>
      </c>
      <c r="BD133" s="229">
        <v>-4.6399999999999997E-2</v>
      </c>
      <c r="BE133" s="228">
        <v>1</v>
      </c>
      <c r="BF133" s="228">
        <v>1</v>
      </c>
      <c r="BG133" s="228">
        <v>0</v>
      </c>
      <c r="BH133" s="229">
        <v>-0.33329999999999999</v>
      </c>
      <c r="BI133" s="228">
        <v>187</v>
      </c>
      <c r="BJ133" s="228">
        <v>372</v>
      </c>
      <c r="BK133" s="228">
        <v>-185</v>
      </c>
      <c r="BL133" s="229">
        <v>-0.49840000000000001</v>
      </c>
      <c r="BM133" s="228">
        <v>35</v>
      </c>
      <c r="BN133" s="228">
        <v>68</v>
      </c>
      <c r="BO133" s="228">
        <v>-33</v>
      </c>
      <c r="BP133" s="229">
        <v>-0.48330000000000001</v>
      </c>
      <c r="BQ133" s="228">
        <v>270</v>
      </c>
      <c r="BR133" s="228">
        <v>524</v>
      </c>
      <c r="BS133" s="228">
        <v>-254</v>
      </c>
      <c r="BT133" s="229">
        <v>-0.48430000000000001</v>
      </c>
      <c r="BU133" s="230">
        <v>393233</v>
      </c>
      <c r="BV133" s="230">
        <v>517650</v>
      </c>
      <c r="BW133" s="230">
        <v>-124417</v>
      </c>
      <c r="BX133" s="229">
        <v>-0.24030000000000001</v>
      </c>
      <c r="BY133" s="228">
        <v>464</v>
      </c>
      <c r="BZ133" s="228">
        <v>456</v>
      </c>
      <c r="CA133" s="228">
        <v>8</v>
      </c>
      <c r="CB133" s="229">
        <v>1.67E-2</v>
      </c>
      <c r="CC133" s="228">
        <v>438</v>
      </c>
      <c r="CD133" s="228">
        <v>435</v>
      </c>
      <c r="CE133" s="228">
        <v>3</v>
      </c>
      <c r="CF133" s="229">
        <v>7.1000000000000004E-3</v>
      </c>
      <c r="CG133" s="228">
        <v>24</v>
      </c>
      <c r="CH133" s="228">
        <v>19</v>
      </c>
      <c r="CI133" s="228">
        <v>4</v>
      </c>
      <c r="CJ133" s="229">
        <v>0.22939999999999999</v>
      </c>
      <c r="CK133" s="228">
        <v>2</v>
      </c>
      <c r="CL133" s="228">
        <v>2</v>
      </c>
      <c r="CM133" s="228">
        <v>0</v>
      </c>
      <c r="CN133" s="229">
        <v>7.1400000000000005E-2</v>
      </c>
      <c r="CO133" s="228">
        <v>202</v>
      </c>
      <c r="CP133" s="228">
        <v>205</v>
      </c>
      <c r="CQ133" s="228">
        <v>-3</v>
      </c>
      <c r="CR133" s="229">
        <v>-1.35E-2</v>
      </c>
      <c r="CS133" s="228">
        <v>96</v>
      </c>
      <c r="CT133" s="228">
        <v>96</v>
      </c>
      <c r="CU133" s="228">
        <v>0</v>
      </c>
      <c r="CV133" s="229">
        <v>-1.1999999999999999E-3</v>
      </c>
      <c r="CW133" s="228">
        <v>762</v>
      </c>
      <c r="CX133" s="228">
        <v>757</v>
      </c>
      <c r="CY133" s="228">
        <v>5</v>
      </c>
      <c r="CZ133" s="229">
        <v>6.3E-3</v>
      </c>
      <c r="DA133" s="228">
        <v>33.11</v>
      </c>
      <c r="DB133" s="228">
        <v>32.85</v>
      </c>
      <c r="DC133" s="228">
        <v>0.26</v>
      </c>
      <c r="DD133" s="228">
        <v>0.26</v>
      </c>
      <c r="DE133" s="228">
        <v>36.44</v>
      </c>
      <c r="DF133" s="228">
        <v>36.520000000000003</v>
      </c>
      <c r="DG133" s="228">
        <v>-3.33</v>
      </c>
      <c r="DH133" s="228">
        <v>-0.08</v>
      </c>
      <c r="DI133" s="228">
        <v>33.43</v>
      </c>
      <c r="DJ133" s="228">
        <v>33.21</v>
      </c>
      <c r="DK133" s="228">
        <v>0.22</v>
      </c>
      <c r="DL133" s="228">
        <v>0.22</v>
      </c>
      <c r="DM133" s="228">
        <v>31.46</v>
      </c>
      <c r="DN133" s="228">
        <v>30.87</v>
      </c>
      <c r="DO133" s="228">
        <v>0.59</v>
      </c>
      <c r="DP133" s="228">
        <v>0.59</v>
      </c>
      <c r="DQ133" s="228">
        <v>0.48</v>
      </c>
      <c r="DR133" s="228">
        <v>0.47</v>
      </c>
      <c r="DS133" s="228">
        <v>0.01</v>
      </c>
      <c r="DT133" s="229">
        <v>2.1299999999999999E-2</v>
      </c>
      <c r="DU133" s="231">
        <v>2600</v>
      </c>
      <c r="DV133" s="231">
        <v>2500</v>
      </c>
      <c r="DW133" s="228">
        <v>0.19</v>
      </c>
      <c r="DX133" s="228">
        <v>0.18</v>
      </c>
      <c r="DY133" s="228">
        <v>0.01</v>
      </c>
      <c r="DZ133" s="229">
        <v>5.5599999999999997E-2</v>
      </c>
      <c r="EA133" s="229">
        <v>5.4600000000000003E-2</v>
      </c>
      <c r="EB133" s="230">
        <v>82800</v>
      </c>
      <c r="EC133" s="229">
        <v>4.7999999999999996E-3</v>
      </c>
      <c r="ED133" s="229">
        <v>5.4600000000000003E-2</v>
      </c>
      <c r="EE133" s="228">
        <v>11.86</v>
      </c>
      <c r="EF133" s="229">
        <v>4.7000000000000002E-3</v>
      </c>
      <c r="EG133" s="230">
        <v>286412</v>
      </c>
      <c r="EH133" s="230">
        <v>349325</v>
      </c>
      <c r="EI133" s="229">
        <v>-0.18010000000000001</v>
      </c>
      <c r="EJ133" s="229">
        <v>0.72840000000000005</v>
      </c>
      <c r="EK133" s="228">
        <v>195.97</v>
      </c>
      <c r="EL133" s="228">
        <v>34.08</v>
      </c>
      <c r="EM133" s="228">
        <v>48.89</v>
      </c>
      <c r="EN133" s="228">
        <v>0</v>
      </c>
      <c r="EO133" s="228">
        <v>278.93</v>
      </c>
      <c r="EP133" s="228">
        <v>538.32000000000005</v>
      </c>
      <c r="EQ133" s="228">
        <v>-259.39</v>
      </c>
      <c r="ER133" s="229">
        <v>-0.4819</v>
      </c>
      <c r="ES133" s="228">
        <v>213.45</v>
      </c>
      <c r="ET133" s="228">
        <v>91.74</v>
      </c>
      <c r="EU133" s="228">
        <v>463.7</v>
      </c>
      <c r="EV133" s="231">
        <v>22553627</v>
      </c>
      <c r="EW133" s="228">
        <v>768.89</v>
      </c>
      <c r="EX133" s="228">
        <v>761.54</v>
      </c>
      <c r="EY133" s="228">
        <v>7.35</v>
      </c>
      <c r="EZ133" s="229">
        <v>9.7000000000000003E-3</v>
      </c>
      <c r="FA133" s="229">
        <v>0.13439999999999999</v>
      </c>
      <c r="FB133" s="227" t="s">
        <v>555</v>
      </c>
      <c r="FC133">
        <f t="shared" si="2"/>
        <v>26</v>
      </c>
    </row>
    <row r="134" spans="1:159" ht="17.25" thickBot="1" x14ac:dyDescent="0.3">
      <c r="A134" s="226">
        <v>45889</v>
      </c>
      <c r="B134" s="227" t="s">
        <v>168</v>
      </c>
      <c r="C134" s="227" t="s">
        <v>254</v>
      </c>
      <c r="D134" s="228">
        <v>1200</v>
      </c>
      <c r="E134" s="228">
        <v>8</v>
      </c>
      <c r="F134" s="228">
        <v>752.4</v>
      </c>
      <c r="G134" s="228">
        <v>727.25</v>
      </c>
      <c r="H134" s="228">
        <v>25.15</v>
      </c>
      <c r="I134" s="229">
        <v>3.4599999999999999E-2</v>
      </c>
      <c r="J134" s="228">
        <v>751.85</v>
      </c>
      <c r="K134" s="228">
        <v>727.95</v>
      </c>
      <c r="L134" s="228">
        <v>23.9</v>
      </c>
      <c r="M134" s="229">
        <v>3.2800000000000003E-2</v>
      </c>
      <c r="N134" s="228">
        <v>752.4</v>
      </c>
      <c r="O134" s="228">
        <v>727.25</v>
      </c>
      <c r="P134" s="228">
        <v>25.15</v>
      </c>
      <c r="Q134" s="229">
        <v>3.4599999999999999E-2</v>
      </c>
      <c r="R134" s="228">
        <v>757</v>
      </c>
      <c r="S134" s="228">
        <v>732.6</v>
      </c>
      <c r="T134" s="228">
        <v>24.4</v>
      </c>
      <c r="U134" s="229">
        <v>3.3300000000000003E-2</v>
      </c>
      <c r="V134" s="228">
        <v>759.95</v>
      </c>
      <c r="W134" s="228">
        <v>733.15</v>
      </c>
      <c r="X134" s="228">
        <v>26.8</v>
      </c>
      <c r="Y134" s="229">
        <v>3.6600000000000001E-2</v>
      </c>
      <c r="Z134" s="228">
        <v>0.55000000000000004</v>
      </c>
      <c r="AA134" s="228">
        <v>-0.7</v>
      </c>
      <c r="AB134" s="228">
        <v>1.25</v>
      </c>
      <c r="AC134" s="229">
        <v>6.9999999999999999E-4</v>
      </c>
      <c r="AD134" s="228">
        <v>0.55000000000000004</v>
      </c>
      <c r="AE134" s="228">
        <v>-0.7</v>
      </c>
      <c r="AF134" s="228">
        <v>1.25</v>
      </c>
      <c r="AG134" s="229">
        <v>6.9999999999999999E-4</v>
      </c>
      <c r="AH134" s="228">
        <v>5.15</v>
      </c>
      <c r="AI134" s="228">
        <v>4.6500000000000004</v>
      </c>
      <c r="AJ134" s="228">
        <v>0.5</v>
      </c>
      <c r="AK134" s="229">
        <v>6.7999999999999996E-3</v>
      </c>
      <c r="AL134" s="228">
        <v>8.1</v>
      </c>
      <c r="AM134" s="228">
        <v>5.2</v>
      </c>
      <c r="AN134" s="228">
        <v>2.9</v>
      </c>
      <c r="AO134" s="229">
        <v>1.0800000000000001E-2</v>
      </c>
      <c r="AP134" s="228">
        <v>742.67</v>
      </c>
      <c r="AQ134" s="228">
        <v>750.01</v>
      </c>
      <c r="AR134" s="228">
        <v>0</v>
      </c>
      <c r="AS134" s="228">
        <v>434</v>
      </c>
      <c r="AT134" s="228">
        <v>224</v>
      </c>
      <c r="AU134" s="228">
        <v>210</v>
      </c>
      <c r="AV134" s="229">
        <v>0.94030000000000002</v>
      </c>
      <c r="AW134" s="228">
        <v>350</v>
      </c>
      <c r="AX134" s="228">
        <v>205</v>
      </c>
      <c r="AY134" s="228">
        <v>145</v>
      </c>
      <c r="AZ134" s="229">
        <v>0.70709999999999995</v>
      </c>
      <c r="BA134" s="228">
        <v>80</v>
      </c>
      <c r="BB134" s="228">
        <v>17</v>
      </c>
      <c r="BC134" s="228">
        <v>64</v>
      </c>
      <c r="BD134" s="229">
        <v>3.8370000000000002</v>
      </c>
      <c r="BE134" s="228">
        <v>3</v>
      </c>
      <c r="BF134" s="228">
        <v>2</v>
      </c>
      <c r="BG134" s="228">
        <v>1</v>
      </c>
      <c r="BH134" s="229">
        <v>0.78949999999999998</v>
      </c>
      <c r="BI134" s="230">
        <v>3600</v>
      </c>
      <c r="BJ134" s="228">
        <v>669</v>
      </c>
      <c r="BK134" s="230">
        <v>2931</v>
      </c>
      <c r="BL134" s="229">
        <v>4.3825000000000003</v>
      </c>
      <c r="BM134" s="228">
        <v>934</v>
      </c>
      <c r="BN134" s="228">
        <v>197</v>
      </c>
      <c r="BO134" s="228">
        <v>737</v>
      </c>
      <c r="BP134" s="229">
        <v>3.7302</v>
      </c>
      <c r="BQ134" s="230">
        <v>4968</v>
      </c>
      <c r="BR134" s="230">
        <v>1090</v>
      </c>
      <c r="BS134" s="230">
        <v>3878</v>
      </c>
      <c r="BT134" s="229">
        <v>3.5579000000000001</v>
      </c>
      <c r="BU134" s="230">
        <v>2606638</v>
      </c>
      <c r="BV134" s="230">
        <v>983091</v>
      </c>
      <c r="BW134" s="230">
        <v>1623547</v>
      </c>
      <c r="BX134" s="229">
        <v>1.6515</v>
      </c>
      <c r="BY134" s="230">
        <v>1888</v>
      </c>
      <c r="BZ134" s="230">
        <v>1837</v>
      </c>
      <c r="CA134" s="228">
        <v>52</v>
      </c>
      <c r="CB134" s="229">
        <v>2.8199999999999999E-2</v>
      </c>
      <c r="CC134" s="230">
        <v>1812</v>
      </c>
      <c r="CD134" s="230">
        <v>1806</v>
      </c>
      <c r="CE134" s="228">
        <v>6</v>
      </c>
      <c r="CF134" s="229">
        <v>3.3999999999999998E-3</v>
      </c>
      <c r="CG134" s="228">
        <v>73</v>
      </c>
      <c r="CH134" s="228">
        <v>29</v>
      </c>
      <c r="CI134" s="228">
        <v>44</v>
      </c>
      <c r="CJ134" s="229">
        <v>1.5</v>
      </c>
      <c r="CK134" s="228">
        <v>3</v>
      </c>
      <c r="CL134" s="228">
        <v>1</v>
      </c>
      <c r="CM134" s="228">
        <v>2</v>
      </c>
      <c r="CN134" s="229">
        <v>1.3846000000000001</v>
      </c>
      <c r="CO134" s="228">
        <v>494</v>
      </c>
      <c r="CP134" s="228">
        <v>538</v>
      </c>
      <c r="CQ134" s="228">
        <v>-44</v>
      </c>
      <c r="CR134" s="229">
        <v>-8.09E-2</v>
      </c>
      <c r="CS134" s="228">
        <v>347</v>
      </c>
      <c r="CT134" s="228">
        <v>219</v>
      </c>
      <c r="CU134" s="228">
        <v>128</v>
      </c>
      <c r="CV134" s="229">
        <v>0.58360000000000001</v>
      </c>
      <c r="CW134" s="230">
        <v>2730</v>
      </c>
      <c r="CX134" s="230">
        <v>2594</v>
      </c>
      <c r="CY134" s="228">
        <v>136</v>
      </c>
      <c r="CZ134" s="229">
        <v>5.2499999999999998E-2</v>
      </c>
      <c r="DA134" s="228">
        <v>24.56</v>
      </c>
      <c r="DB134" s="228">
        <v>22.32</v>
      </c>
      <c r="DC134" s="228">
        <v>2.2400000000000002</v>
      </c>
      <c r="DD134" s="228">
        <v>2.2400000000000002</v>
      </c>
      <c r="DE134" s="228">
        <v>27.33</v>
      </c>
      <c r="DF134" s="228">
        <v>27.04</v>
      </c>
      <c r="DG134" s="228">
        <v>-2.77</v>
      </c>
      <c r="DH134" s="228">
        <v>0.28999999999999998</v>
      </c>
      <c r="DI134" s="228">
        <v>24.2</v>
      </c>
      <c r="DJ134" s="228">
        <v>22.25</v>
      </c>
      <c r="DK134" s="228">
        <v>1.95</v>
      </c>
      <c r="DL134" s="228">
        <v>1.95</v>
      </c>
      <c r="DM134" s="228">
        <v>25.93</v>
      </c>
      <c r="DN134" s="228">
        <v>22.56</v>
      </c>
      <c r="DO134" s="228">
        <v>3.37</v>
      </c>
      <c r="DP134" s="228">
        <v>3.37</v>
      </c>
      <c r="DQ134" s="228">
        <v>0.7</v>
      </c>
      <c r="DR134" s="228">
        <v>0.41</v>
      </c>
      <c r="DS134" s="228">
        <v>0.28999999999999998</v>
      </c>
      <c r="DT134" s="229">
        <v>0.70730000000000004</v>
      </c>
      <c r="DU134" s="228">
        <v>750</v>
      </c>
      <c r="DV134" s="228">
        <v>730</v>
      </c>
      <c r="DW134" s="228">
        <v>0.26</v>
      </c>
      <c r="DX134" s="228">
        <v>0.3</v>
      </c>
      <c r="DY134" s="228">
        <v>-0.04</v>
      </c>
      <c r="DZ134" s="229">
        <v>-0.1333</v>
      </c>
      <c r="EA134" s="229">
        <v>4.02E-2</v>
      </c>
      <c r="EB134" s="230">
        <v>404400</v>
      </c>
      <c r="EC134" s="229">
        <v>6.1000000000000004E-3</v>
      </c>
      <c r="ED134" s="229">
        <v>4.02E-2</v>
      </c>
      <c r="EE134" s="228">
        <v>7.34</v>
      </c>
      <c r="EF134" s="229">
        <v>9.9000000000000008E-3</v>
      </c>
      <c r="EG134" s="230">
        <v>1155469</v>
      </c>
      <c r="EH134" s="230">
        <v>652262</v>
      </c>
      <c r="EI134" s="229">
        <v>0.77149999999999996</v>
      </c>
      <c r="EJ134" s="229">
        <v>0.44330000000000003</v>
      </c>
      <c r="EK134" s="231">
        <v>3650.99</v>
      </c>
      <c r="EL134" s="228">
        <v>904.24</v>
      </c>
      <c r="EM134" s="228">
        <v>429.14</v>
      </c>
      <c r="EN134" s="228">
        <v>0</v>
      </c>
      <c r="EO134" s="231">
        <v>4984.37</v>
      </c>
      <c r="EP134" s="231">
        <v>1064.05</v>
      </c>
      <c r="EQ134" s="231">
        <v>3920.32</v>
      </c>
      <c r="ER134" s="229">
        <v>3.6844000000000001</v>
      </c>
      <c r="ES134" s="228">
        <v>502.28</v>
      </c>
      <c r="ET134" s="228">
        <v>326</v>
      </c>
      <c r="EU134" s="231">
        <v>1888.85</v>
      </c>
      <c r="EV134" s="231">
        <v>105878039</v>
      </c>
      <c r="EW134" s="231">
        <v>2717.13</v>
      </c>
      <c r="EX134" s="231">
        <v>2518.89</v>
      </c>
      <c r="EY134" s="228">
        <v>198.24</v>
      </c>
      <c r="EZ134" s="229">
        <v>7.8700000000000006E-2</v>
      </c>
      <c r="FA134" s="229">
        <v>0.3427</v>
      </c>
      <c r="FB134" s="227" t="s">
        <v>555</v>
      </c>
      <c r="FC134">
        <f t="shared" si="2"/>
        <v>76</v>
      </c>
    </row>
    <row r="135" spans="1:159" ht="17.25" thickBot="1" x14ac:dyDescent="0.3">
      <c r="A135" s="226">
        <v>45889</v>
      </c>
      <c r="B135" s="227" t="s">
        <v>162</v>
      </c>
      <c r="C135" s="227" t="s">
        <v>255</v>
      </c>
      <c r="D135" s="228">
        <v>50</v>
      </c>
      <c r="E135" s="228">
        <v>8</v>
      </c>
      <c r="F135" s="231">
        <v>14221</v>
      </c>
      <c r="G135" s="231">
        <v>14236</v>
      </c>
      <c r="H135" s="228">
        <v>-15</v>
      </c>
      <c r="I135" s="229">
        <v>-1.1000000000000001E-3</v>
      </c>
      <c r="J135" s="231">
        <v>14221</v>
      </c>
      <c r="K135" s="231">
        <v>14250</v>
      </c>
      <c r="L135" s="228">
        <v>-29</v>
      </c>
      <c r="M135" s="229">
        <v>-2E-3</v>
      </c>
      <c r="N135" s="231">
        <v>14221</v>
      </c>
      <c r="O135" s="231">
        <v>14236</v>
      </c>
      <c r="P135" s="228">
        <v>-15</v>
      </c>
      <c r="Q135" s="229">
        <v>-1.1000000000000001E-3</v>
      </c>
      <c r="R135" s="231">
        <v>14300</v>
      </c>
      <c r="S135" s="231">
        <v>14314</v>
      </c>
      <c r="T135" s="228">
        <v>-14</v>
      </c>
      <c r="U135" s="229">
        <v>-1E-3</v>
      </c>
      <c r="V135" s="231">
        <v>14349</v>
      </c>
      <c r="W135" s="231">
        <v>14357</v>
      </c>
      <c r="X135" s="228">
        <v>-8</v>
      </c>
      <c r="Y135" s="229">
        <v>-5.9999999999999995E-4</v>
      </c>
      <c r="Z135" s="228">
        <v>0</v>
      </c>
      <c r="AA135" s="228">
        <v>-14</v>
      </c>
      <c r="AB135" s="228">
        <v>14</v>
      </c>
      <c r="AC135" s="229">
        <v>0</v>
      </c>
      <c r="AD135" s="228">
        <v>0</v>
      </c>
      <c r="AE135" s="228">
        <v>-14</v>
      </c>
      <c r="AF135" s="228">
        <v>14</v>
      </c>
      <c r="AG135" s="229">
        <v>0</v>
      </c>
      <c r="AH135" s="228">
        <v>79</v>
      </c>
      <c r="AI135" s="228">
        <v>64</v>
      </c>
      <c r="AJ135" s="228">
        <v>15</v>
      </c>
      <c r="AK135" s="229">
        <v>5.5999999999999999E-3</v>
      </c>
      <c r="AL135" s="228">
        <v>128</v>
      </c>
      <c r="AM135" s="228">
        <v>107</v>
      </c>
      <c r="AN135" s="228">
        <v>21</v>
      </c>
      <c r="AO135" s="229">
        <v>8.9999999999999993E-3</v>
      </c>
      <c r="AP135" s="231">
        <v>14237.15</v>
      </c>
      <c r="AQ135" s="231">
        <v>14315.29</v>
      </c>
      <c r="AR135" s="228">
        <v>0</v>
      </c>
      <c r="AS135" s="228">
        <v>844</v>
      </c>
      <c r="AT135" s="230">
        <v>1809</v>
      </c>
      <c r="AU135" s="228">
        <v>-965</v>
      </c>
      <c r="AV135" s="229">
        <v>-0.5333</v>
      </c>
      <c r="AW135" s="228">
        <v>727</v>
      </c>
      <c r="AX135" s="230">
        <v>1554</v>
      </c>
      <c r="AY135" s="228">
        <v>-827</v>
      </c>
      <c r="AZ135" s="229">
        <v>-0.53200000000000003</v>
      </c>
      <c r="BA135" s="228">
        <v>107</v>
      </c>
      <c r="BB135" s="228">
        <v>236</v>
      </c>
      <c r="BC135" s="228">
        <v>-130</v>
      </c>
      <c r="BD135" s="229">
        <v>-0.5484</v>
      </c>
      <c r="BE135" s="228">
        <v>10</v>
      </c>
      <c r="BF135" s="228">
        <v>18</v>
      </c>
      <c r="BG135" s="228">
        <v>-8</v>
      </c>
      <c r="BH135" s="229">
        <v>-0.4556</v>
      </c>
      <c r="BI135" s="230">
        <v>8992</v>
      </c>
      <c r="BJ135" s="230">
        <v>23708</v>
      </c>
      <c r="BK135" s="230">
        <v>-14715</v>
      </c>
      <c r="BL135" s="229">
        <v>-0.62070000000000003</v>
      </c>
      <c r="BM135" s="230">
        <v>8448</v>
      </c>
      <c r="BN135" s="230">
        <v>17909</v>
      </c>
      <c r="BO135" s="230">
        <v>-9462</v>
      </c>
      <c r="BP135" s="229">
        <v>-0.52829999999999999</v>
      </c>
      <c r="BQ135" s="230">
        <v>18284</v>
      </c>
      <c r="BR135" s="230">
        <v>43425</v>
      </c>
      <c r="BS135" s="230">
        <v>-25141</v>
      </c>
      <c r="BT135" s="229">
        <v>-0.57899999999999996</v>
      </c>
      <c r="BU135" s="230">
        <v>407581</v>
      </c>
      <c r="BV135" s="230">
        <v>934380</v>
      </c>
      <c r="BW135" s="230">
        <v>-526799</v>
      </c>
      <c r="BX135" s="229">
        <v>-0.56379999999999997</v>
      </c>
      <c r="BY135" s="230">
        <v>5648</v>
      </c>
      <c r="BZ135" s="230">
        <v>5668</v>
      </c>
      <c r="CA135" s="228">
        <v>-20</v>
      </c>
      <c r="CB135" s="229">
        <v>-3.5000000000000001E-3</v>
      </c>
      <c r="CC135" s="230">
        <v>5166</v>
      </c>
      <c r="CD135" s="230">
        <v>5239</v>
      </c>
      <c r="CE135" s="228">
        <v>-73</v>
      </c>
      <c r="CF135" s="229">
        <v>-1.4E-2</v>
      </c>
      <c r="CG135" s="228">
        <v>447</v>
      </c>
      <c r="CH135" s="228">
        <v>396</v>
      </c>
      <c r="CI135" s="228">
        <v>51</v>
      </c>
      <c r="CJ135" s="229">
        <v>0.12859999999999999</v>
      </c>
      <c r="CK135" s="228">
        <v>35</v>
      </c>
      <c r="CL135" s="228">
        <v>33</v>
      </c>
      <c r="CM135" s="228">
        <v>2</v>
      </c>
      <c r="CN135" s="229">
        <v>7.3899999999999993E-2</v>
      </c>
      <c r="CO135" s="230">
        <v>6167</v>
      </c>
      <c r="CP135" s="230">
        <v>6093</v>
      </c>
      <c r="CQ135" s="228">
        <v>75</v>
      </c>
      <c r="CR135" s="229">
        <v>1.2200000000000001E-2</v>
      </c>
      <c r="CS135" s="230">
        <v>6834</v>
      </c>
      <c r="CT135" s="230">
        <v>6915</v>
      </c>
      <c r="CU135" s="228">
        <v>-81</v>
      </c>
      <c r="CV135" s="229">
        <v>-1.18E-2</v>
      </c>
      <c r="CW135" s="230">
        <v>18649</v>
      </c>
      <c r="CX135" s="230">
        <v>18676</v>
      </c>
      <c r="CY135" s="228">
        <v>-27</v>
      </c>
      <c r="CZ135" s="229">
        <v>-1.4E-3</v>
      </c>
      <c r="DA135" s="228">
        <v>21.01</v>
      </c>
      <c r="DB135" s="228">
        <v>21.88</v>
      </c>
      <c r="DC135" s="228">
        <v>-0.87</v>
      </c>
      <c r="DD135" s="228">
        <v>-0.87</v>
      </c>
      <c r="DE135" s="228">
        <v>26.79</v>
      </c>
      <c r="DF135" s="228">
        <v>26.86</v>
      </c>
      <c r="DG135" s="228">
        <v>-5.78</v>
      </c>
      <c r="DH135" s="228">
        <v>-7.0000000000000007E-2</v>
      </c>
      <c r="DI135" s="228">
        <v>19.489999999999998</v>
      </c>
      <c r="DJ135" s="228">
        <v>19.72</v>
      </c>
      <c r="DK135" s="228">
        <v>-0.23</v>
      </c>
      <c r="DL135" s="228">
        <v>-0.23</v>
      </c>
      <c r="DM135" s="228">
        <v>22.63</v>
      </c>
      <c r="DN135" s="228">
        <v>24.73</v>
      </c>
      <c r="DO135" s="228">
        <v>-2.1</v>
      </c>
      <c r="DP135" s="228">
        <v>-2.1</v>
      </c>
      <c r="DQ135" s="228">
        <v>1.1100000000000001</v>
      </c>
      <c r="DR135" s="228">
        <v>1.1399999999999999</v>
      </c>
      <c r="DS135" s="228">
        <v>-0.03</v>
      </c>
      <c r="DT135" s="229">
        <v>-2.63E-2</v>
      </c>
      <c r="DU135" s="231">
        <v>14200</v>
      </c>
      <c r="DV135" s="231">
        <v>14000</v>
      </c>
      <c r="DW135" s="228">
        <v>0.94</v>
      </c>
      <c r="DX135" s="228">
        <v>0.76</v>
      </c>
      <c r="DY135" s="228">
        <v>0.18</v>
      </c>
      <c r="DZ135" s="229">
        <v>0.23680000000000001</v>
      </c>
      <c r="EA135" s="229">
        <v>8.5400000000000004E-2</v>
      </c>
      <c r="EB135" s="230">
        <v>301700</v>
      </c>
      <c r="EC135" s="229">
        <v>5.5999999999999999E-3</v>
      </c>
      <c r="ED135" s="229">
        <v>8.5400000000000004E-2</v>
      </c>
      <c r="EE135" s="228">
        <v>78.14</v>
      </c>
      <c r="EF135" s="229">
        <v>5.4999999999999997E-3</v>
      </c>
      <c r="EG135" s="230">
        <v>243289</v>
      </c>
      <c r="EH135" s="230">
        <v>527974</v>
      </c>
      <c r="EI135" s="229">
        <v>-0.53920000000000001</v>
      </c>
      <c r="EJ135" s="229">
        <v>0.59689999999999999</v>
      </c>
      <c r="EK135" s="231">
        <v>9271.41</v>
      </c>
      <c r="EL135" s="231">
        <v>8229.8700000000008</v>
      </c>
      <c r="EM135" s="228">
        <v>845.65</v>
      </c>
      <c r="EN135" s="228">
        <v>0</v>
      </c>
      <c r="EO135" s="231">
        <v>18346.93</v>
      </c>
      <c r="EP135" s="231">
        <v>43407.42</v>
      </c>
      <c r="EQ135" s="231">
        <v>-25060.48</v>
      </c>
      <c r="ER135" s="229">
        <v>-0.57730000000000004</v>
      </c>
      <c r="ES135" s="231">
        <v>6035.54</v>
      </c>
      <c r="ET135" s="231">
        <v>6390.34</v>
      </c>
      <c r="EU135" s="231">
        <v>5650.96</v>
      </c>
      <c r="EV135" s="231">
        <v>26231219</v>
      </c>
      <c r="EW135" s="231">
        <v>18076.830000000002</v>
      </c>
      <c r="EX135" s="231">
        <v>18096.39</v>
      </c>
      <c r="EY135" s="228">
        <v>-19.559999999999999</v>
      </c>
      <c r="EZ135" s="229">
        <v>-1.1000000000000001E-3</v>
      </c>
      <c r="FA135" s="229">
        <v>0.49990000000000001</v>
      </c>
      <c r="FB135" s="227" t="s">
        <v>568</v>
      </c>
      <c r="FC135">
        <f t="shared" si="2"/>
        <v>482</v>
      </c>
    </row>
    <row r="136" spans="1:159" ht="17.25" thickBot="1" x14ac:dyDescent="0.3">
      <c r="A136" s="226">
        <v>45889</v>
      </c>
      <c r="B136" s="227" t="s">
        <v>170</v>
      </c>
      <c r="C136" s="227" t="s">
        <v>604</v>
      </c>
      <c r="D136" s="228">
        <v>525</v>
      </c>
      <c r="E136" s="228">
        <v>8</v>
      </c>
      <c r="F136" s="231">
        <v>1229.7</v>
      </c>
      <c r="G136" s="231">
        <v>1234.5999999999999</v>
      </c>
      <c r="H136" s="228">
        <v>-4.9000000000000004</v>
      </c>
      <c r="I136" s="229">
        <v>-4.0000000000000001E-3</v>
      </c>
      <c r="J136" s="231">
        <v>1225.5999999999999</v>
      </c>
      <c r="K136" s="231">
        <v>1229.4000000000001</v>
      </c>
      <c r="L136" s="228">
        <v>-3.8</v>
      </c>
      <c r="M136" s="229">
        <v>-3.0999999999999999E-3</v>
      </c>
      <c r="N136" s="231">
        <v>1229.7</v>
      </c>
      <c r="O136" s="231">
        <v>1234.5999999999999</v>
      </c>
      <c r="P136" s="228">
        <v>-4.9000000000000004</v>
      </c>
      <c r="Q136" s="229">
        <v>-4.0000000000000001E-3</v>
      </c>
      <c r="R136" s="231">
        <v>1235.4000000000001</v>
      </c>
      <c r="S136" s="231">
        <v>1240.5</v>
      </c>
      <c r="T136" s="228">
        <v>-5.0999999999999996</v>
      </c>
      <c r="U136" s="229">
        <v>-4.1000000000000003E-3</v>
      </c>
      <c r="V136" s="231">
        <v>1240</v>
      </c>
      <c r="W136" s="231">
        <v>1245.8</v>
      </c>
      <c r="X136" s="228">
        <v>-5.8</v>
      </c>
      <c r="Y136" s="229">
        <v>-4.7000000000000002E-3</v>
      </c>
      <c r="Z136" s="228">
        <v>4.0999999999999996</v>
      </c>
      <c r="AA136" s="228">
        <v>5.2</v>
      </c>
      <c r="AB136" s="228">
        <v>-1.1000000000000001</v>
      </c>
      <c r="AC136" s="229">
        <v>3.3E-3</v>
      </c>
      <c r="AD136" s="228">
        <v>4.0999999999999996</v>
      </c>
      <c r="AE136" s="228">
        <v>5.2</v>
      </c>
      <c r="AF136" s="228">
        <v>-1.1000000000000001</v>
      </c>
      <c r="AG136" s="229">
        <v>3.3E-3</v>
      </c>
      <c r="AH136" s="228">
        <v>9.8000000000000007</v>
      </c>
      <c r="AI136" s="228">
        <v>11.1</v>
      </c>
      <c r="AJ136" s="228">
        <v>-1.3</v>
      </c>
      <c r="AK136" s="229">
        <v>8.0000000000000002E-3</v>
      </c>
      <c r="AL136" s="228">
        <v>14.4</v>
      </c>
      <c r="AM136" s="228">
        <v>16.399999999999999</v>
      </c>
      <c r="AN136" s="228">
        <v>-2</v>
      </c>
      <c r="AO136" s="229">
        <v>1.17E-2</v>
      </c>
      <c r="AP136" s="231">
        <v>1227.6099999999999</v>
      </c>
      <c r="AQ136" s="231">
        <v>1232.75</v>
      </c>
      <c r="AR136" s="228">
        <v>0</v>
      </c>
      <c r="AS136" s="228">
        <v>249</v>
      </c>
      <c r="AT136" s="228">
        <v>248</v>
      </c>
      <c r="AU136" s="228">
        <v>1</v>
      </c>
      <c r="AV136" s="229">
        <v>5.0000000000000001E-3</v>
      </c>
      <c r="AW136" s="228">
        <v>166</v>
      </c>
      <c r="AX136" s="228">
        <v>201</v>
      </c>
      <c r="AY136" s="228">
        <v>-34</v>
      </c>
      <c r="AZ136" s="229">
        <v>-0.17069999999999999</v>
      </c>
      <c r="BA136" s="228">
        <v>81</v>
      </c>
      <c r="BB136" s="228">
        <v>46</v>
      </c>
      <c r="BC136" s="228">
        <v>35</v>
      </c>
      <c r="BD136" s="229">
        <v>0.76219999999999999</v>
      </c>
      <c r="BE136" s="228">
        <v>1</v>
      </c>
      <c r="BF136" s="228">
        <v>1</v>
      </c>
      <c r="BG136" s="228">
        <v>0</v>
      </c>
      <c r="BH136" s="229">
        <v>0.5</v>
      </c>
      <c r="BI136" s="228">
        <v>449</v>
      </c>
      <c r="BJ136" s="228">
        <v>583</v>
      </c>
      <c r="BK136" s="228">
        <v>-135</v>
      </c>
      <c r="BL136" s="229">
        <v>-0.23069999999999999</v>
      </c>
      <c r="BM136" s="228">
        <v>181</v>
      </c>
      <c r="BN136" s="228">
        <v>182</v>
      </c>
      <c r="BO136" s="228">
        <v>-1</v>
      </c>
      <c r="BP136" s="229">
        <v>-2.8E-3</v>
      </c>
      <c r="BQ136" s="228">
        <v>879</v>
      </c>
      <c r="BR136" s="230">
        <v>1013</v>
      </c>
      <c r="BS136" s="228">
        <v>-134</v>
      </c>
      <c r="BT136" s="229">
        <v>-0.13220000000000001</v>
      </c>
      <c r="BU136" s="230">
        <v>1822815</v>
      </c>
      <c r="BV136" s="230">
        <v>2098714</v>
      </c>
      <c r="BW136" s="230">
        <v>-275899</v>
      </c>
      <c r="BX136" s="229">
        <v>-0.13150000000000001</v>
      </c>
      <c r="BY136" s="230">
        <v>1637</v>
      </c>
      <c r="BZ136" s="230">
        <v>1603</v>
      </c>
      <c r="CA136" s="228">
        <v>34</v>
      </c>
      <c r="CB136" s="229">
        <v>2.1399999999999999E-2</v>
      </c>
      <c r="CC136" s="230">
        <v>1492</v>
      </c>
      <c r="CD136" s="230">
        <v>1506</v>
      </c>
      <c r="CE136" s="228">
        <v>-14</v>
      </c>
      <c r="CF136" s="229">
        <v>-9.2999999999999992E-3</v>
      </c>
      <c r="CG136" s="228">
        <v>144</v>
      </c>
      <c r="CH136" s="228">
        <v>96</v>
      </c>
      <c r="CI136" s="228">
        <v>48</v>
      </c>
      <c r="CJ136" s="229">
        <v>0.5</v>
      </c>
      <c r="CK136" s="228">
        <v>2</v>
      </c>
      <c r="CL136" s="228">
        <v>2</v>
      </c>
      <c r="CM136" s="228">
        <v>0</v>
      </c>
      <c r="CN136" s="229">
        <v>0.15379999999999999</v>
      </c>
      <c r="CO136" s="228">
        <v>556</v>
      </c>
      <c r="CP136" s="228">
        <v>540</v>
      </c>
      <c r="CQ136" s="228">
        <v>16</v>
      </c>
      <c r="CR136" s="229">
        <v>2.9600000000000001E-2</v>
      </c>
      <c r="CS136" s="228">
        <v>203</v>
      </c>
      <c r="CT136" s="228">
        <v>193</v>
      </c>
      <c r="CU136" s="228">
        <v>9</v>
      </c>
      <c r="CV136" s="229">
        <v>4.87E-2</v>
      </c>
      <c r="CW136" s="230">
        <v>2397</v>
      </c>
      <c r="CX136" s="230">
        <v>2337</v>
      </c>
      <c r="CY136" s="228">
        <v>60</v>
      </c>
      <c r="CZ136" s="229">
        <v>2.5600000000000001E-2</v>
      </c>
      <c r="DA136" s="228">
        <v>28.81</v>
      </c>
      <c r="DB136" s="228">
        <v>29.29</v>
      </c>
      <c r="DC136" s="228">
        <v>-0.48</v>
      </c>
      <c r="DD136" s="228">
        <v>-0.48</v>
      </c>
      <c r="DE136" s="228">
        <v>42.54</v>
      </c>
      <c r="DF136" s="228">
        <v>42.64</v>
      </c>
      <c r="DG136" s="228">
        <v>-13.73</v>
      </c>
      <c r="DH136" s="228">
        <v>-0.1</v>
      </c>
      <c r="DI136" s="228">
        <v>29.39</v>
      </c>
      <c r="DJ136" s="228">
        <v>29.66</v>
      </c>
      <c r="DK136" s="228">
        <v>-0.27</v>
      </c>
      <c r="DL136" s="228">
        <v>-0.27</v>
      </c>
      <c r="DM136" s="228">
        <v>27.37</v>
      </c>
      <c r="DN136" s="228">
        <v>28.11</v>
      </c>
      <c r="DO136" s="228">
        <v>-0.74</v>
      </c>
      <c r="DP136" s="228">
        <v>-0.74</v>
      </c>
      <c r="DQ136" s="228">
        <v>0.36</v>
      </c>
      <c r="DR136" s="228">
        <v>0.36</v>
      </c>
      <c r="DS136" s="228">
        <v>0</v>
      </c>
      <c r="DT136" s="229">
        <v>0</v>
      </c>
      <c r="DU136" s="231">
        <v>1300</v>
      </c>
      <c r="DV136" s="231">
        <v>1200</v>
      </c>
      <c r="DW136" s="228">
        <v>0.4</v>
      </c>
      <c r="DX136" s="228">
        <v>0.31</v>
      </c>
      <c r="DY136" s="228">
        <v>0.09</v>
      </c>
      <c r="DZ136" s="229">
        <v>0.2903</v>
      </c>
      <c r="EA136" s="229">
        <v>8.9099999999999999E-2</v>
      </c>
      <c r="EB136" s="230">
        <v>793800</v>
      </c>
      <c r="EC136" s="229">
        <v>4.5999999999999999E-3</v>
      </c>
      <c r="ED136" s="229">
        <v>8.9099999999999999E-2</v>
      </c>
      <c r="EE136" s="228">
        <v>5.14</v>
      </c>
      <c r="EF136" s="229">
        <v>4.1999999999999997E-3</v>
      </c>
      <c r="EG136" s="230">
        <v>1196899</v>
      </c>
      <c r="EH136" s="230">
        <v>1314207</v>
      </c>
      <c r="EI136" s="229">
        <v>-8.9300000000000004E-2</v>
      </c>
      <c r="EJ136" s="229">
        <v>0.65659999999999996</v>
      </c>
      <c r="EK136" s="228">
        <v>465.44</v>
      </c>
      <c r="EL136" s="228">
        <v>180.46</v>
      </c>
      <c r="EM136" s="228">
        <v>248.74</v>
      </c>
      <c r="EN136" s="228">
        <v>0</v>
      </c>
      <c r="EO136" s="228">
        <v>894.64</v>
      </c>
      <c r="EP136" s="231">
        <v>1035.5899999999999</v>
      </c>
      <c r="EQ136" s="228">
        <v>-140.94999999999999</v>
      </c>
      <c r="ER136" s="229">
        <v>-0.1361</v>
      </c>
      <c r="ES136" s="228">
        <v>586.99</v>
      </c>
      <c r="ET136" s="228">
        <v>201.68</v>
      </c>
      <c r="EU136" s="231">
        <v>1638.16</v>
      </c>
      <c r="EV136" s="231">
        <v>148273828</v>
      </c>
      <c r="EW136" s="231">
        <v>2426.83</v>
      </c>
      <c r="EX136" s="231">
        <v>2374.3000000000002</v>
      </c>
      <c r="EY136" s="228">
        <v>52.53</v>
      </c>
      <c r="EZ136" s="229">
        <v>2.2100000000000002E-2</v>
      </c>
      <c r="FA136" s="229">
        <v>0.13150000000000001</v>
      </c>
      <c r="FB136" s="227" t="s">
        <v>567</v>
      </c>
      <c r="FC136">
        <f t="shared" si="2"/>
        <v>145</v>
      </c>
    </row>
    <row r="137" spans="1:159" ht="17.25" thickBot="1" x14ac:dyDescent="0.3">
      <c r="A137" s="226">
        <v>45889</v>
      </c>
      <c r="B137" s="227" t="s">
        <v>215</v>
      </c>
      <c r="C137" s="227" t="s">
        <v>675</v>
      </c>
      <c r="D137" s="228">
        <v>175</v>
      </c>
      <c r="E137" s="228">
        <v>8</v>
      </c>
      <c r="F137" s="231">
        <v>2782.8</v>
      </c>
      <c r="G137" s="231">
        <v>2752.6</v>
      </c>
      <c r="H137" s="228">
        <v>30.2</v>
      </c>
      <c r="I137" s="229">
        <v>1.0999999999999999E-2</v>
      </c>
      <c r="J137" s="231">
        <v>2772.9</v>
      </c>
      <c r="K137" s="231">
        <v>2747.4</v>
      </c>
      <c r="L137" s="228">
        <v>25.5</v>
      </c>
      <c r="M137" s="229">
        <v>9.2999999999999992E-3</v>
      </c>
      <c r="N137" s="231">
        <v>2782.8</v>
      </c>
      <c r="O137" s="231">
        <v>2752.6</v>
      </c>
      <c r="P137" s="228">
        <v>30.2</v>
      </c>
      <c r="Q137" s="229">
        <v>1.0999999999999999E-2</v>
      </c>
      <c r="R137" s="231">
        <v>2800.2</v>
      </c>
      <c r="S137" s="231">
        <v>2767.3</v>
      </c>
      <c r="T137" s="228">
        <v>32.9</v>
      </c>
      <c r="U137" s="229">
        <v>1.1900000000000001E-2</v>
      </c>
      <c r="V137" s="231">
        <v>2810.4</v>
      </c>
      <c r="W137" s="231">
        <v>2778</v>
      </c>
      <c r="X137" s="228">
        <v>32.4</v>
      </c>
      <c r="Y137" s="229">
        <v>1.17E-2</v>
      </c>
      <c r="Z137" s="228">
        <v>9.9</v>
      </c>
      <c r="AA137" s="228">
        <v>5.2</v>
      </c>
      <c r="AB137" s="228">
        <v>4.7</v>
      </c>
      <c r="AC137" s="229">
        <v>3.5999999999999999E-3</v>
      </c>
      <c r="AD137" s="228">
        <v>9.9</v>
      </c>
      <c r="AE137" s="228">
        <v>5.2</v>
      </c>
      <c r="AF137" s="228">
        <v>4.7</v>
      </c>
      <c r="AG137" s="229">
        <v>3.5999999999999999E-3</v>
      </c>
      <c r="AH137" s="228">
        <v>27.3</v>
      </c>
      <c r="AI137" s="228">
        <v>19.899999999999999</v>
      </c>
      <c r="AJ137" s="228">
        <v>7.4</v>
      </c>
      <c r="AK137" s="229">
        <v>9.7999999999999997E-3</v>
      </c>
      <c r="AL137" s="228">
        <v>37.5</v>
      </c>
      <c r="AM137" s="228">
        <v>30.6</v>
      </c>
      <c r="AN137" s="228">
        <v>6.9</v>
      </c>
      <c r="AO137" s="229">
        <v>1.35E-2</v>
      </c>
      <c r="AP137" s="231">
        <v>2760.18</v>
      </c>
      <c r="AQ137" s="231">
        <v>2773.63</v>
      </c>
      <c r="AR137" s="228">
        <v>0</v>
      </c>
      <c r="AS137" s="228">
        <v>375</v>
      </c>
      <c r="AT137" s="228">
        <v>140</v>
      </c>
      <c r="AU137" s="228">
        <v>235</v>
      </c>
      <c r="AV137" s="229">
        <v>1.6708000000000001</v>
      </c>
      <c r="AW137" s="228">
        <v>321</v>
      </c>
      <c r="AX137" s="228">
        <v>122</v>
      </c>
      <c r="AY137" s="228">
        <v>200</v>
      </c>
      <c r="AZ137" s="229">
        <v>1.6407</v>
      </c>
      <c r="BA137" s="228">
        <v>52</v>
      </c>
      <c r="BB137" s="228">
        <v>18</v>
      </c>
      <c r="BC137" s="228">
        <v>33</v>
      </c>
      <c r="BD137" s="229">
        <v>1.8148</v>
      </c>
      <c r="BE137" s="228">
        <v>2</v>
      </c>
      <c r="BF137" s="228">
        <v>0</v>
      </c>
      <c r="BG137" s="228">
        <v>2</v>
      </c>
      <c r="BH137" s="229">
        <v>5.1666999999999996</v>
      </c>
      <c r="BI137" s="230">
        <v>1176</v>
      </c>
      <c r="BJ137" s="228">
        <v>766</v>
      </c>
      <c r="BK137" s="228">
        <v>409</v>
      </c>
      <c r="BL137" s="229">
        <v>0.53380000000000005</v>
      </c>
      <c r="BM137" s="228">
        <v>367</v>
      </c>
      <c r="BN137" s="228">
        <v>139</v>
      </c>
      <c r="BO137" s="228">
        <v>228</v>
      </c>
      <c r="BP137" s="229">
        <v>1.6448</v>
      </c>
      <c r="BQ137" s="230">
        <v>1918</v>
      </c>
      <c r="BR137" s="230">
        <v>1046</v>
      </c>
      <c r="BS137" s="228">
        <v>872</v>
      </c>
      <c r="BT137" s="229">
        <v>0.83399999999999996</v>
      </c>
      <c r="BU137" s="230">
        <v>1284586</v>
      </c>
      <c r="BV137" s="230">
        <v>845209</v>
      </c>
      <c r="BW137" s="230">
        <v>439377</v>
      </c>
      <c r="BX137" s="229">
        <v>0.51980000000000004</v>
      </c>
      <c r="BY137" s="228">
        <v>961</v>
      </c>
      <c r="BZ137" s="228">
        <v>910</v>
      </c>
      <c r="CA137" s="228">
        <v>51</v>
      </c>
      <c r="CB137" s="229">
        <v>5.6399999999999999E-2</v>
      </c>
      <c r="CC137" s="228">
        <v>886</v>
      </c>
      <c r="CD137" s="228">
        <v>849</v>
      </c>
      <c r="CE137" s="228">
        <v>37</v>
      </c>
      <c r="CF137" s="229">
        <v>4.3299999999999998E-2</v>
      </c>
      <c r="CG137" s="228">
        <v>69</v>
      </c>
      <c r="CH137" s="228">
        <v>55</v>
      </c>
      <c r="CI137" s="228">
        <v>15</v>
      </c>
      <c r="CJ137" s="229">
        <v>0.26979999999999998</v>
      </c>
      <c r="CK137" s="228">
        <v>6</v>
      </c>
      <c r="CL137" s="228">
        <v>6</v>
      </c>
      <c r="CM137" s="228">
        <v>0</v>
      </c>
      <c r="CN137" s="229">
        <v>-3.7900000000000003E-2</v>
      </c>
      <c r="CO137" s="228">
        <v>576</v>
      </c>
      <c r="CP137" s="228">
        <v>614</v>
      </c>
      <c r="CQ137" s="228">
        <v>-38</v>
      </c>
      <c r="CR137" s="229">
        <v>-6.1400000000000003E-2</v>
      </c>
      <c r="CS137" s="228">
        <v>265</v>
      </c>
      <c r="CT137" s="228">
        <v>261</v>
      </c>
      <c r="CU137" s="228">
        <v>4</v>
      </c>
      <c r="CV137" s="229">
        <v>1.6400000000000001E-2</v>
      </c>
      <c r="CW137" s="230">
        <v>1802</v>
      </c>
      <c r="CX137" s="230">
        <v>1784</v>
      </c>
      <c r="CY137" s="228">
        <v>18</v>
      </c>
      <c r="CZ137" s="229">
        <v>0.01</v>
      </c>
      <c r="DA137" s="228">
        <v>40.74</v>
      </c>
      <c r="DB137" s="228">
        <v>42.41</v>
      </c>
      <c r="DC137" s="228">
        <v>-1.67</v>
      </c>
      <c r="DD137" s="228">
        <v>-1.67</v>
      </c>
      <c r="DE137" s="228">
        <v>64.03</v>
      </c>
      <c r="DF137" s="228">
        <v>64.17</v>
      </c>
      <c r="DG137" s="228">
        <v>-23.29</v>
      </c>
      <c r="DH137" s="228">
        <v>-0.14000000000000001</v>
      </c>
      <c r="DI137" s="228">
        <v>40.29</v>
      </c>
      <c r="DJ137" s="228">
        <v>43.47</v>
      </c>
      <c r="DK137" s="228">
        <v>-3.18</v>
      </c>
      <c r="DL137" s="228">
        <v>-3.18</v>
      </c>
      <c r="DM137" s="228">
        <v>42.18</v>
      </c>
      <c r="DN137" s="228">
        <v>36.6</v>
      </c>
      <c r="DO137" s="228">
        <v>5.58</v>
      </c>
      <c r="DP137" s="228">
        <v>5.58</v>
      </c>
      <c r="DQ137" s="228">
        <v>0.46</v>
      </c>
      <c r="DR137" s="228">
        <v>0.42</v>
      </c>
      <c r="DS137" s="228">
        <v>0.04</v>
      </c>
      <c r="DT137" s="229">
        <v>9.5200000000000007E-2</v>
      </c>
      <c r="DU137" s="231">
        <v>3000</v>
      </c>
      <c r="DV137" s="231">
        <v>2700</v>
      </c>
      <c r="DW137" s="228">
        <v>0.31</v>
      </c>
      <c r="DX137" s="228">
        <v>0.18</v>
      </c>
      <c r="DY137" s="228">
        <v>0.13</v>
      </c>
      <c r="DZ137" s="229">
        <v>0.72219999999999995</v>
      </c>
      <c r="EA137" s="229">
        <v>7.8700000000000006E-2</v>
      </c>
      <c r="EB137" s="230">
        <v>219625</v>
      </c>
      <c r="EC137" s="229">
        <v>6.3E-3</v>
      </c>
      <c r="ED137" s="229">
        <v>7.8700000000000006E-2</v>
      </c>
      <c r="EE137" s="228">
        <v>13.45</v>
      </c>
      <c r="EF137" s="229">
        <v>4.8999999999999998E-3</v>
      </c>
      <c r="EG137" s="230">
        <v>263469</v>
      </c>
      <c r="EH137" s="230">
        <v>150758</v>
      </c>
      <c r="EI137" s="229">
        <v>0.74760000000000004</v>
      </c>
      <c r="EJ137" s="229">
        <v>0.2051</v>
      </c>
      <c r="EK137" s="231">
        <v>1240.8900000000001</v>
      </c>
      <c r="EL137" s="228">
        <v>343.82</v>
      </c>
      <c r="EM137" s="228">
        <v>372.2</v>
      </c>
      <c r="EN137" s="228">
        <v>0</v>
      </c>
      <c r="EO137" s="231">
        <v>1956.91</v>
      </c>
      <c r="EP137" s="231">
        <v>1100.97</v>
      </c>
      <c r="EQ137" s="228">
        <v>855.94</v>
      </c>
      <c r="ER137" s="229">
        <v>0.77739999999999998</v>
      </c>
      <c r="ES137" s="228">
        <v>613.15</v>
      </c>
      <c r="ET137" s="228">
        <v>261.94</v>
      </c>
      <c r="EU137" s="228">
        <v>961.77</v>
      </c>
      <c r="EV137" s="231">
        <v>15152299</v>
      </c>
      <c r="EW137" s="231">
        <v>1836.86</v>
      </c>
      <c r="EX137" s="231">
        <v>1812.03</v>
      </c>
      <c r="EY137" s="228">
        <v>24.83</v>
      </c>
      <c r="EZ137" s="229">
        <v>1.37E-2</v>
      </c>
      <c r="FA137" s="229">
        <v>0.4274</v>
      </c>
      <c r="FB137" s="227" t="s">
        <v>555</v>
      </c>
      <c r="FC137">
        <f t="shared" si="2"/>
        <v>75</v>
      </c>
    </row>
    <row r="138" spans="1:159" ht="17.25" thickBot="1" x14ac:dyDescent="0.3">
      <c r="A138" s="226">
        <v>45889</v>
      </c>
      <c r="B138" s="227" t="s">
        <v>175</v>
      </c>
      <c r="C138" s="227" t="s">
        <v>517</v>
      </c>
      <c r="D138" s="228">
        <v>125</v>
      </c>
      <c r="E138" s="228">
        <v>8</v>
      </c>
      <c r="F138" s="231">
        <v>8248</v>
      </c>
      <c r="G138" s="231">
        <v>8325</v>
      </c>
      <c r="H138" s="228">
        <v>-77</v>
      </c>
      <c r="I138" s="229">
        <v>-9.1999999999999998E-3</v>
      </c>
      <c r="J138" s="231">
        <v>8224</v>
      </c>
      <c r="K138" s="231">
        <v>8295</v>
      </c>
      <c r="L138" s="228">
        <v>-71</v>
      </c>
      <c r="M138" s="229">
        <v>-8.6E-3</v>
      </c>
      <c r="N138" s="231">
        <v>8248</v>
      </c>
      <c r="O138" s="231">
        <v>8325</v>
      </c>
      <c r="P138" s="228">
        <v>-77</v>
      </c>
      <c r="Q138" s="229">
        <v>-9.1999999999999998E-3</v>
      </c>
      <c r="R138" s="231">
        <v>8290.5</v>
      </c>
      <c r="S138" s="231">
        <v>8369.5</v>
      </c>
      <c r="T138" s="228">
        <v>-79</v>
      </c>
      <c r="U138" s="229">
        <v>-9.4000000000000004E-3</v>
      </c>
      <c r="V138" s="231">
        <v>8331</v>
      </c>
      <c r="W138" s="231">
        <v>8410</v>
      </c>
      <c r="X138" s="228">
        <v>-79</v>
      </c>
      <c r="Y138" s="229">
        <v>-9.4000000000000004E-3</v>
      </c>
      <c r="Z138" s="228">
        <v>24</v>
      </c>
      <c r="AA138" s="228">
        <v>30</v>
      </c>
      <c r="AB138" s="228">
        <v>-6</v>
      </c>
      <c r="AC138" s="229">
        <v>2.8999999999999998E-3</v>
      </c>
      <c r="AD138" s="228">
        <v>24</v>
      </c>
      <c r="AE138" s="228">
        <v>30</v>
      </c>
      <c r="AF138" s="228">
        <v>-6</v>
      </c>
      <c r="AG138" s="229">
        <v>2.8999999999999998E-3</v>
      </c>
      <c r="AH138" s="228">
        <v>66.5</v>
      </c>
      <c r="AI138" s="228">
        <v>74.5</v>
      </c>
      <c r="AJ138" s="228">
        <v>-8</v>
      </c>
      <c r="AK138" s="229">
        <v>8.0999999999999996E-3</v>
      </c>
      <c r="AL138" s="228">
        <v>107</v>
      </c>
      <c r="AM138" s="228">
        <v>115</v>
      </c>
      <c r="AN138" s="228">
        <v>-8</v>
      </c>
      <c r="AO138" s="229">
        <v>1.2999999999999999E-2</v>
      </c>
      <c r="AP138" s="231">
        <v>8246.39</v>
      </c>
      <c r="AQ138" s="231">
        <v>8287.51</v>
      </c>
      <c r="AR138" s="228">
        <v>0</v>
      </c>
      <c r="AS138" s="228">
        <v>244</v>
      </c>
      <c r="AT138" s="228">
        <v>404</v>
      </c>
      <c r="AU138" s="228">
        <v>-160</v>
      </c>
      <c r="AV138" s="229">
        <v>-0.3967</v>
      </c>
      <c r="AW138" s="228">
        <v>199</v>
      </c>
      <c r="AX138" s="228">
        <v>344</v>
      </c>
      <c r="AY138" s="228">
        <v>-145</v>
      </c>
      <c r="AZ138" s="229">
        <v>-0.42059999999999997</v>
      </c>
      <c r="BA138" s="228">
        <v>41</v>
      </c>
      <c r="BB138" s="228">
        <v>54</v>
      </c>
      <c r="BC138" s="228">
        <v>-14</v>
      </c>
      <c r="BD138" s="229">
        <v>-0.251</v>
      </c>
      <c r="BE138" s="228">
        <v>4</v>
      </c>
      <c r="BF138" s="228">
        <v>6</v>
      </c>
      <c r="BG138" s="228">
        <v>-2</v>
      </c>
      <c r="BH138" s="229">
        <v>-0.3448</v>
      </c>
      <c r="BI138" s="230">
        <v>1802</v>
      </c>
      <c r="BJ138" s="230">
        <v>3379</v>
      </c>
      <c r="BK138" s="230">
        <v>-1578</v>
      </c>
      <c r="BL138" s="229">
        <v>-0.46679999999999999</v>
      </c>
      <c r="BM138" s="230">
        <v>1388</v>
      </c>
      <c r="BN138" s="230">
        <v>2795</v>
      </c>
      <c r="BO138" s="230">
        <v>-1407</v>
      </c>
      <c r="BP138" s="229">
        <v>-0.50349999999999995</v>
      </c>
      <c r="BQ138" s="230">
        <v>3433</v>
      </c>
      <c r="BR138" s="230">
        <v>6578</v>
      </c>
      <c r="BS138" s="230">
        <v>-3145</v>
      </c>
      <c r="BT138" s="229">
        <v>-0.47810000000000002</v>
      </c>
      <c r="BU138" s="230">
        <v>238742</v>
      </c>
      <c r="BV138" s="230">
        <v>428977</v>
      </c>
      <c r="BW138" s="230">
        <v>-190235</v>
      </c>
      <c r="BX138" s="229">
        <v>-0.44350000000000001</v>
      </c>
      <c r="BY138" s="230">
        <v>1549</v>
      </c>
      <c r="BZ138" s="230">
        <v>1538</v>
      </c>
      <c r="CA138" s="228">
        <v>12</v>
      </c>
      <c r="CB138" s="229">
        <v>7.6E-3</v>
      </c>
      <c r="CC138" s="230">
        <v>1439</v>
      </c>
      <c r="CD138" s="230">
        <v>1445</v>
      </c>
      <c r="CE138" s="228">
        <v>-6</v>
      </c>
      <c r="CF138" s="229">
        <v>-4.3E-3</v>
      </c>
      <c r="CG138" s="228">
        <v>96</v>
      </c>
      <c r="CH138" s="228">
        <v>79</v>
      </c>
      <c r="CI138" s="228">
        <v>17</v>
      </c>
      <c r="CJ138" s="229">
        <v>0.21990000000000001</v>
      </c>
      <c r="CK138" s="228">
        <v>15</v>
      </c>
      <c r="CL138" s="228">
        <v>14</v>
      </c>
      <c r="CM138" s="228">
        <v>1</v>
      </c>
      <c r="CN138" s="229">
        <v>4.4400000000000002E-2</v>
      </c>
      <c r="CO138" s="230">
        <v>1748</v>
      </c>
      <c r="CP138" s="230">
        <v>1728</v>
      </c>
      <c r="CQ138" s="228">
        <v>19</v>
      </c>
      <c r="CR138" s="229">
        <v>1.1299999999999999E-2</v>
      </c>
      <c r="CS138" s="230">
        <v>1154</v>
      </c>
      <c r="CT138" s="230">
        <v>1221</v>
      </c>
      <c r="CU138" s="228">
        <v>-67</v>
      </c>
      <c r="CV138" s="229">
        <v>-5.4899999999999997E-2</v>
      </c>
      <c r="CW138" s="230">
        <v>4451</v>
      </c>
      <c r="CX138" s="230">
        <v>4487</v>
      </c>
      <c r="CY138" s="228">
        <v>-36</v>
      </c>
      <c r="CZ138" s="229">
        <v>-8.0000000000000002E-3</v>
      </c>
      <c r="DA138" s="228">
        <v>33.450000000000003</v>
      </c>
      <c r="DB138" s="228">
        <v>32.450000000000003</v>
      </c>
      <c r="DC138" s="228">
        <v>1</v>
      </c>
      <c r="DD138" s="228">
        <v>1</v>
      </c>
      <c r="DE138" s="228">
        <v>48.34</v>
      </c>
      <c r="DF138" s="228">
        <v>48.44</v>
      </c>
      <c r="DG138" s="228">
        <v>-14.89</v>
      </c>
      <c r="DH138" s="228">
        <v>-0.1</v>
      </c>
      <c r="DI138" s="228">
        <v>32.75</v>
      </c>
      <c r="DJ138" s="228">
        <v>30.55</v>
      </c>
      <c r="DK138" s="228">
        <v>2.2000000000000002</v>
      </c>
      <c r="DL138" s="228">
        <v>2.2000000000000002</v>
      </c>
      <c r="DM138" s="228">
        <v>34.369999999999997</v>
      </c>
      <c r="DN138" s="228">
        <v>34.74</v>
      </c>
      <c r="DO138" s="228">
        <v>-0.37</v>
      </c>
      <c r="DP138" s="228">
        <v>-0.37</v>
      </c>
      <c r="DQ138" s="228">
        <v>0.66</v>
      </c>
      <c r="DR138" s="228">
        <v>0.71</v>
      </c>
      <c r="DS138" s="228">
        <v>-0.05</v>
      </c>
      <c r="DT138" s="229">
        <v>-7.0400000000000004E-2</v>
      </c>
      <c r="DU138" s="231">
        <v>9000</v>
      </c>
      <c r="DV138" s="231">
        <v>8000</v>
      </c>
      <c r="DW138" s="228">
        <v>0.77</v>
      </c>
      <c r="DX138" s="228">
        <v>0.83</v>
      </c>
      <c r="DY138" s="228">
        <v>-0.06</v>
      </c>
      <c r="DZ138" s="229">
        <v>-7.2300000000000003E-2</v>
      </c>
      <c r="EA138" s="229">
        <v>7.1400000000000005E-2</v>
      </c>
      <c r="EB138" s="230">
        <v>112375</v>
      </c>
      <c r="EC138" s="229">
        <v>5.1999999999999998E-3</v>
      </c>
      <c r="ED138" s="229">
        <v>7.1400000000000005E-2</v>
      </c>
      <c r="EE138" s="228">
        <v>41.12</v>
      </c>
      <c r="EF138" s="229">
        <v>5.0000000000000001E-3</v>
      </c>
      <c r="EG138" s="230">
        <v>77252</v>
      </c>
      <c r="EH138" s="230">
        <v>121328</v>
      </c>
      <c r="EI138" s="229">
        <v>-0.36330000000000001</v>
      </c>
      <c r="EJ138" s="229">
        <v>0.3236</v>
      </c>
      <c r="EK138" s="231">
        <v>1887.9</v>
      </c>
      <c r="EL138" s="231">
        <v>1357.77</v>
      </c>
      <c r="EM138" s="228">
        <v>244.03</v>
      </c>
      <c r="EN138" s="228">
        <v>0</v>
      </c>
      <c r="EO138" s="231">
        <v>3489.69</v>
      </c>
      <c r="EP138" s="231">
        <v>6678.09</v>
      </c>
      <c r="EQ138" s="231">
        <v>-3188.41</v>
      </c>
      <c r="ER138" s="229">
        <v>-0.47739999999999999</v>
      </c>
      <c r="ES138" s="231">
        <v>1813.17</v>
      </c>
      <c r="ET138" s="231">
        <v>1082.22</v>
      </c>
      <c r="EU138" s="231">
        <v>1550.03</v>
      </c>
      <c r="EV138" s="231">
        <v>10180563</v>
      </c>
      <c r="EW138" s="231">
        <v>4445.42</v>
      </c>
      <c r="EX138" s="231">
        <v>4497.1899999999996</v>
      </c>
      <c r="EY138" s="228">
        <v>-51.77</v>
      </c>
      <c r="EZ138" s="229">
        <v>-1.15E-2</v>
      </c>
      <c r="FA138" s="229">
        <v>0.53010000000000002</v>
      </c>
      <c r="FB138" s="227" t="s">
        <v>567</v>
      </c>
      <c r="FC138">
        <f t="shared" si="2"/>
        <v>110</v>
      </c>
    </row>
    <row r="139" spans="1:159" ht="17.25" thickBot="1" x14ac:dyDescent="0.3">
      <c r="A139" s="226">
        <v>45889</v>
      </c>
      <c r="B139" s="227" t="s">
        <v>175</v>
      </c>
      <c r="C139" s="227" t="s">
        <v>257</v>
      </c>
      <c r="D139" s="228">
        <v>800</v>
      </c>
      <c r="E139" s="228">
        <v>8</v>
      </c>
      <c r="F139" s="231">
        <v>1645.1</v>
      </c>
      <c r="G139" s="231">
        <v>1639.4</v>
      </c>
      <c r="H139" s="228">
        <v>5.7</v>
      </c>
      <c r="I139" s="229">
        <v>3.5000000000000001E-3</v>
      </c>
      <c r="J139" s="231">
        <v>1643.6</v>
      </c>
      <c r="K139" s="231">
        <v>1637.3</v>
      </c>
      <c r="L139" s="228">
        <v>6.3</v>
      </c>
      <c r="M139" s="229">
        <v>3.8E-3</v>
      </c>
      <c r="N139" s="231">
        <v>1645.1</v>
      </c>
      <c r="O139" s="231">
        <v>1639.4</v>
      </c>
      <c r="P139" s="228">
        <v>5.7</v>
      </c>
      <c r="Q139" s="229">
        <v>3.5000000000000001E-3</v>
      </c>
      <c r="R139" s="231">
        <v>1655.8</v>
      </c>
      <c r="S139" s="231">
        <v>1648.7</v>
      </c>
      <c r="T139" s="228">
        <v>7.1</v>
      </c>
      <c r="U139" s="229">
        <v>4.3E-3</v>
      </c>
      <c r="V139" s="231">
        <v>1657.5</v>
      </c>
      <c r="W139" s="231">
        <v>1639.4</v>
      </c>
      <c r="X139" s="228">
        <v>18.100000000000001</v>
      </c>
      <c r="Y139" s="229">
        <v>1.0999999999999999E-2</v>
      </c>
      <c r="Z139" s="228">
        <v>1.5</v>
      </c>
      <c r="AA139" s="228">
        <v>2.1</v>
      </c>
      <c r="AB139" s="228">
        <v>-0.6</v>
      </c>
      <c r="AC139" s="229">
        <v>8.9999999999999998E-4</v>
      </c>
      <c r="AD139" s="228">
        <v>1.5</v>
      </c>
      <c r="AE139" s="228">
        <v>2.1</v>
      </c>
      <c r="AF139" s="228">
        <v>-0.6</v>
      </c>
      <c r="AG139" s="229">
        <v>8.9999999999999998E-4</v>
      </c>
      <c r="AH139" s="228">
        <v>12.2</v>
      </c>
      <c r="AI139" s="228">
        <v>11.4</v>
      </c>
      <c r="AJ139" s="228">
        <v>0.8</v>
      </c>
      <c r="AK139" s="229">
        <v>7.4000000000000003E-3</v>
      </c>
      <c r="AL139" s="228">
        <v>13.9</v>
      </c>
      <c r="AM139" s="228">
        <v>2.1</v>
      </c>
      <c r="AN139" s="228">
        <v>11.8</v>
      </c>
      <c r="AO139" s="229">
        <v>8.5000000000000006E-3</v>
      </c>
      <c r="AP139" s="231">
        <v>1643.23</v>
      </c>
      <c r="AQ139" s="231">
        <v>1651.25</v>
      </c>
      <c r="AR139" s="228">
        <v>0</v>
      </c>
      <c r="AS139" s="228">
        <v>70</v>
      </c>
      <c r="AT139" s="228">
        <v>179</v>
      </c>
      <c r="AU139" s="228">
        <v>-109</v>
      </c>
      <c r="AV139" s="229">
        <v>-0.60719999999999996</v>
      </c>
      <c r="AW139" s="228">
        <v>60</v>
      </c>
      <c r="AX139" s="228">
        <v>164</v>
      </c>
      <c r="AY139" s="228">
        <v>-104</v>
      </c>
      <c r="AZ139" s="229">
        <v>-0.63560000000000005</v>
      </c>
      <c r="BA139" s="228">
        <v>10</v>
      </c>
      <c r="BB139" s="228">
        <v>15</v>
      </c>
      <c r="BC139" s="228">
        <v>-5</v>
      </c>
      <c r="BD139" s="229">
        <v>-0.30969999999999998</v>
      </c>
      <c r="BE139" s="228">
        <v>1</v>
      </c>
      <c r="BF139" s="228">
        <v>1</v>
      </c>
      <c r="BG139" s="228">
        <v>0</v>
      </c>
      <c r="BH139" s="229">
        <v>-0.33329999999999999</v>
      </c>
      <c r="BI139" s="228">
        <v>180</v>
      </c>
      <c r="BJ139" s="228">
        <v>405</v>
      </c>
      <c r="BK139" s="228">
        <v>-225</v>
      </c>
      <c r="BL139" s="229">
        <v>-0.55640000000000001</v>
      </c>
      <c r="BM139" s="228">
        <v>99</v>
      </c>
      <c r="BN139" s="228">
        <v>467</v>
      </c>
      <c r="BO139" s="228">
        <v>-368</v>
      </c>
      <c r="BP139" s="229">
        <v>-0.78700000000000003</v>
      </c>
      <c r="BQ139" s="228">
        <v>350</v>
      </c>
      <c r="BR139" s="230">
        <v>1051</v>
      </c>
      <c r="BS139" s="228">
        <v>-702</v>
      </c>
      <c r="BT139" s="229">
        <v>-0.66749999999999998</v>
      </c>
      <c r="BU139" s="230">
        <v>132415</v>
      </c>
      <c r="BV139" s="230">
        <v>375700</v>
      </c>
      <c r="BW139" s="230">
        <v>-243285</v>
      </c>
      <c r="BX139" s="229">
        <v>-0.64759999999999995</v>
      </c>
      <c r="BY139" s="228">
        <v>858</v>
      </c>
      <c r="BZ139" s="228">
        <v>859</v>
      </c>
      <c r="CA139" s="228">
        <v>-1</v>
      </c>
      <c r="CB139" s="229">
        <v>-1.1999999999999999E-3</v>
      </c>
      <c r="CC139" s="228">
        <v>825</v>
      </c>
      <c r="CD139" s="228">
        <v>828</v>
      </c>
      <c r="CE139" s="228">
        <v>-2</v>
      </c>
      <c r="CF139" s="229">
        <v>-2.8999999999999998E-3</v>
      </c>
      <c r="CG139" s="228">
        <v>30</v>
      </c>
      <c r="CH139" s="228">
        <v>28</v>
      </c>
      <c r="CI139" s="228">
        <v>2</v>
      </c>
      <c r="CJ139" s="229">
        <v>6.4799999999999996E-2</v>
      </c>
      <c r="CK139" s="228">
        <v>3</v>
      </c>
      <c r="CL139" s="228">
        <v>3</v>
      </c>
      <c r="CM139" s="228">
        <v>-1</v>
      </c>
      <c r="CN139" s="229">
        <v>-0.16669999999999999</v>
      </c>
      <c r="CO139" s="228">
        <v>249</v>
      </c>
      <c r="CP139" s="228">
        <v>257</v>
      </c>
      <c r="CQ139" s="228">
        <v>-9</v>
      </c>
      <c r="CR139" s="229">
        <v>-3.32E-2</v>
      </c>
      <c r="CS139" s="228">
        <v>226</v>
      </c>
      <c r="CT139" s="228">
        <v>226</v>
      </c>
      <c r="CU139" s="228">
        <v>-1</v>
      </c>
      <c r="CV139" s="229">
        <v>-3.5000000000000001E-3</v>
      </c>
      <c r="CW139" s="230">
        <v>1333</v>
      </c>
      <c r="CX139" s="230">
        <v>1343</v>
      </c>
      <c r="CY139" s="228">
        <v>-10</v>
      </c>
      <c r="CZ139" s="229">
        <v>-7.7000000000000002E-3</v>
      </c>
      <c r="DA139" s="228">
        <v>24.44</v>
      </c>
      <c r="DB139" s="228">
        <v>24.74</v>
      </c>
      <c r="DC139" s="228">
        <v>-0.3</v>
      </c>
      <c r="DD139" s="228">
        <v>-0.3</v>
      </c>
      <c r="DE139" s="228">
        <v>31.6</v>
      </c>
      <c r="DF139" s="228">
        <v>31.68</v>
      </c>
      <c r="DG139" s="228">
        <v>-7.16</v>
      </c>
      <c r="DH139" s="228">
        <v>-0.08</v>
      </c>
      <c r="DI139" s="228">
        <v>23.57</v>
      </c>
      <c r="DJ139" s="228">
        <v>23.62</v>
      </c>
      <c r="DK139" s="228">
        <v>-0.05</v>
      </c>
      <c r="DL139" s="228">
        <v>-0.05</v>
      </c>
      <c r="DM139" s="228">
        <v>26</v>
      </c>
      <c r="DN139" s="228">
        <v>25.72</v>
      </c>
      <c r="DO139" s="228">
        <v>0.28000000000000003</v>
      </c>
      <c r="DP139" s="228">
        <v>0.28000000000000003</v>
      </c>
      <c r="DQ139" s="228">
        <v>0.91</v>
      </c>
      <c r="DR139" s="228">
        <v>0.88</v>
      </c>
      <c r="DS139" s="228">
        <v>0.03</v>
      </c>
      <c r="DT139" s="229">
        <v>3.4099999999999998E-2</v>
      </c>
      <c r="DU139" s="231">
        <v>1660</v>
      </c>
      <c r="DV139" s="231">
        <v>1640</v>
      </c>
      <c r="DW139" s="228">
        <v>0.55000000000000004</v>
      </c>
      <c r="DX139" s="228">
        <v>1.1499999999999999</v>
      </c>
      <c r="DY139" s="228">
        <v>-0.6</v>
      </c>
      <c r="DZ139" s="229">
        <v>-0.52170000000000005</v>
      </c>
      <c r="EA139" s="229">
        <v>3.8300000000000001E-2</v>
      </c>
      <c r="EB139" s="230">
        <v>192000</v>
      </c>
      <c r="EC139" s="229">
        <v>6.4999999999999997E-3</v>
      </c>
      <c r="ED139" s="229">
        <v>3.8300000000000001E-2</v>
      </c>
      <c r="EE139" s="228">
        <v>8.02</v>
      </c>
      <c r="EF139" s="229">
        <v>4.8999999999999998E-3</v>
      </c>
      <c r="EG139" s="230">
        <v>67051</v>
      </c>
      <c r="EH139" s="230">
        <v>197207</v>
      </c>
      <c r="EI139" s="229">
        <v>-0.66</v>
      </c>
      <c r="EJ139" s="229">
        <v>0.50639999999999996</v>
      </c>
      <c r="EK139" s="228">
        <v>184.98</v>
      </c>
      <c r="EL139" s="228">
        <v>96.56</v>
      </c>
      <c r="EM139" s="228">
        <v>70.38</v>
      </c>
      <c r="EN139" s="228">
        <v>0</v>
      </c>
      <c r="EO139" s="228">
        <v>351.92</v>
      </c>
      <c r="EP139" s="231">
        <v>1046.8699999999999</v>
      </c>
      <c r="EQ139" s="228">
        <v>-694.95</v>
      </c>
      <c r="ER139" s="229">
        <v>-0.66379999999999995</v>
      </c>
      <c r="ES139" s="228">
        <v>248.67</v>
      </c>
      <c r="ET139" s="228">
        <v>212.07</v>
      </c>
      <c r="EU139" s="228">
        <v>858.43</v>
      </c>
      <c r="EV139" s="231">
        <v>67819703</v>
      </c>
      <c r="EW139" s="231">
        <v>1319.18</v>
      </c>
      <c r="EX139" s="231">
        <v>1326.11</v>
      </c>
      <c r="EY139" s="228">
        <v>-6.93</v>
      </c>
      <c r="EZ139" s="229">
        <v>-5.1999999999999998E-3</v>
      </c>
      <c r="FA139" s="229">
        <v>0.11940000000000001</v>
      </c>
      <c r="FB139" s="227" t="s">
        <v>556</v>
      </c>
      <c r="FC139">
        <f t="shared" si="2"/>
        <v>33</v>
      </c>
    </row>
    <row r="140" spans="1:159" ht="17.25" thickBot="1" x14ac:dyDescent="0.3">
      <c r="A140" s="226">
        <v>45889</v>
      </c>
      <c r="B140" s="227" t="s">
        <v>181</v>
      </c>
      <c r="C140" s="227" t="s">
        <v>563</v>
      </c>
      <c r="D140" s="228">
        <v>140</v>
      </c>
      <c r="E140" s="228">
        <v>8</v>
      </c>
      <c r="F140" s="231">
        <v>13023.85</v>
      </c>
      <c r="G140" s="231">
        <v>12958.3</v>
      </c>
      <c r="H140" s="228">
        <v>65.55</v>
      </c>
      <c r="I140" s="229">
        <v>5.1000000000000004E-3</v>
      </c>
      <c r="J140" s="231">
        <v>12999.8</v>
      </c>
      <c r="K140" s="231">
        <v>12908.3</v>
      </c>
      <c r="L140" s="228">
        <v>91.5</v>
      </c>
      <c r="M140" s="229">
        <v>7.1000000000000004E-3</v>
      </c>
      <c r="N140" s="231">
        <v>13023.85</v>
      </c>
      <c r="O140" s="231">
        <v>12958.3</v>
      </c>
      <c r="P140" s="228">
        <v>65.55</v>
      </c>
      <c r="Q140" s="229">
        <v>5.1000000000000004E-3</v>
      </c>
      <c r="R140" s="231">
        <v>13087.05</v>
      </c>
      <c r="S140" s="231">
        <v>13015.1</v>
      </c>
      <c r="T140" s="228">
        <v>71.95</v>
      </c>
      <c r="U140" s="229">
        <v>5.4999999999999997E-3</v>
      </c>
      <c r="V140" s="231">
        <v>13128.95</v>
      </c>
      <c r="W140" s="231">
        <v>13057.55</v>
      </c>
      <c r="X140" s="228">
        <v>71.400000000000006</v>
      </c>
      <c r="Y140" s="229">
        <v>5.4999999999999997E-3</v>
      </c>
      <c r="Z140" s="228">
        <v>24.05</v>
      </c>
      <c r="AA140" s="228">
        <v>50</v>
      </c>
      <c r="AB140" s="228">
        <v>-25.95</v>
      </c>
      <c r="AC140" s="229">
        <v>1.9E-3</v>
      </c>
      <c r="AD140" s="228">
        <v>24.05</v>
      </c>
      <c r="AE140" s="228">
        <v>50</v>
      </c>
      <c r="AF140" s="228">
        <v>-25.95</v>
      </c>
      <c r="AG140" s="229">
        <v>1.9E-3</v>
      </c>
      <c r="AH140" s="228">
        <v>87.25</v>
      </c>
      <c r="AI140" s="228">
        <v>106.8</v>
      </c>
      <c r="AJ140" s="228">
        <v>-19.55</v>
      </c>
      <c r="AK140" s="229">
        <v>6.7000000000000002E-3</v>
      </c>
      <c r="AL140" s="228">
        <v>129.15</v>
      </c>
      <c r="AM140" s="228">
        <v>149.25</v>
      </c>
      <c r="AN140" s="228">
        <v>-20.100000000000001</v>
      </c>
      <c r="AO140" s="229">
        <v>9.9000000000000008E-3</v>
      </c>
      <c r="AP140" s="231">
        <v>12999.02</v>
      </c>
      <c r="AQ140" s="231">
        <v>13061.03</v>
      </c>
      <c r="AR140" s="228">
        <v>0</v>
      </c>
      <c r="AS140" s="228">
        <v>723</v>
      </c>
      <c r="AT140" s="228">
        <v>819</v>
      </c>
      <c r="AU140" s="228">
        <v>-96</v>
      </c>
      <c r="AV140" s="229">
        <v>-0.1173</v>
      </c>
      <c r="AW140" s="228">
        <v>582</v>
      </c>
      <c r="AX140" s="228">
        <v>715</v>
      </c>
      <c r="AY140" s="228">
        <v>-132</v>
      </c>
      <c r="AZ140" s="229">
        <v>-0.1852</v>
      </c>
      <c r="BA140" s="228">
        <v>134</v>
      </c>
      <c r="BB140" s="228">
        <v>96</v>
      </c>
      <c r="BC140" s="228">
        <v>38</v>
      </c>
      <c r="BD140" s="229">
        <v>0.39200000000000002</v>
      </c>
      <c r="BE140" s="228">
        <v>7</v>
      </c>
      <c r="BF140" s="228">
        <v>8</v>
      </c>
      <c r="BG140" s="228">
        <v>-1</v>
      </c>
      <c r="BH140" s="229">
        <v>-0.1739</v>
      </c>
      <c r="BI140" s="230">
        <v>42651</v>
      </c>
      <c r="BJ140" s="230">
        <v>42751</v>
      </c>
      <c r="BK140" s="228">
        <v>-100</v>
      </c>
      <c r="BL140" s="229">
        <v>-2.3E-3</v>
      </c>
      <c r="BM140" s="230">
        <v>48393</v>
      </c>
      <c r="BN140" s="230">
        <v>39445</v>
      </c>
      <c r="BO140" s="230">
        <v>8948</v>
      </c>
      <c r="BP140" s="229">
        <v>0.2268</v>
      </c>
      <c r="BQ140" s="230">
        <v>91768</v>
      </c>
      <c r="BR140" s="230">
        <v>83016</v>
      </c>
      <c r="BS140" s="230">
        <v>8751</v>
      </c>
      <c r="BT140" s="229">
        <v>0.10539999999999999</v>
      </c>
      <c r="BU140" s="228">
        <v>0</v>
      </c>
      <c r="BV140" s="228">
        <v>0</v>
      </c>
      <c r="BW140" s="228">
        <v>0</v>
      </c>
      <c r="BX140" s="229">
        <v>0</v>
      </c>
      <c r="BY140" s="230">
        <v>3481</v>
      </c>
      <c r="BZ140" s="230">
        <v>3403</v>
      </c>
      <c r="CA140" s="228">
        <v>78</v>
      </c>
      <c r="CB140" s="229">
        <v>2.29E-2</v>
      </c>
      <c r="CC140" s="230">
        <v>3232</v>
      </c>
      <c r="CD140" s="230">
        <v>3199</v>
      </c>
      <c r="CE140" s="228">
        <v>34</v>
      </c>
      <c r="CF140" s="229">
        <v>1.06E-2</v>
      </c>
      <c r="CG140" s="228">
        <v>231</v>
      </c>
      <c r="CH140" s="228">
        <v>189</v>
      </c>
      <c r="CI140" s="228">
        <v>43</v>
      </c>
      <c r="CJ140" s="229">
        <v>0.2263</v>
      </c>
      <c r="CK140" s="228">
        <v>18</v>
      </c>
      <c r="CL140" s="228">
        <v>16</v>
      </c>
      <c r="CM140" s="228">
        <v>1</v>
      </c>
      <c r="CN140" s="229">
        <v>7.8700000000000006E-2</v>
      </c>
      <c r="CO140" s="230">
        <v>10332</v>
      </c>
      <c r="CP140" s="230">
        <v>9695</v>
      </c>
      <c r="CQ140" s="228">
        <v>637</v>
      </c>
      <c r="CR140" s="229">
        <v>6.5699999999999995E-2</v>
      </c>
      <c r="CS140" s="230">
        <v>13758</v>
      </c>
      <c r="CT140" s="230">
        <v>10888</v>
      </c>
      <c r="CU140" s="230">
        <v>2871</v>
      </c>
      <c r="CV140" s="229">
        <v>0.26369999999999999</v>
      </c>
      <c r="CW140" s="230">
        <v>27571</v>
      </c>
      <c r="CX140" s="230">
        <v>23986</v>
      </c>
      <c r="CY140" s="230">
        <v>3585</v>
      </c>
      <c r="CZ140" s="229">
        <v>0.14949999999999999</v>
      </c>
      <c r="DA140" s="228">
        <v>16.91</v>
      </c>
      <c r="DB140" s="228">
        <v>17.41</v>
      </c>
      <c r="DC140" s="228">
        <v>-0.5</v>
      </c>
      <c r="DD140" s="228">
        <v>-0.5</v>
      </c>
      <c r="DE140" s="228">
        <v>23.93</v>
      </c>
      <c r="DF140" s="228">
        <v>23.98</v>
      </c>
      <c r="DG140" s="228">
        <v>-7.02</v>
      </c>
      <c r="DH140" s="228">
        <v>-0.05</v>
      </c>
      <c r="DI140" s="228">
        <v>15.14</v>
      </c>
      <c r="DJ140" s="228">
        <v>16.14</v>
      </c>
      <c r="DK140" s="228">
        <v>-1</v>
      </c>
      <c r="DL140" s="228">
        <v>-1</v>
      </c>
      <c r="DM140" s="228">
        <v>18.47</v>
      </c>
      <c r="DN140" s="228">
        <v>18.79</v>
      </c>
      <c r="DO140" s="228">
        <v>-0.32</v>
      </c>
      <c r="DP140" s="228">
        <v>-0.32</v>
      </c>
      <c r="DQ140" s="228">
        <v>1.33</v>
      </c>
      <c r="DR140" s="228">
        <v>1.1200000000000001</v>
      </c>
      <c r="DS140" s="228">
        <v>0.21</v>
      </c>
      <c r="DT140" s="229">
        <v>0.1875</v>
      </c>
      <c r="DU140" s="231">
        <v>13500</v>
      </c>
      <c r="DV140" s="231">
        <v>12000</v>
      </c>
      <c r="DW140" s="228">
        <v>1.1299999999999999</v>
      </c>
      <c r="DX140" s="228">
        <v>0.92</v>
      </c>
      <c r="DY140" s="228">
        <v>0.21</v>
      </c>
      <c r="DZ140" s="229">
        <v>0.2283</v>
      </c>
      <c r="EA140" s="229">
        <v>7.1400000000000005E-2</v>
      </c>
      <c r="EB140" s="230">
        <v>157220</v>
      </c>
      <c r="EC140" s="229">
        <v>4.8999999999999998E-3</v>
      </c>
      <c r="ED140" s="229">
        <v>7.1400000000000005E-2</v>
      </c>
      <c r="EE140" s="228">
        <v>62.01</v>
      </c>
      <c r="EF140" s="229">
        <v>4.7999999999999996E-3</v>
      </c>
      <c r="EG140" s="228">
        <v>0</v>
      </c>
      <c r="EH140" s="228">
        <v>0</v>
      </c>
      <c r="EI140" s="229">
        <v>0</v>
      </c>
      <c r="EJ140" s="229">
        <v>0</v>
      </c>
      <c r="EK140" s="231">
        <v>43347.02</v>
      </c>
      <c r="EL140" s="231">
        <v>47032.54</v>
      </c>
      <c r="EM140" s="228">
        <v>722.63</v>
      </c>
      <c r="EN140" s="228">
        <v>0</v>
      </c>
      <c r="EO140" s="231">
        <v>91102.19</v>
      </c>
      <c r="EP140" s="231">
        <v>82394.12</v>
      </c>
      <c r="EQ140" s="231">
        <v>8708.06</v>
      </c>
      <c r="ER140" s="229">
        <v>0.1057</v>
      </c>
      <c r="ES140" s="231">
        <v>10538.46</v>
      </c>
      <c r="ET140" s="231">
        <v>13090.85</v>
      </c>
      <c r="EU140" s="231">
        <v>3482.38</v>
      </c>
      <c r="EV140" s="228">
        <v>0</v>
      </c>
      <c r="EW140" s="231">
        <v>27111.69</v>
      </c>
      <c r="EX140" s="231">
        <v>23563.03</v>
      </c>
      <c r="EY140" s="231">
        <v>3548.66</v>
      </c>
      <c r="EZ140" s="229">
        <v>0.15060000000000001</v>
      </c>
      <c r="FA140" s="229">
        <v>0</v>
      </c>
      <c r="FB140" s="227" t="s">
        <v>555</v>
      </c>
      <c r="FC140">
        <f t="shared" si="2"/>
        <v>249</v>
      </c>
    </row>
    <row r="141" spans="1:159" ht="17.25" thickBot="1" x14ac:dyDescent="0.3">
      <c r="A141" s="226">
        <v>45889</v>
      </c>
      <c r="B141" s="227" t="s">
        <v>162</v>
      </c>
      <c r="C141" s="227" t="s">
        <v>559</v>
      </c>
      <c r="D141" s="228">
        <v>6150</v>
      </c>
      <c r="E141" s="228">
        <v>8</v>
      </c>
      <c r="F141" s="228">
        <v>97.99</v>
      </c>
      <c r="G141" s="228">
        <v>99.62</v>
      </c>
      <c r="H141" s="228">
        <v>-1.63</v>
      </c>
      <c r="I141" s="229">
        <v>-1.6400000000000001E-2</v>
      </c>
      <c r="J141" s="228">
        <v>97.97</v>
      </c>
      <c r="K141" s="228">
        <v>99.4</v>
      </c>
      <c r="L141" s="228">
        <v>-1.43</v>
      </c>
      <c r="M141" s="229">
        <v>-1.44E-2</v>
      </c>
      <c r="N141" s="228">
        <v>97.99</v>
      </c>
      <c r="O141" s="228">
        <v>99.62</v>
      </c>
      <c r="P141" s="228">
        <v>-1.63</v>
      </c>
      <c r="Q141" s="229">
        <v>-1.6400000000000001E-2</v>
      </c>
      <c r="R141" s="228">
        <v>98.58</v>
      </c>
      <c r="S141" s="228">
        <v>100.07</v>
      </c>
      <c r="T141" s="228">
        <v>-1.49</v>
      </c>
      <c r="U141" s="229">
        <v>-1.49E-2</v>
      </c>
      <c r="V141" s="228">
        <v>99.1</v>
      </c>
      <c r="W141" s="228">
        <v>100.74</v>
      </c>
      <c r="X141" s="228">
        <v>-1.64</v>
      </c>
      <c r="Y141" s="229">
        <v>-1.6299999999999999E-2</v>
      </c>
      <c r="Z141" s="228">
        <v>0.02</v>
      </c>
      <c r="AA141" s="228">
        <v>0.22</v>
      </c>
      <c r="AB141" s="228">
        <v>-0.2</v>
      </c>
      <c r="AC141" s="229">
        <v>2.0000000000000001E-4</v>
      </c>
      <c r="AD141" s="228">
        <v>0.02</v>
      </c>
      <c r="AE141" s="228">
        <v>0.22</v>
      </c>
      <c r="AF141" s="228">
        <v>-0.2</v>
      </c>
      <c r="AG141" s="229">
        <v>2.0000000000000001E-4</v>
      </c>
      <c r="AH141" s="228">
        <v>0.61</v>
      </c>
      <c r="AI141" s="228">
        <v>0.67</v>
      </c>
      <c r="AJ141" s="228">
        <v>-0.06</v>
      </c>
      <c r="AK141" s="229">
        <v>6.1999999999999998E-3</v>
      </c>
      <c r="AL141" s="228">
        <v>1.1299999999999999</v>
      </c>
      <c r="AM141" s="228">
        <v>1.34</v>
      </c>
      <c r="AN141" s="228">
        <v>-0.21</v>
      </c>
      <c r="AO141" s="229">
        <v>1.15E-2</v>
      </c>
      <c r="AP141" s="228">
        <v>98.19</v>
      </c>
      <c r="AQ141" s="228">
        <v>98.73</v>
      </c>
      <c r="AR141" s="228">
        <v>0</v>
      </c>
      <c r="AS141" s="228">
        <v>231</v>
      </c>
      <c r="AT141" s="228">
        <v>392</v>
      </c>
      <c r="AU141" s="228">
        <v>-161</v>
      </c>
      <c r="AV141" s="229">
        <v>-0.41110000000000002</v>
      </c>
      <c r="AW141" s="228">
        <v>194</v>
      </c>
      <c r="AX141" s="228">
        <v>305</v>
      </c>
      <c r="AY141" s="228">
        <v>-111</v>
      </c>
      <c r="AZ141" s="229">
        <v>-0.36430000000000001</v>
      </c>
      <c r="BA141" s="228">
        <v>34</v>
      </c>
      <c r="BB141" s="228">
        <v>70</v>
      </c>
      <c r="BC141" s="228">
        <v>-37</v>
      </c>
      <c r="BD141" s="229">
        <v>-0.52229999999999999</v>
      </c>
      <c r="BE141" s="228">
        <v>3</v>
      </c>
      <c r="BF141" s="228">
        <v>17</v>
      </c>
      <c r="BG141" s="228">
        <v>-13</v>
      </c>
      <c r="BH141" s="229">
        <v>-0.80359999999999998</v>
      </c>
      <c r="BI141" s="228">
        <v>596</v>
      </c>
      <c r="BJ141" s="230">
        <v>1641</v>
      </c>
      <c r="BK141" s="230">
        <v>-1045</v>
      </c>
      <c r="BL141" s="229">
        <v>-0.6371</v>
      </c>
      <c r="BM141" s="228">
        <v>313</v>
      </c>
      <c r="BN141" s="228">
        <v>539</v>
      </c>
      <c r="BO141" s="228">
        <v>-226</v>
      </c>
      <c r="BP141" s="229">
        <v>-0.41959999999999997</v>
      </c>
      <c r="BQ141" s="230">
        <v>1139</v>
      </c>
      <c r="BR141" s="230">
        <v>2572</v>
      </c>
      <c r="BS141" s="230">
        <v>-1433</v>
      </c>
      <c r="BT141" s="229">
        <v>-0.55710000000000004</v>
      </c>
      <c r="BU141" s="230">
        <v>14707052</v>
      </c>
      <c r="BV141" s="230">
        <v>32556073</v>
      </c>
      <c r="BW141" s="230">
        <v>-17849021</v>
      </c>
      <c r="BX141" s="229">
        <v>-0.54830000000000001</v>
      </c>
      <c r="BY141" s="230">
        <v>1579</v>
      </c>
      <c r="BZ141" s="230">
        <v>1586</v>
      </c>
      <c r="CA141" s="228">
        <v>-8</v>
      </c>
      <c r="CB141" s="229">
        <v>-4.7999999999999996E-3</v>
      </c>
      <c r="CC141" s="230">
        <v>1476</v>
      </c>
      <c r="CD141" s="230">
        <v>1494</v>
      </c>
      <c r="CE141" s="228">
        <v>-19</v>
      </c>
      <c r="CF141" s="229">
        <v>-1.24E-2</v>
      </c>
      <c r="CG141" s="228">
        <v>83</v>
      </c>
      <c r="CH141" s="228">
        <v>72</v>
      </c>
      <c r="CI141" s="228">
        <v>10</v>
      </c>
      <c r="CJ141" s="229">
        <v>0.14419999999999999</v>
      </c>
      <c r="CK141" s="228">
        <v>20</v>
      </c>
      <c r="CL141" s="228">
        <v>20</v>
      </c>
      <c r="CM141" s="228">
        <v>0</v>
      </c>
      <c r="CN141" s="229">
        <v>2.4199999999999999E-2</v>
      </c>
      <c r="CO141" s="228">
        <v>478</v>
      </c>
      <c r="CP141" s="228">
        <v>440</v>
      </c>
      <c r="CQ141" s="228">
        <v>39</v>
      </c>
      <c r="CR141" s="229">
        <v>8.7599999999999997E-2</v>
      </c>
      <c r="CS141" s="228">
        <v>351</v>
      </c>
      <c r="CT141" s="228">
        <v>383</v>
      </c>
      <c r="CU141" s="228">
        <v>-32</v>
      </c>
      <c r="CV141" s="229">
        <v>-8.3299999999999999E-2</v>
      </c>
      <c r="CW141" s="230">
        <v>2408</v>
      </c>
      <c r="CX141" s="230">
        <v>2410</v>
      </c>
      <c r="CY141" s="228">
        <v>-1</v>
      </c>
      <c r="CZ141" s="229">
        <v>-5.0000000000000001E-4</v>
      </c>
      <c r="DA141" s="228">
        <v>32.43</v>
      </c>
      <c r="DB141" s="228">
        <v>32.76</v>
      </c>
      <c r="DC141" s="228">
        <v>-0.33</v>
      </c>
      <c r="DD141" s="228">
        <v>-0.33</v>
      </c>
      <c r="DE141" s="228">
        <v>42.22</v>
      </c>
      <c r="DF141" s="228">
        <v>42.26</v>
      </c>
      <c r="DG141" s="228">
        <v>-9.7899999999999991</v>
      </c>
      <c r="DH141" s="228">
        <v>-0.04</v>
      </c>
      <c r="DI141" s="228">
        <v>33.03</v>
      </c>
      <c r="DJ141" s="228">
        <v>32.130000000000003</v>
      </c>
      <c r="DK141" s="228">
        <v>0.9</v>
      </c>
      <c r="DL141" s="228">
        <v>0.9</v>
      </c>
      <c r="DM141" s="228">
        <v>31.28</v>
      </c>
      <c r="DN141" s="228">
        <v>34.69</v>
      </c>
      <c r="DO141" s="228">
        <v>-3.41</v>
      </c>
      <c r="DP141" s="228">
        <v>-3.41</v>
      </c>
      <c r="DQ141" s="228">
        <v>0.73</v>
      </c>
      <c r="DR141" s="228">
        <v>0.87</v>
      </c>
      <c r="DS141" s="228">
        <v>-0.14000000000000001</v>
      </c>
      <c r="DT141" s="229">
        <v>-0.16089999999999999</v>
      </c>
      <c r="DU141" s="228">
        <v>100</v>
      </c>
      <c r="DV141" s="228">
        <v>90</v>
      </c>
      <c r="DW141" s="228">
        <v>0.53</v>
      </c>
      <c r="DX141" s="228">
        <v>0.33</v>
      </c>
      <c r="DY141" s="228">
        <v>0.2</v>
      </c>
      <c r="DZ141" s="229">
        <v>0.60609999999999997</v>
      </c>
      <c r="EA141" s="229">
        <v>6.5299999999999997E-2</v>
      </c>
      <c r="EB141" s="230">
        <v>9409500</v>
      </c>
      <c r="EC141" s="229">
        <v>6.0000000000000001E-3</v>
      </c>
      <c r="ED141" s="229">
        <v>6.5299999999999997E-2</v>
      </c>
      <c r="EE141" s="228">
        <v>0.54</v>
      </c>
      <c r="EF141" s="229">
        <v>5.4999999999999997E-3</v>
      </c>
      <c r="EG141" s="230">
        <v>6601590</v>
      </c>
      <c r="EH141" s="230">
        <v>9627700</v>
      </c>
      <c r="EI141" s="229">
        <v>-0.31430000000000002</v>
      </c>
      <c r="EJ141" s="229">
        <v>0.44890000000000002</v>
      </c>
      <c r="EK141" s="228">
        <v>622.53</v>
      </c>
      <c r="EL141" s="228">
        <v>313.45</v>
      </c>
      <c r="EM141" s="228">
        <v>231.5</v>
      </c>
      <c r="EN141" s="228">
        <v>0</v>
      </c>
      <c r="EO141" s="231">
        <v>1167.48</v>
      </c>
      <c r="EP141" s="231">
        <v>2630.72</v>
      </c>
      <c r="EQ141" s="231">
        <v>-1463.25</v>
      </c>
      <c r="ER141" s="229">
        <v>-0.55620000000000003</v>
      </c>
      <c r="ES141" s="228">
        <v>500.89</v>
      </c>
      <c r="ET141" s="228">
        <v>334.46</v>
      </c>
      <c r="EU141" s="231">
        <v>1579.52</v>
      </c>
      <c r="EV141" s="231">
        <v>1085045697</v>
      </c>
      <c r="EW141" s="231">
        <v>2414.88</v>
      </c>
      <c r="EX141" s="231">
        <v>2439.2199999999998</v>
      </c>
      <c r="EY141" s="228">
        <v>-24.34</v>
      </c>
      <c r="EZ141" s="229">
        <v>-0.01</v>
      </c>
      <c r="FA141" s="229">
        <v>0.22650000000000001</v>
      </c>
      <c r="FB141" s="227" t="s">
        <v>568</v>
      </c>
      <c r="FC141">
        <f t="shared" si="2"/>
        <v>103</v>
      </c>
    </row>
    <row r="142" spans="1:159" ht="17.25" thickBot="1" x14ac:dyDescent="0.3">
      <c r="A142" s="226">
        <v>45889</v>
      </c>
      <c r="B142" s="227" t="s">
        <v>221</v>
      </c>
      <c r="C142" s="227" t="s">
        <v>487</v>
      </c>
      <c r="D142" s="228">
        <v>275</v>
      </c>
      <c r="E142" s="228">
        <v>8</v>
      </c>
      <c r="F142" s="231">
        <v>2838.9</v>
      </c>
      <c r="G142" s="231">
        <v>2745.7</v>
      </c>
      <c r="H142" s="228">
        <v>93.2</v>
      </c>
      <c r="I142" s="229">
        <v>3.39E-2</v>
      </c>
      <c r="J142" s="231">
        <v>2835.5</v>
      </c>
      <c r="K142" s="231">
        <v>2742.6</v>
      </c>
      <c r="L142" s="228">
        <v>92.9</v>
      </c>
      <c r="M142" s="229">
        <v>3.39E-2</v>
      </c>
      <c r="N142" s="231">
        <v>2838.9</v>
      </c>
      <c r="O142" s="231">
        <v>2745.7</v>
      </c>
      <c r="P142" s="228">
        <v>93.2</v>
      </c>
      <c r="Q142" s="229">
        <v>3.39E-2</v>
      </c>
      <c r="R142" s="231">
        <v>2853.8</v>
      </c>
      <c r="S142" s="231">
        <v>2761</v>
      </c>
      <c r="T142" s="228">
        <v>92.8</v>
      </c>
      <c r="U142" s="229">
        <v>3.3599999999999998E-2</v>
      </c>
      <c r="V142" s="231">
        <v>2869</v>
      </c>
      <c r="W142" s="231">
        <v>2769.6</v>
      </c>
      <c r="X142" s="228">
        <v>99.4</v>
      </c>
      <c r="Y142" s="229">
        <v>3.5900000000000001E-2</v>
      </c>
      <c r="Z142" s="228">
        <v>3.4</v>
      </c>
      <c r="AA142" s="228">
        <v>3.1</v>
      </c>
      <c r="AB142" s="228">
        <v>0.3</v>
      </c>
      <c r="AC142" s="229">
        <v>1.1999999999999999E-3</v>
      </c>
      <c r="AD142" s="228">
        <v>3.4</v>
      </c>
      <c r="AE142" s="228">
        <v>3.1</v>
      </c>
      <c r="AF142" s="228">
        <v>0.3</v>
      </c>
      <c r="AG142" s="229">
        <v>1.1999999999999999E-3</v>
      </c>
      <c r="AH142" s="228">
        <v>18.3</v>
      </c>
      <c r="AI142" s="228">
        <v>18.399999999999999</v>
      </c>
      <c r="AJ142" s="228">
        <v>-0.1</v>
      </c>
      <c r="AK142" s="229">
        <v>6.4999999999999997E-3</v>
      </c>
      <c r="AL142" s="228">
        <v>33.5</v>
      </c>
      <c r="AM142" s="228">
        <v>27</v>
      </c>
      <c r="AN142" s="228">
        <v>6.5</v>
      </c>
      <c r="AO142" s="229">
        <v>1.18E-2</v>
      </c>
      <c r="AP142" s="231">
        <v>2801.09</v>
      </c>
      <c r="AQ142" s="231">
        <v>2813.29</v>
      </c>
      <c r="AR142" s="228">
        <v>0</v>
      </c>
      <c r="AS142" s="228">
        <v>494</v>
      </c>
      <c r="AT142" s="228">
        <v>131</v>
      </c>
      <c r="AU142" s="228">
        <v>363</v>
      </c>
      <c r="AV142" s="229">
        <v>2.7667000000000002</v>
      </c>
      <c r="AW142" s="228">
        <v>437</v>
      </c>
      <c r="AX142" s="228">
        <v>121</v>
      </c>
      <c r="AY142" s="228">
        <v>315</v>
      </c>
      <c r="AZ142" s="229">
        <v>2.5981000000000001</v>
      </c>
      <c r="BA142" s="228">
        <v>55</v>
      </c>
      <c r="BB142" s="228">
        <v>10</v>
      </c>
      <c r="BC142" s="228">
        <v>46</v>
      </c>
      <c r="BD142" s="229">
        <v>4.8197000000000001</v>
      </c>
      <c r="BE142" s="228">
        <v>2</v>
      </c>
      <c r="BF142" s="228">
        <v>0</v>
      </c>
      <c r="BG142" s="228">
        <v>2</v>
      </c>
      <c r="BH142" s="229">
        <v>6.6666999999999996</v>
      </c>
      <c r="BI142" s="230">
        <v>1648</v>
      </c>
      <c r="BJ142" s="228">
        <v>268</v>
      </c>
      <c r="BK142" s="230">
        <v>1380</v>
      </c>
      <c r="BL142" s="229">
        <v>5.1502999999999997</v>
      </c>
      <c r="BM142" s="228">
        <v>572</v>
      </c>
      <c r="BN142" s="228">
        <v>73</v>
      </c>
      <c r="BO142" s="228">
        <v>499</v>
      </c>
      <c r="BP142" s="229">
        <v>6.87</v>
      </c>
      <c r="BQ142" s="230">
        <v>2714</v>
      </c>
      <c r="BR142" s="228">
        <v>472</v>
      </c>
      <c r="BS142" s="230">
        <v>2243</v>
      </c>
      <c r="BT142" s="229">
        <v>4.7526000000000002</v>
      </c>
      <c r="BU142" s="230">
        <v>496579</v>
      </c>
      <c r="BV142" s="230">
        <v>185182</v>
      </c>
      <c r="BW142" s="230">
        <v>311397</v>
      </c>
      <c r="BX142" s="229">
        <v>1.6816</v>
      </c>
      <c r="BY142" s="230">
        <v>1182</v>
      </c>
      <c r="BZ142" s="230">
        <v>1158</v>
      </c>
      <c r="CA142" s="228">
        <v>24</v>
      </c>
      <c r="CB142" s="229">
        <v>2.1000000000000001E-2</v>
      </c>
      <c r="CC142" s="230">
        <v>1145</v>
      </c>
      <c r="CD142" s="230">
        <v>1139</v>
      </c>
      <c r="CE142" s="228">
        <v>6</v>
      </c>
      <c r="CF142" s="229">
        <v>5.0000000000000001E-3</v>
      </c>
      <c r="CG142" s="228">
        <v>36</v>
      </c>
      <c r="CH142" s="228">
        <v>17</v>
      </c>
      <c r="CI142" s="228">
        <v>19</v>
      </c>
      <c r="CJ142" s="229">
        <v>1.1106</v>
      </c>
      <c r="CK142" s="228">
        <v>2</v>
      </c>
      <c r="CL142" s="228">
        <v>2</v>
      </c>
      <c r="CM142" s="228">
        <v>0</v>
      </c>
      <c r="CN142" s="229">
        <v>-8.6999999999999994E-2</v>
      </c>
      <c r="CO142" s="228">
        <v>237</v>
      </c>
      <c r="CP142" s="228">
        <v>234</v>
      </c>
      <c r="CQ142" s="228">
        <v>2</v>
      </c>
      <c r="CR142" s="229">
        <v>1.0699999999999999E-2</v>
      </c>
      <c r="CS142" s="228">
        <v>176</v>
      </c>
      <c r="CT142" s="228">
        <v>127</v>
      </c>
      <c r="CU142" s="228">
        <v>49</v>
      </c>
      <c r="CV142" s="229">
        <v>0.38450000000000001</v>
      </c>
      <c r="CW142" s="230">
        <v>1595</v>
      </c>
      <c r="CX142" s="230">
        <v>1519</v>
      </c>
      <c r="CY142" s="228">
        <v>76</v>
      </c>
      <c r="CZ142" s="229">
        <v>4.99E-2</v>
      </c>
      <c r="DA142" s="228">
        <v>29.87</v>
      </c>
      <c r="DB142" s="228">
        <v>30.26</v>
      </c>
      <c r="DC142" s="228">
        <v>-0.39</v>
      </c>
      <c r="DD142" s="228">
        <v>-0.39</v>
      </c>
      <c r="DE142" s="228">
        <v>38.18</v>
      </c>
      <c r="DF142" s="228">
        <v>38.01</v>
      </c>
      <c r="DG142" s="228">
        <v>-8.31</v>
      </c>
      <c r="DH142" s="228">
        <v>0.17</v>
      </c>
      <c r="DI142" s="228">
        <v>29.11</v>
      </c>
      <c r="DJ142" s="228">
        <v>30.01</v>
      </c>
      <c r="DK142" s="228">
        <v>-0.9</v>
      </c>
      <c r="DL142" s="228">
        <v>-0.9</v>
      </c>
      <c r="DM142" s="228">
        <v>32.06</v>
      </c>
      <c r="DN142" s="228">
        <v>31.19</v>
      </c>
      <c r="DO142" s="228">
        <v>0.87</v>
      </c>
      <c r="DP142" s="228">
        <v>0.87</v>
      </c>
      <c r="DQ142" s="228">
        <v>0.74</v>
      </c>
      <c r="DR142" s="228">
        <v>0.54</v>
      </c>
      <c r="DS142" s="228">
        <v>0.2</v>
      </c>
      <c r="DT142" s="229">
        <v>0.37040000000000001</v>
      </c>
      <c r="DU142" s="231">
        <v>2800</v>
      </c>
      <c r="DV142" s="231">
        <v>2700</v>
      </c>
      <c r="DW142" s="228">
        <v>0.35</v>
      </c>
      <c r="DX142" s="228">
        <v>0.27</v>
      </c>
      <c r="DY142" s="228">
        <v>0.08</v>
      </c>
      <c r="DZ142" s="229">
        <v>0.29630000000000001</v>
      </c>
      <c r="EA142" s="229">
        <v>3.1600000000000003E-2</v>
      </c>
      <c r="EB142" s="230">
        <v>66000</v>
      </c>
      <c r="EC142" s="229">
        <v>5.1999999999999998E-3</v>
      </c>
      <c r="ED142" s="229">
        <v>3.1600000000000003E-2</v>
      </c>
      <c r="EE142" s="228">
        <v>12.2</v>
      </c>
      <c r="EF142" s="229">
        <v>4.4000000000000003E-3</v>
      </c>
      <c r="EG142" s="230">
        <v>156353</v>
      </c>
      <c r="EH142" s="230">
        <v>82164</v>
      </c>
      <c r="EI142" s="229">
        <v>0.90290000000000004</v>
      </c>
      <c r="EJ142" s="229">
        <v>0.31490000000000001</v>
      </c>
      <c r="EK142" s="231">
        <v>1665.71</v>
      </c>
      <c r="EL142" s="228">
        <v>548.33000000000004</v>
      </c>
      <c r="EM142" s="228">
        <v>487.7</v>
      </c>
      <c r="EN142" s="228">
        <v>0</v>
      </c>
      <c r="EO142" s="231">
        <v>2701.74</v>
      </c>
      <c r="EP142" s="228">
        <v>461.1</v>
      </c>
      <c r="EQ142" s="231">
        <v>2240.64</v>
      </c>
      <c r="ER142" s="229">
        <v>4.8593999999999999</v>
      </c>
      <c r="ES142" s="228">
        <v>238.71</v>
      </c>
      <c r="ET142" s="228">
        <v>165.54</v>
      </c>
      <c r="EU142" s="231">
        <v>1182.3399999999999</v>
      </c>
      <c r="EV142" s="231">
        <v>22789603</v>
      </c>
      <c r="EW142" s="231">
        <v>1586.59</v>
      </c>
      <c r="EX142" s="231">
        <v>1473.69</v>
      </c>
      <c r="EY142" s="228">
        <v>112.9</v>
      </c>
      <c r="EZ142" s="229">
        <v>7.6600000000000001E-2</v>
      </c>
      <c r="FA142" s="229">
        <v>0.2465</v>
      </c>
      <c r="FB142" s="227" t="s">
        <v>555</v>
      </c>
      <c r="FC142">
        <f t="shared" si="2"/>
        <v>37</v>
      </c>
    </row>
    <row r="143" spans="1:159" ht="17.25" thickBot="1" x14ac:dyDescent="0.3">
      <c r="A143" s="226">
        <v>45889</v>
      </c>
      <c r="B143" s="227" t="s">
        <v>175</v>
      </c>
      <c r="C143" s="227" t="s">
        <v>262</v>
      </c>
      <c r="D143" s="228">
        <v>275</v>
      </c>
      <c r="E143" s="228">
        <v>8</v>
      </c>
      <c r="F143" s="231">
        <v>2687.5</v>
      </c>
      <c r="G143" s="231">
        <v>2750</v>
      </c>
      <c r="H143" s="228">
        <v>-62.5</v>
      </c>
      <c r="I143" s="229">
        <v>-2.2700000000000001E-2</v>
      </c>
      <c r="J143" s="231">
        <v>2683.9</v>
      </c>
      <c r="K143" s="231">
        <v>2747.2</v>
      </c>
      <c r="L143" s="228">
        <v>-63.3</v>
      </c>
      <c r="M143" s="229">
        <v>-2.3E-2</v>
      </c>
      <c r="N143" s="231">
        <v>2687.5</v>
      </c>
      <c r="O143" s="231">
        <v>2750</v>
      </c>
      <c r="P143" s="228">
        <v>-62.5</v>
      </c>
      <c r="Q143" s="229">
        <v>-2.2700000000000001E-2</v>
      </c>
      <c r="R143" s="231">
        <v>2702.8</v>
      </c>
      <c r="S143" s="231">
        <v>2765</v>
      </c>
      <c r="T143" s="228">
        <v>-62.2</v>
      </c>
      <c r="U143" s="229">
        <v>-2.2499999999999999E-2</v>
      </c>
      <c r="V143" s="231">
        <v>2716.2</v>
      </c>
      <c r="W143" s="231">
        <v>2768</v>
      </c>
      <c r="X143" s="228">
        <v>-51.8</v>
      </c>
      <c r="Y143" s="229">
        <v>-1.8700000000000001E-2</v>
      </c>
      <c r="Z143" s="228">
        <v>3.6</v>
      </c>
      <c r="AA143" s="228">
        <v>2.8</v>
      </c>
      <c r="AB143" s="228">
        <v>0.8</v>
      </c>
      <c r="AC143" s="229">
        <v>1.2999999999999999E-3</v>
      </c>
      <c r="AD143" s="228">
        <v>3.6</v>
      </c>
      <c r="AE143" s="228">
        <v>2.8</v>
      </c>
      <c r="AF143" s="228">
        <v>0.8</v>
      </c>
      <c r="AG143" s="229">
        <v>1.2999999999999999E-3</v>
      </c>
      <c r="AH143" s="228">
        <v>18.899999999999999</v>
      </c>
      <c r="AI143" s="228">
        <v>17.8</v>
      </c>
      <c r="AJ143" s="228">
        <v>1.1000000000000001</v>
      </c>
      <c r="AK143" s="229">
        <v>7.0000000000000001E-3</v>
      </c>
      <c r="AL143" s="228">
        <v>32.299999999999997</v>
      </c>
      <c r="AM143" s="228">
        <v>20.8</v>
      </c>
      <c r="AN143" s="228">
        <v>11.5</v>
      </c>
      <c r="AO143" s="229">
        <v>1.2E-2</v>
      </c>
      <c r="AP143" s="231">
        <v>2687.4</v>
      </c>
      <c r="AQ143" s="231">
        <v>2703.98</v>
      </c>
      <c r="AR143" s="228">
        <v>0</v>
      </c>
      <c r="AS143" s="228">
        <v>392</v>
      </c>
      <c r="AT143" s="228">
        <v>412</v>
      </c>
      <c r="AU143" s="228">
        <v>-20</v>
      </c>
      <c r="AV143" s="229">
        <v>-4.8099999999999997E-2</v>
      </c>
      <c r="AW143" s="228">
        <v>314</v>
      </c>
      <c r="AX143" s="228">
        <v>331</v>
      </c>
      <c r="AY143" s="228">
        <v>-17</v>
      </c>
      <c r="AZ143" s="229">
        <v>-5.0900000000000001E-2</v>
      </c>
      <c r="BA143" s="228">
        <v>74</v>
      </c>
      <c r="BB143" s="228">
        <v>77</v>
      </c>
      <c r="BC143" s="228">
        <v>-2</v>
      </c>
      <c r="BD143" s="229">
        <v>-2.98E-2</v>
      </c>
      <c r="BE143" s="228">
        <v>3</v>
      </c>
      <c r="BF143" s="228">
        <v>4</v>
      </c>
      <c r="BG143" s="228">
        <v>-1</v>
      </c>
      <c r="BH143" s="229">
        <v>-0.18</v>
      </c>
      <c r="BI143" s="230">
        <v>2747</v>
      </c>
      <c r="BJ143" s="230">
        <v>1813</v>
      </c>
      <c r="BK143" s="228">
        <v>934</v>
      </c>
      <c r="BL143" s="229">
        <v>0.51500000000000001</v>
      </c>
      <c r="BM143" s="230">
        <v>2754</v>
      </c>
      <c r="BN143" s="230">
        <v>1252</v>
      </c>
      <c r="BO143" s="230">
        <v>1502</v>
      </c>
      <c r="BP143" s="229">
        <v>1.1995</v>
      </c>
      <c r="BQ143" s="230">
        <v>5893</v>
      </c>
      <c r="BR143" s="230">
        <v>3477</v>
      </c>
      <c r="BS143" s="230">
        <v>2416</v>
      </c>
      <c r="BT143" s="229">
        <v>0.69479999999999997</v>
      </c>
      <c r="BU143" s="230">
        <v>662178</v>
      </c>
      <c r="BV143" s="230">
        <v>400928</v>
      </c>
      <c r="BW143" s="230">
        <v>261250</v>
      </c>
      <c r="BX143" s="229">
        <v>0.65159999999999996</v>
      </c>
      <c r="BY143" s="230">
        <v>1099</v>
      </c>
      <c r="BZ143" s="230">
        <v>1082</v>
      </c>
      <c r="CA143" s="228">
        <v>18</v>
      </c>
      <c r="CB143" s="229">
        <v>1.6500000000000001E-2</v>
      </c>
      <c r="CC143" s="228">
        <v>958</v>
      </c>
      <c r="CD143" s="228">
        <v>963</v>
      </c>
      <c r="CE143" s="228">
        <v>-5</v>
      </c>
      <c r="CF143" s="229">
        <v>-5.7000000000000002E-3</v>
      </c>
      <c r="CG143" s="228">
        <v>134</v>
      </c>
      <c r="CH143" s="228">
        <v>110</v>
      </c>
      <c r="CI143" s="228">
        <v>24</v>
      </c>
      <c r="CJ143" s="229">
        <v>0.21429999999999999</v>
      </c>
      <c r="CK143" s="228">
        <v>8</v>
      </c>
      <c r="CL143" s="228">
        <v>8</v>
      </c>
      <c r="CM143" s="228">
        <v>0</v>
      </c>
      <c r="CN143" s="229">
        <v>-4.6699999999999998E-2</v>
      </c>
      <c r="CO143" s="230">
        <v>1535</v>
      </c>
      <c r="CP143" s="230">
        <v>1367</v>
      </c>
      <c r="CQ143" s="228">
        <v>169</v>
      </c>
      <c r="CR143" s="229">
        <v>0.1234</v>
      </c>
      <c r="CS143" s="228">
        <v>886</v>
      </c>
      <c r="CT143" s="228">
        <v>885</v>
      </c>
      <c r="CU143" s="228">
        <v>1</v>
      </c>
      <c r="CV143" s="229">
        <v>8.0000000000000004E-4</v>
      </c>
      <c r="CW143" s="230">
        <v>3520</v>
      </c>
      <c r="CX143" s="230">
        <v>3333</v>
      </c>
      <c r="CY143" s="228">
        <v>187</v>
      </c>
      <c r="CZ143" s="229">
        <v>5.62E-2</v>
      </c>
      <c r="DA143" s="228">
        <v>27.82</v>
      </c>
      <c r="DB143" s="228">
        <v>29.96</v>
      </c>
      <c r="DC143" s="228">
        <v>-2.14</v>
      </c>
      <c r="DD143" s="228">
        <v>-2.14</v>
      </c>
      <c r="DE143" s="228">
        <v>37.64</v>
      </c>
      <c r="DF143" s="228">
        <v>37.61</v>
      </c>
      <c r="DG143" s="228">
        <v>-9.82</v>
      </c>
      <c r="DH143" s="228">
        <v>0.03</v>
      </c>
      <c r="DI143" s="228">
        <v>28.94</v>
      </c>
      <c r="DJ143" s="228">
        <v>29.02</v>
      </c>
      <c r="DK143" s="228">
        <v>-0.08</v>
      </c>
      <c r="DL143" s="228">
        <v>-0.08</v>
      </c>
      <c r="DM143" s="228">
        <v>26.7</v>
      </c>
      <c r="DN143" s="228">
        <v>31.33</v>
      </c>
      <c r="DO143" s="228">
        <v>-4.63</v>
      </c>
      <c r="DP143" s="228">
        <v>-4.63</v>
      </c>
      <c r="DQ143" s="228">
        <v>0.57999999999999996</v>
      </c>
      <c r="DR143" s="228">
        <v>0.65</v>
      </c>
      <c r="DS143" s="228">
        <v>-7.0000000000000007E-2</v>
      </c>
      <c r="DT143" s="229">
        <v>-0.1077</v>
      </c>
      <c r="DU143" s="231">
        <v>2800</v>
      </c>
      <c r="DV143" s="231">
        <v>2500</v>
      </c>
      <c r="DW143" s="228">
        <v>1</v>
      </c>
      <c r="DX143" s="228">
        <v>0.69</v>
      </c>
      <c r="DY143" s="228">
        <v>0.31</v>
      </c>
      <c r="DZ143" s="229">
        <v>0.44929999999999998</v>
      </c>
      <c r="EA143" s="229">
        <v>0.12870000000000001</v>
      </c>
      <c r="EB143" s="230">
        <v>440000</v>
      </c>
      <c r="EC143" s="229">
        <v>5.7000000000000002E-3</v>
      </c>
      <c r="ED143" s="229">
        <v>0.12870000000000001</v>
      </c>
      <c r="EE143" s="228">
        <v>16.579999999999998</v>
      </c>
      <c r="EF143" s="229">
        <v>6.1999999999999998E-3</v>
      </c>
      <c r="EG143" s="230">
        <v>230495</v>
      </c>
      <c r="EH143" s="230">
        <v>164763</v>
      </c>
      <c r="EI143" s="229">
        <v>0.39889999999999998</v>
      </c>
      <c r="EJ143" s="229">
        <v>0.34810000000000002</v>
      </c>
      <c r="EK143" s="231">
        <v>2896.78</v>
      </c>
      <c r="EL143" s="231">
        <v>2717.28</v>
      </c>
      <c r="EM143" s="228">
        <v>392.33</v>
      </c>
      <c r="EN143" s="228">
        <v>0</v>
      </c>
      <c r="EO143" s="231">
        <v>6006.38</v>
      </c>
      <c r="EP143" s="231">
        <v>3605.65</v>
      </c>
      <c r="EQ143" s="231">
        <v>2400.73</v>
      </c>
      <c r="ER143" s="229">
        <v>0.66579999999999995</v>
      </c>
      <c r="ES143" s="231">
        <v>1605.5</v>
      </c>
      <c r="ET143" s="228">
        <v>850.25</v>
      </c>
      <c r="EU143" s="231">
        <v>1100.27</v>
      </c>
      <c r="EV143" s="231">
        <v>21400920</v>
      </c>
      <c r="EW143" s="231">
        <v>3556.03</v>
      </c>
      <c r="EX143" s="231">
        <v>3394.19</v>
      </c>
      <c r="EY143" s="228">
        <v>161.84</v>
      </c>
      <c r="EZ143" s="229">
        <v>4.7699999999999999E-2</v>
      </c>
      <c r="FA143" s="229">
        <v>0.61199999999999999</v>
      </c>
      <c r="FB143" s="227" t="s">
        <v>567</v>
      </c>
      <c r="FC143">
        <f t="shared" si="2"/>
        <v>141</v>
      </c>
    </row>
    <row r="144" spans="1:159" ht="17.25" thickBot="1" x14ac:dyDescent="0.3">
      <c r="A144" s="226">
        <v>45889</v>
      </c>
      <c r="B144" s="227" t="s">
        <v>227</v>
      </c>
      <c r="C144" s="227" t="s">
        <v>263</v>
      </c>
      <c r="D144" s="228">
        <v>3750</v>
      </c>
      <c r="E144" s="228">
        <v>8</v>
      </c>
      <c r="F144" s="228">
        <v>192.3</v>
      </c>
      <c r="G144" s="228">
        <v>191.89</v>
      </c>
      <c r="H144" s="228">
        <v>0.41</v>
      </c>
      <c r="I144" s="229">
        <v>2.0999999999999999E-3</v>
      </c>
      <c r="J144" s="228">
        <v>192.22</v>
      </c>
      <c r="K144" s="228">
        <v>191.31</v>
      </c>
      <c r="L144" s="228">
        <v>0.91</v>
      </c>
      <c r="M144" s="229">
        <v>4.7999999999999996E-3</v>
      </c>
      <c r="N144" s="228">
        <v>192.3</v>
      </c>
      <c r="O144" s="228">
        <v>191.89</v>
      </c>
      <c r="P144" s="228">
        <v>0.41</v>
      </c>
      <c r="Q144" s="229">
        <v>2.0999999999999999E-3</v>
      </c>
      <c r="R144" s="228">
        <v>191.3</v>
      </c>
      <c r="S144" s="228">
        <v>190.54</v>
      </c>
      <c r="T144" s="228">
        <v>0.76</v>
      </c>
      <c r="U144" s="229">
        <v>4.0000000000000001E-3</v>
      </c>
      <c r="V144" s="228">
        <v>192.12</v>
      </c>
      <c r="W144" s="228">
        <v>191.45</v>
      </c>
      <c r="X144" s="228">
        <v>0.67</v>
      </c>
      <c r="Y144" s="229">
        <v>3.5000000000000001E-3</v>
      </c>
      <c r="Z144" s="228">
        <v>0.08</v>
      </c>
      <c r="AA144" s="228">
        <v>0.57999999999999996</v>
      </c>
      <c r="AB144" s="228">
        <v>-0.5</v>
      </c>
      <c r="AC144" s="229">
        <v>4.0000000000000002E-4</v>
      </c>
      <c r="AD144" s="228">
        <v>0.08</v>
      </c>
      <c r="AE144" s="228">
        <v>0.57999999999999996</v>
      </c>
      <c r="AF144" s="228">
        <v>-0.5</v>
      </c>
      <c r="AG144" s="229">
        <v>4.0000000000000002E-4</v>
      </c>
      <c r="AH144" s="228">
        <v>-0.92</v>
      </c>
      <c r="AI144" s="228">
        <v>-0.77</v>
      </c>
      <c r="AJ144" s="228">
        <v>-0.15</v>
      </c>
      <c r="AK144" s="229">
        <v>-4.7999999999999996E-3</v>
      </c>
      <c r="AL144" s="228">
        <v>-0.1</v>
      </c>
      <c r="AM144" s="228">
        <v>0.14000000000000001</v>
      </c>
      <c r="AN144" s="228">
        <v>-0.24</v>
      </c>
      <c r="AO144" s="229">
        <v>-5.0000000000000001E-4</v>
      </c>
      <c r="AP144" s="228">
        <v>191.77</v>
      </c>
      <c r="AQ144" s="228">
        <v>190.85</v>
      </c>
      <c r="AR144" s="228">
        <v>0</v>
      </c>
      <c r="AS144" s="228">
        <v>296</v>
      </c>
      <c r="AT144" s="228">
        <v>278</v>
      </c>
      <c r="AU144" s="228">
        <v>18</v>
      </c>
      <c r="AV144" s="229">
        <v>6.4100000000000004E-2</v>
      </c>
      <c r="AW144" s="228">
        <v>191</v>
      </c>
      <c r="AX144" s="228">
        <v>232</v>
      </c>
      <c r="AY144" s="228">
        <v>-41</v>
      </c>
      <c r="AZ144" s="229">
        <v>-0.1774</v>
      </c>
      <c r="BA144" s="228">
        <v>102</v>
      </c>
      <c r="BB144" s="228">
        <v>45</v>
      </c>
      <c r="BC144" s="228">
        <v>57</v>
      </c>
      <c r="BD144" s="229">
        <v>1.2823</v>
      </c>
      <c r="BE144" s="228">
        <v>3</v>
      </c>
      <c r="BF144" s="228">
        <v>1</v>
      </c>
      <c r="BG144" s="228">
        <v>2</v>
      </c>
      <c r="BH144" s="229">
        <v>1.6429</v>
      </c>
      <c r="BI144" s="228">
        <v>488</v>
      </c>
      <c r="BJ144" s="228">
        <v>414</v>
      </c>
      <c r="BK144" s="228">
        <v>74</v>
      </c>
      <c r="BL144" s="229">
        <v>0.17949999999999999</v>
      </c>
      <c r="BM144" s="228">
        <v>254</v>
      </c>
      <c r="BN144" s="228">
        <v>301</v>
      </c>
      <c r="BO144" s="228">
        <v>-47</v>
      </c>
      <c r="BP144" s="229">
        <v>-0.15590000000000001</v>
      </c>
      <c r="BQ144" s="230">
        <v>1038</v>
      </c>
      <c r="BR144" s="228">
        <v>993</v>
      </c>
      <c r="BS144" s="228">
        <v>45</v>
      </c>
      <c r="BT144" s="229">
        <v>4.5499999999999999E-2</v>
      </c>
      <c r="BU144" s="230">
        <v>4742309</v>
      </c>
      <c r="BV144" s="230">
        <v>6005192</v>
      </c>
      <c r="BW144" s="230">
        <v>-1262883</v>
      </c>
      <c r="BX144" s="229">
        <v>-0.21029999999999999</v>
      </c>
      <c r="BY144" s="230">
        <v>1336</v>
      </c>
      <c r="BZ144" s="230">
        <v>1317</v>
      </c>
      <c r="CA144" s="228">
        <v>20</v>
      </c>
      <c r="CB144" s="229">
        <v>1.5100000000000001E-2</v>
      </c>
      <c r="CC144" s="230">
        <v>1134</v>
      </c>
      <c r="CD144" s="230">
        <v>1175</v>
      </c>
      <c r="CE144" s="228">
        <v>-41</v>
      </c>
      <c r="CF144" s="229">
        <v>-3.4700000000000002E-2</v>
      </c>
      <c r="CG144" s="228">
        <v>198</v>
      </c>
      <c r="CH144" s="228">
        <v>138</v>
      </c>
      <c r="CI144" s="228">
        <v>60</v>
      </c>
      <c r="CJ144" s="229">
        <v>0.43359999999999999</v>
      </c>
      <c r="CK144" s="228">
        <v>4</v>
      </c>
      <c r="CL144" s="228">
        <v>3</v>
      </c>
      <c r="CM144" s="228">
        <v>1</v>
      </c>
      <c r="CN144" s="229">
        <v>0.27079999999999999</v>
      </c>
      <c r="CO144" s="228">
        <v>471</v>
      </c>
      <c r="CP144" s="228">
        <v>453</v>
      </c>
      <c r="CQ144" s="228">
        <v>18</v>
      </c>
      <c r="CR144" s="229">
        <v>4.0599999999999997E-2</v>
      </c>
      <c r="CS144" s="228">
        <v>363</v>
      </c>
      <c r="CT144" s="228">
        <v>349</v>
      </c>
      <c r="CU144" s="228">
        <v>15</v>
      </c>
      <c r="CV144" s="229">
        <v>4.2000000000000003E-2</v>
      </c>
      <c r="CW144" s="230">
        <v>2171</v>
      </c>
      <c r="CX144" s="230">
        <v>2118</v>
      </c>
      <c r="CY144" s="228">
        <v>53</v>
      </c>
      <c r="CZ144" s="229">
        <v>2.5000000000000001E-2</v>
      </c>
      <c r="DA144" s="228">
        <v>29.53</v>
      </c>
      <c r="DB144" s="228">
        <v>29.33</v>
      </c>
      <c r="DC144" s="228">
        <v>0.2</v>
      </c>
      <c r="DD144" s="228">
        <v>0.2</v>
      </c>
      <c r="DE144" s="228">
        <v>49.69</v>
      </c>
      <c r="DF144" s="228">
        <v>49.81</v>
      </c>
      <c r="DG144" s="228">
        <v>-20.16</v>
      </c>
      <c r="DH144" s="228">
        <v>-0.12</v>
      </c>
      <c r="DI144" s="228">
        <v>28.99</v>
      </c>
      <c r="DJ144" s="228">
        <v>28.64</v>
      </c>
      <c r="DK144" s="228">
        <v>0.35</v>
      </c>
      <c r="DL144" s="228">
        <v>0.35</v>
      </c>
      <c r="DM144" s="228">
        <v>30.58</v>
      </c>
      <c r="DN144" s="228">
        <v>30.28</v>
      </c>
      <c r="DO144" s="228">
        <v>0.3</v>
      </c>
      <c r="DP144" s="228">
        <v>0.3</v>
      </c>
      <c r="DQ144" s="228">
        <v>0.77</v>
      </c>
      <c r="DR144" s="228">
        <v>0.77</v>
      </c>
      <c r="DS144" s="228">
        <v>0</v>
      </c>
      <c r="DT144" s="229">
        <v>0</v>
      </c>
      <c r="DU144" s="228">
        <v>200</v>
      </c>
      <c r="DV144" s="228">
        <v>180</v>
      </c>
      <c r="DW144" s="228">
        <v>0.52</v>
      </c>
      <c r="DX144" s="228">
        <v>0.73</v>
      </c>
      <c r="DY144" s="228">
        <v>-0.21</v>
      </c>
      <c r="DZ144" s="229">
        <v>-0.28770000000000001</v>
      </c>
      <c r="EA144" s="229">
        <v>0.1512</v>
      </c>
      <c r="EB144" s="230">
        <v>7350000</v>
      </c>
      <c r="EC144" s="229">
        <v>-5.1999999999999998E-3</v>
      </c>
      <c r="ED144" s="229">
        <v>0.1512</v>
      </c>
      <c r="EE144" s="228">
        <v>-0.92</v>
      </c>
      <c r="EF144" s="229">
        <v>-4.7999999999999996E-3</v>
      </c>
      <c r="EG144" s="230">
        <v>1707032</v>
      </c>
      <c r="EH144" s="230">
        <v>2112879</v>
      </c>
      <c r="EI144" s="229">
        <v>-0.19209999999999999</v>
      </c>
      <c r="EJ144" s="229">
        <v>0.36</v>
      </c>
      <c r="EK144" s="228">
        <v>504.34</v>
      </c>
      <c r="EL144" s="228">
        <v>255.05</v>
      </c>
      <c r="EM144" s="228">
        <v>294.27999999999997</v>
      </c>
      <c r="EN144" s="228">
        <v>0</v>
      </c>
      <c r="EO144" s="231">
        <v>1053.67</v>
      </c>
      <c r="EP144" s="228">
        <v>998.37</v>
      </c>
      <c r="EQ144" s="228">
        <v>55.3</v>
      </c>
      <c r="ER144" s="229">
        <v>5.5399999999999998E-2</v>
      </c>
      <c r="ES144" s="228">
        <v>483.98</v>
      </c>
      <c r="ET144" s="228">
        <v>351.4</v>
      </c>
      <c r="EU144" s="231">
        <v>1335.43</v>
      </c>
      <c r="EV144" s="231">
        <v>178967755</v>
      </c>
      <c r="EW144" s="231">
        <v>2170.81</v>
      </c>
      <c r="EX144" s="231">
        <v>2115.2800000000002</v>
      </c>
      <c r="EY144" s="228">
        <v>55.53</v>
      </c>
      <c r="EZ144" s="229">
        <v>2.63E-2</v>
      </c>
      <c r="FA144" s="229">
        <v>0.63080000000000003</v>
      </c>
      <c r="FB144" s="227" t="s">
        <v>555</v>
      </c>
      <c r="FC144">
        <f t="shared" si="2"/>
        <v>202</v>
      </c>
    </row>
    <row r="145" spans="1:159" ht="17.25" thickBot="1" x14ac:dyDescent="0.3">
      <c r="A145" s="226">
        <v>45889</v>
      </c>
      <c r="B145" s="227" t="s">
        <v>616</v>
      </c>
      <c r="C145" s="227" t="s">
        <v>264</v>
      </c>
      <c r="D145" s="228">
        <v>375</v>
      </c>
      <c r="E145" s="228">
        <v>8</v>
      </c>
      <c r="F145" s="231">
        <v>1400.1</v>
      </c>
      <c r="G145" s="231">
        <v>1383.8</v>
      </c>
      <c r="H145" s="228">
        <v>16.3</v>
      </c>
      <c r="I145" s="229">
        <v>1.18E-2</v>
      </c>
      <c r="J145" s="231">
        <v>1395.5</v>
      </c>
      <c r="K145" s="231">
        <v>1380.8</v>
      </c>
      <c r="L145" s="228">
        <v>14.7</v>
      </c>
      <c r="M145" s="229">
        <v>1.06E-2</v>
      </c>
      <c r="N145" s="231">
        <v>1400.1</v>
      </c>
      <c r="O145" s="231">
        <v>1383.8</v>
      </c>
      <c r="P145" s="228">
        <v>16.3</v>
      </c>
      <c r="Q145" s="229">
        <v>1.18E-2</v>
      </c>
      <c r="R145" s="231">
        <v>1408.2</v>
      </c>
      <c r="S145" s="231">
        <v>1391.1</v>
      </c>
      <c r="T145" s="228">
        <v>17.100000000000001</v>
      </c>
      <c r="U145" s="229">
        <v>1.23E-2</v>
      </c>
      <c r="V145" s="231">
        <v>1414</v>
      </c>
      <c r="W145" s="231">
        <v>1398.2</v>
      </c>
      <c r="X145" s="228">
        <v>15.8</v>
      </c>
      <c r="Y145" s="229">
        <v>1.1299999999999999E-2</v>
      </c>
      <c r="Z145" s="228">
        <v>4.5999999999999996</v>
      </c>
      <c r="AA145" s="228">
        <v>3</v>
      </c>
      <c r="AB145" s="228">
        <v>1.6</v>
      </c>
      <c r="AC145" s="229">
        <v>3.3E-3</v>
      </c>
      <c r="AD145" s="228">
        <v>4.5999999999999996</v>
      </c>
      <c r="AE145" s="228">
        <v>3</v>
      </c>
      <c r="AF145" s="228">
        <v>1.6</v>
      </c>
      <c r="AG145" s="229">
        <v>3.3E-3</v>
      </c>
      <c r="AH145" s="228">
        <v>12.7</v>
      </c>
      <c r="AI145" s="228">
        <v>10.3</v>
      </c>
      <c r="AJ145" s="228">
        <v>2.4</v>
      </c>
      <c r="AK145" s="229">
        <v>9.1000000000000004E-3</v>
      </c>
      <c r="AL145" s="228">
        <v>18.5</v>
      </c>
      <c r="AM145" s="228">
        <v>17.399999999999999</v>
      </c>
      <c r="AN145" s="228">
        <v>1.1000000000000001</v>
      </c>
      <c r="AO145" s="229">
        <v>1.3299999999999999E-2</v>
      </c>
      <c r="AP145" s="231">
        <v>1394.43</v>
      </c>
      <c r="AQ145" s="231">
        <v>1401.41</v>
      </c>
      <c r="AR145" s="228">
        <v>0</v>
      </c>
      <c r="AS145" s="228">
        <v>268</v>
      </c>
      <c r="AT145" s="228">
        <v>177</v>
      </c>
      <c r="AU145" s="228">
        <v>91</v>
      </c>
      <c r="AV145" s="229">
        <v>0.51190000000000002</v>
      </c>
      <c r="AW145" s="228">
        <v>207</v>
      </c>
      <c r="AX145" s="228">
        <v>159</v>
      </c>
      <c r="AY145" s="228">
        <v>48</v>
      </c>
      <c r="AZ145" s="229">
        <v>0.30270000000000002</v>
      </c>
      <c r="BA145" s="228">
        <v>60</v>
      </c>
      <c r="BB145" s="228">
        <v>17</v>
      </c>
      <c r="BC145" s="228">
        <v>43</v>
      </c>
      <c r="BD145" s="229">
        <v>2.4578000000000002</v>
      </c>
      <c r="BE145" s="228">
        <v>0</v>
      </c>
      <c r="BF145" s="228">
        <v>1</v>
      </c>
      <c r="BG145" s="228">
        <v>0</v>
      </c>
      <c r="BH145" s="229">
        <v>-0.46150000000000002</v>
      </c>
      <c r="BI145" s="228">
        <v>383</v>
      </c>
      <c r="BJ145" s="228">
        <v>277</v>
      </c>
      <c r="BK145" s="228">
        <v>106</v>
      </c>
      <c r="BL145" s="229">
        <v>0.38240000000000002</v>
      </c>
      <c r="BM145" s="228">
        <v>286</v>
      </c>
      <c r="BN145" s="228">
        <v>164</v>
      </c>
      <c r="BO145" s="228">
        <v>122</v>
      </c>
      <c r="BP145" s="229">
        <v>0.74099999999999999</v>
      </c>
      <c r="BQ145" s="228">
        <v>937</v>
      </c>
      <c r="BR145" s="228">
        <v>619</v>
      </c>
      <c r="BS145" s="228">
        <v>318</v>
      </c>
      <c r="BT145" s="229">
        <v>0.51470000000000005</v>
      </c>
      <c r="BU145" s="230">
        <v>1610775</v>
      </c>
      <c r="BV145" s="230">
        <v>1546383</v>
      </c>
      <c r="BW145" s="230">
        <v>64392</v>
      </c>
      <c r="BX145" s="229">
        <v>4.1599999999999998E-2</v>
      </c>
      <c r="BY145" s="230">
        <v>1739</v>
      </c>
      <c r="BZ145" s="230">
        <v>1743</v>
      </c>
      <c r="CA145" s="228">
        <v>-4</v>
      </c>
      <c r="CB145" s="229">
        <v>-2.5000000000000001E-3</v>
      </c>
      <c r="CC145" s="230">
        <v>1671</v>
      </c>
      <c r="CD145" s="230">
        <v>1708</v>
      </c>
      <c r="CE145" s="228">
        <v>-37</v>
      </c>
      <c r="CF145" s="229">
        <v>-2.1899999999999999E-2</v>
      </c>
      <c r="CG145" s="228">
        <v>67</v>
      </c>
      <c r="CH145" s="228">
        <v>34</v>
      </c>
      <c r="CI145" s="228">
        <v>33</v>
      </c>
      <c r="CJ145" s="229">
        <v>0.9798</v>
      </c>
      <c r="CK145" s="228">
        <v>1</v>
      </c>
      <c r="CL145" s="228">
        <v>1</v>
      </c>
      <c r="CM145" s="228">
        <v>0</v>
      </c>
      <c r="CN145" s="229">
        <v>-3.5700000000000003E-2</v>
      </c>
      <c r="CO145" s="228">
        <v>242</v>
      </c>
      <c r="CP145" s="228">
        <v>251</v>
      </c>
      <c r="CQ145" s="228">
        <v>-9</v>
      </c>
      <c r="CR145" s="229">
        <v>-3.5200000000000002E-2</v>
      </c>
      <c r="CS145" s="228">
        <v>186</v>
      </c>
      <c r="CT145" s="228">
        <v>187</v>
      </c>
      <c r="CU145" s="228">
        <v>-1</v>
      </c>
      <c r="CV145" s="229">
        <v>-4.1999999999999997E-3</v>
      </c>
      <c r="CW145" s="230">
        <v>2167</v>
      </c>
      <c r="CX145" s="230">
        <v>2181</v>
      </c>
      <c r="CY145" s="228">
        <v>-14</v>
      </c>
      <c r="CZ145" s="229">
        <v>-6.4000000000000003E-3</v>
      </c>
      <c r="DA145" s="228">
        <v>29.1</v>
      </c>
      <c r="DB145" s="228">
        <v>29.08</v>
      </c>
      <c r="DC145" s="228">
        <v>0.02</v>
      </c>
      <c r="DD145" s="228">
        <v>0.02</v>
      </c>
      <c r="DE145" s="228">
        <v>39.82</v>
      </c>
      <c r="DF145" s="228">
        <v>39.89</v>
      </c>
      <c r="DG145" s="228">
        <v>-10.72</v>
      </c>
      <c r="DH145" s="228">
        <v>-7.0000000000000007E-2</v>
      </c>
      <c r="DI145" s="228">
        <v>28.56</v>
      </c>
      <c r="DJ145" s="228">
        <v>28.62</v>
      </c>
      <c r="DK145" s="228">
        <v>-0.06</v>
      </c>
      <c r="DL145" s="228">
        <v>-0.06</v>
      </c>
      <c r="DM145" s="228">
        <v>29.81</v>
      </c>
      <c r="DN145" s="228">
        <v>29.85</v>
      </c>
      <c r="DO145" s="228">
        <v>-0.04</v>
      </c>
      <c r="DP145" s="228">
        <v>-0.04</v>
      </c>
      <c r="DQ145" s="228">
        <v>0.77</v>
      </c>
      <c r="DR145" s="228">
        <v>0.75</v>
      </c>
      <c r="DS145" s="228">
        <v>0.02</v>
      </c>
      <c r="DT145" s="229">
        <v>2.6700000000000002E-2</v>
      </c>
      <c r="DU145" s="231">
        <v>1400</v>
      </c>
      <c r="DV145" s="231">
        <v>1320</v>
      </c>
      <c r="DW145" s="228">
        <v>0.75</v>
      </c>
      <c r="DX145" s="228">
        <v>0.59</v>
      </c>
      <c r="DY145" s="228">
        <v>0.16</v>
      </c>
      <c r="DZ145" s="229">
        <v>0.2712</v>
      </c>
      <c r="EA145" s="229">
        <v>3.9300000000000002E-2</v>
      </c>
      <c r="EB145" s="230">
        <v>252000</v>
      </c>
      <c r="EC145" s="229">
        <v>5.7999999999999996E-3</v>
      </c>
      <c r="ED145" s="229">
        <v>3.9300000000000002E-2</v>
      </c>
      <c r="EE145" s="228">
        <v>6.98</v>
      </c>
      <c r="EF145" s="229">
        <v>5.0000000000000001E-3</v>
      </c>
      <c r="EG145" s="230">
        <v>1026007</v>
      </c>
      <c r="EH145" s="230">
        <v>1112571</v>
      </c>
      <c r="EI145" s="229">
        <v>-7.7799999999999994E-2</v>
      </c>
      <c r="EJ145" s="229">
        <v>0.63700000000000001</v>
      </c>
      <c r="EK145" s="228">
        <v>391.44</v>
      </c>
      <c r="EL145" s="228">
        <v>276.88</v>
      </c>
      <c r="EM145" s="228">
        <v>267.04000000000002</v>
      </c>
      <c r="EN145" s="228">
        <v>0</v>
      </c>
      <c r="EO145" s="228">
        <v>935.37</v>
      </c>
      <c r="EP145" s="228">
        <v>611.9</v>
      </c>
      <c r="EQ145" s="228">
        <v>323.45999999999998</v>
      </c>
      <c r="ER145" s="229">
        <v>0.52859999999999996</v>
      </c>
      <c r="ES145" s="228">
        <v>249.15</v>
      </c>
      <c r="ET145" s="228">
        <v>177.96</v>
      </c>
      <c r="EU145" s="231">
        <v>1739.54</v>
      </c>
      <c r="EV145" s="231">
        <v>80707882</v>
      </c>
      <c r="EW145" s="231">
        <v>2166.65</v>
      </c>
      <c r="EX145" s="231">
        <v>2158.6999999999998</v>
      </c>
      <c r="EY145" s="228">
        <v>7.95</v>
      </c>
      <c r="EZ145" s="229">
        <v>3.7000000000000002E-3</v>
      </c>
      <c r="FA145" s="229">
        <v>0.1918</v>
      </c>
      <c r="FB145" s="227" t="s">
        <v>556</v>
      </c>
      <c r="FC145">
        <f t="shared" si="2"/>
        <v>68</v>
      </c>
    </row>
    <row r="146" spans="1:159" ht="17.25" thickBot="1" x14ac:dyDescent="0.3">
      <c r="A146" s="226">
        <v>45889</v>
      </c>
      <c r="B146" s="227" t="s">
        <v>206</v>
      </c>
      <c r="C146" s="227" t="s">
        <v>550</v>
      </c>
      <c r="D146" s="228">
        <v>6500</v>
      </c>
      <c r="E146" s="228">
        <v>8</v>
      </c>
      <c r="F146" s="228">
        <v>105.58</v>
      </c>
      <c r="G146" s="228">
        <v>106.87</v>
      </c>
      <c r="H146" s="228">
        <v>-1.29</v>
      </c>
      <c r="I146" s="229">
        <v>-1.21E-2</v>
      </c>
      <c r="J146" s="228">
        <v>105.39</v>
      </c>
      <c r="K146" s="228">
        <v>106.58</v>
      </c>
      <c r="L146" s="228">
        <v>-1.19</v>
      </c>
      <c r="M146" s="229">
        <v>-1.12E-2</v>
      </c>
      <c r="N146" s="228">
        <v>105.58</v>
      </c>
      <c r="O146" s="228">
        <v>106.87</v>
      </c>
      <c r="P146" s="228">
        <v>-1.29</v>
      </c>
      <c r="Q146" s="229">
        <v>-1.21E-2</v>
      </c>
      <c r="R146" s="228">
        <v>106.07</v>
      </c>
      <c r="S146" s="228">
        <v>107.38</v>
      </c>
      <c r="T146" s="228">
        <v>-1.31</v>
      </c>
      <c r="U146" s="229">
        <v>-1.2200000000000001E-2</v>
      </c>
      <c r="V146" s="228">
        <v>106.5</v>
      </c>
      <c r="W146" s="228">
        <v>108.08</v>
      </c>
      <c r="X146" s="228">
        <v>-1.58</v>
      </c>
      <c r="Y146" s="229">
        <v>-1.46E-2</v>
      </c>
      <c r="Z146" s="228">
        <v>0.19</v>
      </c>
      <c r="AA146" s="228">
        <v>0.28999999999999998</v>
      </c>
      <c r="AB146" s="228">
        <v>-0.1</v>
      </c>
      <c r="AC146" s="229">
        <v>1.8E-3</v>
      </c>
      <c r="AD146" s="228">
        <v>0.19</v>
      </c>
      <c r="AE146" s="228">
        <v>0.28999999999999998</v>
      </c>
      <c r="AF146" s="228">
        <v>-0.1</v>
      </c>
      <c r="AG146" s="229">
        <v>1.8E-3</v>
      </c>
      <c r="AH146" s="228">
        <v>0.68</v>
      </c>
      <c r="AI146" s="228">
        <v>0.8</v>
      </c>
      <c r="AJ146" s="228">
        <v>-0.12</v>
      </c>
      <c r="AK146" s="229">
        <v>6.4999999999999997E-3</v>
      </c>
      <c r="AL146" s="228">
        <v>1.1100000000000001</v>
      </c>
      <c r="AM146" s="228">
        <v>1.5</v>
      </c>
      <c r="AN146" s="228">
        <v>-0.39</v>
      </c>
      <c r="AO146" s="229">
        <v>1.0500000000000001E-2</v>
      </c>
      <c r="AP146" s="228">
        <v>106.17</v>
      </c>
      <c r="AQ146" s="228">
        <v>106.53</v>
      </c>
      <c r="AR146" s="228">
        <v>0</v>
      </c>
      <c r="AS146" s="228">
        <v>106</v>
      </c>
      <c r="AT146" s="228">
        <v>59</v>
      </c>
      <c r="AU146" s="228">
        <v>47</v>
      </c>
      <c r="AV146" s="229">
        <v>0.79369999999999996</v>
      </c>
      <c r="AW146" s="228">
        <v>82</v>
      </c>
      <c r="AX146" s="228">
        <v>43</v>
      </c>
      <c r="AY146" s="228">
        <v>39</v>
      </c>
      <c r="AZ146" s="229">
        <v>0.91300000000000003</v>
      </c>
      <c r="BA146" s="228">
        <v>24</v>
      </c>
      <c r="BB146" s="228">
        <v>16</v>
      </c>
      <c r="BC146" s="228">
        <v>8</v>
      </c>
      <c r="BD146" s="229">
        <v>0.46639999999999998</v>
      </c>
      <c r="BE146" s="228">
        <v>1</v>
      </c>
      <c r="BF146" s="228">
        <v>0</v>
      </c>
      <c r="BG146" s="228">
        <v>0</v>
      </c>
      <c r="BH146" s="229">
        <v>1.75</v>
      </c>
      <c r="BI146" s="228">
        <v>96</v>
      </c>
      <c r="BJ146" s="228">
        <v>59</v>
      </c>
      <c r="BK146" s="228">
        <v>37</v>
      </c>
      <c r="BL146" s="229">
        <v>0.62209999999999999</v>
      </c>
      <c r="BM146" s="228">
        <v>40</v>
      </c>
      <c r="BN146" s="228">
        <v>24</v>
      </c>
      <c r="BO146" s="228">
        <v>16</v>
      </c>
      <c r="BP146" s="229">
        <v>0.65139999999999998</v>
      </c>
      <c r="BQ146" s="228">
        <v>242</v>
      </c>
      <c r="BR146" s="228">
        <v>142</v>
      </c>
      <c r="BS146" s="228">
        <v>99</v>
      </c>
      <c r="BT146" s="229">
        <v>0.69850000000000001</v>
      </c>
      <c r="BU146" s="230">
        <v>6073172</v>
      </c>
      <c r="BV146" s="230">
        <v>3843304</v>
      </c>
      <c r="BW146" s="230">
        <v>2229868</v>
      </c>
      <c r="BX146" s="229">
        <v>0.58020000000000005</v>
      </c>
      <c r="BY146" s="228">
        <v>563</v>
      </c>
      <c r="BZ146" s="228">
        <v>555</v>
      </c>
      <c r="CA146" s="228">
        <v>9</v>
      </c>
      <c r="CB146" s="229">
        <v>1.55E-2</v>
      </c>
      <c r="CC146" s="228">
        <v>501</v>
      </c>
      <c r="CD146" s="228">
        <v>508</v>
      </c>
      <c r="CE146" s="228">
        <v>-6</v>
      </c>
      <c r="CF146" s="229">
        <v>-1.2E-2</v>
      </c>
      <c r="CG146" s="228">
        <v>59</v>
      </c>
      <c r="CH146" s="228">
        <v>45</v>
      </c>
      <c r="CI146" s="228">
        <v>14</v>
      </c>
      <c r="CJ146" s="229">
        <v>0.3135</v>
      </c>
      <c r="CK146" s="228">
        <v>3</v>
      </c>
      <c r="CL146" s="228">
        <v>2</v>
      </c>
      <c r="CM146" s="228">
        <v>1</v>
      </c>
      <c r="CN146" s="229">
        <v>0.2571</v>
      </c>
      <c r="CO146" s="228">
        <v>173</v>
      </c>
      <c r="CP146" s="228">
        <v>160</v>
      </c>
      <c r="CQ146" s="228">
        <v>13</v>
      </c>
      <c r="CR146" s="229">
        <v>0.08</v>
      </c>
      <c r="CS146" s="228">
        <v>83</v>
      </c>
      <c r="CT146" s="228">
        <v>80</v>
      </c>
      <c r="CU146" s="228">
        <v>4</v>
      </c>
      <c r="CV146" s="229">
        <v>4.48E-2</v>
      </c>
      <c r="CW146" s="228">
        <v>820</v>
      </c>
      <c r="CX146" s="228">
        <v>795</v>
      </c>
      <c r="CY146" s="228">
        <v>25</v>
      </c>
      <c r="CZ146" s="229">
        <v>3.1399999999999997E-2</v>
      </c>
      <c r="DA146" s="228">
        <v>38.08</v>
      </c>
      <c r="DB146" s="228">
        <v>36.51</v>
      </c>
      <c r="DC146" s="228">
        <v>1.57</v>
      </c>
      <c r="DD146" s="228">
        <v>1.57</v>
      </c>
      <c r="DE146" s="228">
        <v>55.69</v>
      </c>
      <c r="DF146" s="228">
        <v>55.81</v>
      </c>
      <c r="DG146" s="228">
        <v>-17.61</v>
      </c>
      <c r="DH146" s="228">
        <v>-0.12</v>
      </c>
      <c r="DI146" s="228">
        <v>39.08</v>
      </c>
      <c r="DJ146" s="228">
        <v>36.94</v>
      </c>
      <c r="DK146" s="228">
        <v>2.14</v>
      </c>
      <c r="DL146" s="228">
        <v>2.14</v>
      </c>
      <c r="DM146" s="228">
        <v>35.65</v>
      </c>
      <c r="DN146" s="228">
        <v>35.450000000000003</v>
      </c>
      <c r="DO146" s="228">
        <v>0.2</v>
      </c>
      <c r="DP146" s="228">
        <v>0.2</v>
      </c>
      <c r="DQ146" s="228">
        <v>0.48</v>
      </c>
      <c r="DR146" s="228">
        <v>0.5</v>
      </c>
      <c r="DS146" s="228">
        <v>-0.02</v>
      </c>
      <c r="DT146" s="229">
        <v>-0.04</v>
      </c>
      <c r="DU146" s="228">
        <v>110</v>
      </c>
      <c r="DV146" s="228">
        <v>105</v>
      </c>
      <c r="DW146" s="228">
        <v>0.41</v>
      </c>
      <c r="DX146" s="228">
        <v>0.41</v>
      </c>
      <c r="DY146" s="228">
        <v>0</v>
      </c>
      <c r="DZ146" s="229">
        <v>0</v>
      </c>
      <c r="EA146" s="229">
        <v>0.11</v>
      </c>
      <c r="EB146" s="230">
        <v>4478500</v>
      </c>
      <c r="EC146" s="229">
        <v>4.5999999999999999E-3</v>
      </c>
      <c r="ED146" s="229">
        <v>0.11</v>
      </c>
      <c r="EE146" s="228">
        <v>0.36</v>
      </c>
      <c r="EF146" s="229">
        <v>3.3999999999999998E-3</v>
      </c>
      <c r="EG146" s="230">
        <v>1863808</v>
      </c>
      <c r="EH146" s="230">
        <v>1431815</v>
      </c>
      <c r="EI146" s="229">
        <v>0.30170000000000002</v>
      </c>
      <c r="EJ146" s="229">
        <v>0.30690000000000001</v>
      </c>
      <c r="EK146" s="228">
        <v>100.89</v>
      </c>
      <c r="EL146" s="228">
        <v>39.76</v>
      </c>
      <c r="EM146" s="228">
        <v>106.92</v>
      </c>
      <c r="EN146" s="228">
        <v>0</v>
      </c>
      <c r="EO146" s="228">
        <v>247.56</v>
      </c>
      <c r="EP146" s="228">
        <v>146.75</v>
      </c>
      <c r="EQ146" s="228">
        <v>100.81</v>
      </c>
      <c r="ER146" s="229">
        <v>0.68700000000000006</v>
      </c>
      <c r="ES146" s="228">
        <v>186.44</v>
      </c>
      <c r="ET146" s="228">
        <v>83.36</v>
      </c>
      <c r="EU146" s="228">
        <v>563.73</v>
      </c>
      <c r="EV146" s="231">
        <v>206526272</v>
      </c>
      <c r="EW146" s="228">
        <v>833.53</v>
      </c>
      <c r="EX146" s="228">
        <v>815.01</v>
      </c>
      <c r="EY146" s="228">
        <v>18.52</v>
      </c>
      <c r="EZ146" s="229">
        <v>2.2700000000000001E-2</v>
      </c>
      <c r="FA146" s="229">
        <v>0.376</v>
      </c>
      <c r="FB146" s="227" t="s">
        <v>567</v>
      </c>
      <c r="FC146">
        <f t="shared" si="2"/>
        <v>62</v>
      </c>
    </row>
    <row r="147" spans="1:159" ht="17.25" thickBot="1" x14ac:dyDescent="0.3">
      <c r="A147" s="226">
        <v>45889</v>
      </c>
      <c r="B147" s="227" t="s">
        <v>215</v>
      </c>
      <c r="C147" s="227" t="s">
        <v>592</v>
      </c>
      <c r="D147" s="228">
        <v>2700</v>
      </c>
      <c r="E147" s="228">
        <v>8</v>
      </c>
      <c r="F147" s="228">
        <v>221.33</v>
      </c>
      <c r="G147" s="228">
        <v>223.01</v>
      </c>
      <c r="H147" s="228">
        <v>-1.68</v>
      </c>
      <c r="I147" s="229">
        <v>-7.4999999999999997E-3</v>
      </c>
      <c r="J147" s="228">
        <v>220.84</v>
      </c>
      <c r="K147" s="228">
        <v>222.26</v>
      </c>
      <c r="L147" s="228">
        <v>-1.42</v>
      </c>
      <c r="M147" s="229">
        <v>-6.4000000000000003E-3</v>
      </c>
      <c r="N147" s="228">
        <v>221.33</v>
      </c>
      <c r="O147" s="228">
        <v>223.01</v>
      </c>
      <c r="P147" s="228">
        <v>-1.68</v>
      </c>
      <c r="Q147" s="229">
        <v>-7.4999999999999997E-3</v>
      </c>
      <c r="R147" s="228">
        <v>222.61</v>
      </c>
      <c r="S147" s="228">
        <v>224.05</v>
      </c>
      <c r="T147" s="228">
        <v>-1.44</v>
      </c>
      <c r="U147" s="229">
        <v>-6.4000000000000003E-3</v>
      </c>
      <c r="V147" s="228">
        <v>223.5</v>
      </c>
      <c r="W147" s="228">
        <v>223.41</v>
      </c>
      <c r="X147" s="228">
        <v>0.09</v>
      </c>
      <c r="Y147" s="229">
        <v>4.0000000000000002E-4</v>
      </c>
      <c r="Z147" s="228">
        <v>0.49</v>
      </c>
      <c r="AA147" s="228">
        <v>0.75</v>
      </c>
      <c r="AB147" s="228">
        <v>-0.26</v>
      </c>
      <c r="AC147" s="229">
        <v>2.2000000000000001E-3</v>
      </c>
      <c r="AD147" s="228">
        <v>0.49</v>
      </c>
      <c r="AE147" s="228">
        <v>0.75</v>
      </c>
      <c r="AF147" s="228">
        <v>-0.26</v>
      </c>
      <c r="AG147" s="229">
        <v>2.2000000000000001E-3</v>
      </c>
      <c r="AH147" s="228">
        <v>1.77</v>
      </c>
      <c r="AI147" s="228">
        <v>1.79</v>
      </c>
      <c r="AJ147" s="228">
        <v>-0.02</v>
      </c>
      <c r="AK147" s="229">
        <v>8.0000000000000002E-3</v>
      </c>
      <c r="AL147" s="228">
        <v>2.66</v>
      </c>
      <c r="AM147" s="228">
        <v>1.1499999999999999</v>
      </c>
      <c r="AN147" s="228">
        <v>1.51</v>
      </c>
      <c r="AO147" s="229">
        <v>1.2E-2</v>
      </c>
      <c r="AP147" s="228">
        <v>221.51</v>
      </c>
      <c r="AQ147" s="228">
        <v>222.68</v>
      </c>
      <c r="AR147" s="228">
        <v>0</v>
      </c>
      <c r="AS147" s="228">
        <v>55</v>
      </c>
      <c r="AT147" s="228">
        <v>67</v>
      </c>
      <c r="AU147" s="228">
        <v>-11</v>
      </c>
      <c r="AV147" s="229">
        <v>-0.17130000000000001</v>
      </c>
      <c r="AW147" s="228">
        <v>35</v>
      </c>
      <c r="AX147" s="228">
        <v>55</v>
      </c>
      <c r="AY147" s="228">
        <v>-19</v>
      </c>
      <c r="AZ147" s="229">
        <v>-0.35510000000000003</v>
      </c>
      <c r="BA147" s="228">
        <v>19</v>
      </c>
      <c r="BB147" s="228">
        <v>11</v>
      </c>
      <c r="BC147" s="228">
        <v>8</v>
      </c>
      <c r="BD147" s="229">
        <v>0.65629999999999999</v>
      </c>
      <c r="BE147" s="228">
        <v>1</v>
      </c>
      <c r="BF147" s="228">
        <v>0</v>
      </c>
      <c r="BG147" s="228">
        <v>1</v>
      </c>
      <c r="BH147" s="229">
        <v>1.8</v>
      </c>
      <c r="BI147" s="228">
        <v>93</v>
      </c>
      <c r="BJ147" s="228">
        <v>116</v>
      </c>
      <c r="BK147" s="228">
        <v>-24</v>
      </c>
      <c r="BL147" s="229">
        <v>-0.20330000000000001</v>
      </c>
      <c r="BM147" s="228">
        <v>37</v>
      </c>
      <c r="BN147" s="228">
        <v>69</v>
      </c>
      <c r="BO147" s="228">
        <v>-32</v>
      </c>
      <c r="BP147" s="229">
        <v>-0.46529999999999999</v>
      </c>
      <c r="BQ147" s="228">
        <v>185</v>
      </c>
      <c r="BR147" s="228">
        <v>252</v>
      </c>
      <c r="BS147" s="228">
        <v>-67</v>
      </c>
      <c r="BT147" s="229">
        <v>-0.26650000000000001</v>
      </c>
      <c r="BU147" s="230">
        <v>1185146</v>
      </c>
      <c r="BV147" s="230">
        <v>1704144</v>
      </c>
      <c r="BW147" s="230">
        <v>-518998</v>
      </c>
      <c r="BX147" s="229">
        <v>-0.30459999999999998</v>
      </c>
      <c r="BY147" s="228">
        <v>332</v>
      </c>
      <c r="BZ147" s="228">
        <v>320</v>
      </c>
      <c r="CA147" s="228">
        <v>13</v>
      </c>
      <c r="CB147" s="229">
        <v>3.9199999999999999E-2</v>
      </c>
      <c r="CC147" s="228">
        <v>293</v>
      </c>
      <c r="CD147" s="228">
        <v>291</v>
      </c>
      <c r="CE147" s="228">
        <v>2</v>
      </c>
      <c r="CF147" s="229">
        <v>6.4000000000000003E-3</v>
      </c>
      <c r="CG147" s="228">
        <v>36</v>
      </c>
      <c r="CH147" s="228">
        <v>26</v>
      </c>
      <c r="CI147" s="228">
        <v>10</v>
      </c>
      <c r="CJ147" s="229">
        <v>0.3881</v>
      </c>
      <c r="CK147" s="228">
        <v>3</v>
      </c>
      <c r="CL147" s="228">
        <v>3</v>
      </c>
      <c r="CM147" s="228">
        <v>1</v>
      </c>
      <c r="CN147" s="229">
        <v>0.20449999999999999</v>
      </c>
      <c r="CO147" s="228">
        <v>168</v>
      </c>
      <c r="CP147" s="228">
        <v>160</v>
      </c>
      <c r="CQ147" s="228">
        <v>8</v>
      </c>
      <c r="CR147" s="229">
        <v>4.7E-2</v>
      </c>
      <c r="CS147" s="228">
        <v>123</v>
      </c>
      <c r="CT147" s="228">
        <v>125</v>
      </c>
      <c r="CU147" s="228">
        <v>-2</v>
      </c>
      <c r="CV147" s="229">
        <v>-1.5299999999999999E-2</v>
      </c>
      <c r="CW147" s="228">
        <v>623</v>
      </c>
      <c r="CX147" s="228">
        <v>605</v>
      </c>
      <c r="CY147" s="228">
        <v>18</v>
      </c>
      <c r="CZ147" s="229">
        <v>0.03</v>
      </c>
      <c r="DA147" s="228">
        <v>30.61</v>
      </c>
      <c r="DB147" s="228">
        <v>30.44</v>
      </c>
      <c r="DC147" s="228">
        <v>0.17</v>
      </c>
      <c r="DD147" s="228">
        <v>0.17</v>
      </c>
      <c r="DE147" s="228">
        <v>50.22</v>
      </c>
      <c r="DF147" s="228">
        <v>50.34</v>
      </c>
      <c r="DG147" s="228">
        <v>-19.61</v>
      </c>
      <c r="DH147" s="228">
        <v>-0.12</v>
      </c>
      <c r="DI147" s="228">
        <v>30.31</v>
      </c>
      <c r="DJ147" s="228">
        <v>29.91</v>
      </c>
      <c r="DK147" s="228">
        <v>0.4</v>
      </c>
      <c r="DL147" s="228">
        <v>0.4</v>
      </c>
      <c r="DM147" s="228">
        <v>31.36</v>
      </c>
      <c r="DN147" s="228">
        <v>31.35</v>
      </c>
      <c r="DO147" s="228">
        <v>0.01</v>
      </c>
      <c r="DP147" s="228">
        <v>0.01</v>
      </c>
      <c r="DQ147" s="228">
        <v>0.73</v>
      </c>
      <c r="DR147" s="228">
        <v>0.78</v>
      </c>
      <c r="DS147" s="228">
        <v>-0.05</v>
      </c>
      <c r="DT147" s="229">
        <v>-6.4100000000000004E-2</v>
      </c>
      <c r="DU147" s="228">
        <v>230</v>
      </c>
      <c r="DV147" s="228">
        <v>220</v>
      </c>
      <c r="DW147" s="228">
        <v>0.4</v>
      </c>
      <c r="DX147" s="228">
        <v>0.59</v>
      </c>
      <c r="DY147" s="228">
        <v>-0.19</v>
      </c>
      <c r="DZ147" s="229">
        <v>-0.32200000000000001</v>
      </c>
      <c r="EA147" s="229">
        <v>0.1188</v>
      </c>
      <c r="EB147" s="230">
        <v>1301400</v>
      </c>
      <c r="EC147" s="229">
        <v>5.7999999999999996E-3</v>
      </c>
      <c r="ED147" s="229">
        <v>0.1188</v>
      </c>
      <c r="EE147" s="228">
        <v>1.17</v>
      </c>
      <c r="EF147" s="229">
        <v>5.3E-3</v>
      </c>
      <c r="EG147" s="230">
        <v>542313</v>
      </c>
      <c r="EH147" s="230">
        <v>806512</v>
      </c>
      <c r="EI147" s="229">
        <v>-0.3276</v>
      </c>
      <c r="EJ147" s="229">
        <v>0.45760000000000001</v>
      </c>
      <c r="EK147" s="228">
        <v>95.87</v>
      </c>
      <c r="EL147" s="228">
        <v>37.200000000000003</v>
      </c>
      <c r="EM147" s="228">
        <v>55.37</v>
      </c>
      <c r="EN147" s="228">
        <v>0</v>
      </c>
      <c r="EO147" s="228">
        <v>188.44</v>
      </c>
      <c r="EP147" s="228">
        <v>255.81</v>
      </c>
      <c r="EQ147" s="228">
        <v>-67.36</v>
      </c>
      <c r="ER147" s="229">
        <v>-0.26329999999999998</v>
      </c>
      <c r="ES147" s="228">
        <v>172.26</v>
      </c>
      <c r="ET147" s="228">
        <v>117.27</v>
      </c>
      <c r="EU147" s="228">
        <v>332.62</v>
      </c>
      <c r="EV147" s="231">
        <v>97811871</v>
      </c>
      <c r="EW147" s="228">
        <v>622.15</v>
      </c>
      <c r="EX147" s="228">
        <v>606.34</v>
      </c>
      <c r="EY147" s="228">
        <v>15.81</v>
      </c>
      <c r="EZ147" s="229">
        <v>2.6100000000000002E-2</v>
      </c>
      <c r="FA147" s="229">
        <v>0.28789999999999999</v>
      </c>
      <c r="FB147" s="227" t="s">
        <v>567</v>
      </c>
      <c r="FC147">
        <f t="shared" si="2"/>
        <v>39</v>
      </c>
    </row>
    <row r="148" spans="1:159" ht="17.25" thickBot="1" x14ac:dyDescent="0.3">
      <c r="A148" s="226">
        <v>45889</v>
      </c>
      <c r="B148" s="227" t="s">
        <v>168</v>
      </c>
      <c r="C148" s="227" t="s">
        <v>265</v>
      </c>
      <c r="D148" s="228">
        <v>500</v>
      </c>
      <c r="E148" s="228">
        <v>8</v>
      </c>
      <c r="F148" s="231">
        <v>1191.3</v>
      </c>
      <c r="G148" s="231">
        <v>1163.5</v>
      </c>
      <c r="H148" s="228">
        <v>27.8</v>
      </c>
      <c r="I148" s="229">
        <v>2.3900000000000001E-2</v>
      </c>
      <c r="J148" s="231">
        <v>1190.3</v>
      </c>
      <c r="K148" s="231">
        <v>1161.4000000000001</v>
      </c>
      <c r="L148" s="228">
        <v>28.9</v>
      </c>
      <c r="M148" s="229">
        <v>2.4899999999999999E-2</v>
      </c>
      <c r="N148" s="231">
        <v>1191.3</v>
      </c>
      <c r="O148" s="231">
        <v>1163.5</v>
      </c>
      <c r="P148" s="228">
        <v>27.8</v>
      </c>
      <c r="Q148" s="229">
        <v>2.3900000000000001E-2</v>
      </c>
      <c r="R148" s="231">
        <v>1197.9000000000001</v>
      </c>
      <c r="S148" s="231">
        <v>1169.3</v>
      </c>
      <c r="T148" s="228">
        <v>28.6</v>
      </c>
      <c r="U148" s="229">
        <v>2.4500000000000001E-2</v>
      </c>
      <c r="V148" s="231">
        <v>1203</v>
      </c>
      <c r="W148" s="231">
        <v>1176.2</v>
      </c>
      <c r="X148" s="228">
        <v>26.8</v>
      </c>
      <c r="Y148" s="229">
        <v>2.2800000000000001E-2</v>
      </c>
      <c r="Z148" s="228">
        <v>1</v>
      </c>
      <c r="AA148" s="228">
        <v>2.1</v>
      </c>
      <c r="AB148" s="228">
        <v>-1.1000000000000001</v>
      </c>
      <c r="AC148" s="229">
        <v>8.0000000000000004E-4</v>
      </c>
      <c r="AD148" s="228">
        <v>1</v>
      </c>
      <c r="AE148" s="228">
        <v>2.1</v>
      </c>
      <c r="AF148" s="228">
        <v>-1.1000000000000001</v>
      </c>
      <c r="AG148" s="229">
        <v>8.0000000000000004E-4</v>
      </c>
      <c r="AH148" s="228">
        <v>7.6</v>
      </c>
      <c r="AI148" s="228">
        <v>7.9</v>
      </c>
      <c r="AJ148" s="228">
        <v>-0.3</v>
      </c>
      <c r="AK148" s="229">
        <v>6.4000000000000003E-3</v>
      </c>
      <c r="AL148" s="228">
        <v>12.7</v>
      </c>
      <c r="AM148" s="228">
        <v>14.8</v>
      </c>
      <c r="AN148" s="228">
        <v>-2.1</v>
      </c>
      <c r="AO148" s="229">
        <v>1.0699999999999999E-2</v>
      </c>
      <c r="AP148" s="231">
        <v>1181.52</v>
      </c>
      <c r="AQ148" s="231">
        <v>1189.04</v>
      </c>
      <c r="AR148" s="228">
        <v>0</v>
      </c>
      <c r="AS148" s="228">
        <v>469</v>
      </c>
      <c r="AT148" s="228">
        <v>322</v>
      </c>
      <c r="AU148" s="228">
        <v>147</v>
      </c>
      <c r="AV148" s="229">
        <v>0.45579999999999998</v>
      </c>
      <c r="AW148" s="228">
        <v>388</v>
      </c>
      <c r="AX148" s="228">
        <v>267</v>
      </c>
      <c r="AY148" s="228">
        <v>121</v>
      </c>
      <c r="AZ148" s="229">
        <v>0.45440000000000003</v>
      </c>
      <c r="BA148" s="228">
        <v>72</v>
      </c>
      <c r="BB148" s="228">
        <v>51</v>
      </c>
      <c r="BC148" s="228">
        <v>21</v>
      </c>
      <c r="BD148" s="229">
        <v>0.40839999999999999</v>
      </c>
      <c r="BE148" s="228">
        <v>8</v>
      </c>
      <c r="BF148" s="228">
        <v>4</v>
      </c>
      <c r="BG148" s="228">
        <v>5</v>
      </c>
      <c r="BH148" s="229">
        <v>1.1875</v>
      </c>
      <c r="BI148" s="230">
        <v>1672</v>
      </c>
      <c r="BJ148" s="228">
        <v>948</v>
      </c>
      <c r="BK148" s="228">
        <v>724</v>
      </c>
      <c r="BL148" s="229">
        <v>0.76339999999999997</v>
      </c>
      <c r="BM148" s="228">
        <v>572</v>
      </c>
      <c r="BN148" s="228">
        <v>563</v>
      </c>
      <c r="BO148" s="228">
        <v>9</v>
      </c>
      <c r="BP148" s="229">
        <v>1.6199999999999999E-2</v>
      </c>
      <c r="BQ148" s="230">
        <v>2712</v>
      </c>
      <c r="BR148" s="230">
        <v>1833</v>
      </c>
      <c r="BS148" s="228">
        <v>879</v>
      </c>
      <c r="BT148" s="229">
        <v>0.4798</v>
      </c>
      <c r="BU148" s="230">
        <v>1702991</v>
      </c>
      <c r="BV148" s="230">
        <v>1881574</v>
      </c>
      <c r="BW148" s="230">
        <v>-178583</v>
      </c>
      <c r="BX148" s="229">
        <v>-9.4899999999999998E-2</v>
      </c>
      <c r="BY148" s="230">
        <v>2562</v>
      </c>
      <c r="BZ148" s="230">
        <v>2513</v>
      </c>
      <c r="CA148" s="228">
        <v>49</v>
      </c>
      <c r="CB148" s="229">
        <v>1.9400000000000001E-2</v>
      </c>
      <c r="CC148" s="230">
        <v>2396</v>
      </c>
      <c r="CD148" s="230">
        <v>2376</v>
      </c>
      <c r="CE148" s="228">
        <v>20</v>
      </c>
      <c r="CF148" s="229">
        <v>8.5000000000000006E-3</v>
      </c>
      <c r="CG148" s="228">
        <v>159</v>
      </c>
      <c r="CH148" s="228">
        <v>129</v>
      </c>
      <c r="CI148" s="228">
        <v>30</v>
      </c>
      <c r="CJ148" s="229">
        <v>0.22889999999999999</v>
      </c>
      <c r="CK148" s="228">
        <v>7</v>
      </c>
      <c r="CL148" s="228">
        <v>8</v>
      </c>
      <c r="CM148" s="228">
        <v>-1</v>
      </c>
      <c r="CN148" s="229">
        <v>-0.11849999999999999</v>
      </c>
      <c r="CO148" s="228">
        <v>520</v>
      </c>
      <c r="CP148" s="228">
        <v>497</v>
      </c>
      <c r="CQ148" s="228">
        <v>23</v>
      </c>
      <c r="CR148" s="229">
        <v>4.6199999999999998E-2</v>
      </c>
      <c r="CS148" s="228">
        <v>445</v>
      </c>
      <c r="CT148" s="228">
        <v>382</v>
      </c>
      <c r="CU148" s="228">
        <v>63</v>
      </c>
      <c r="CV148" s="229">
        <v>0.1636</v>
      </c>
      <c r="CW148" s="230">
        <v>3527</v>
      </c>
      <c r="CX148" s="230">
        <v>3393</v>
      </c>
      <c r="CY148" s="228">
        <v>134</v>
      </c>
      <c r="CZ148" s="229">
        <v>3.9600000000000003E-2</v>
      </c>
      <c r="DA148" s="228">
        <v>22.2</v>
      </c>
      <c r="DB148" s="228">
        <v>20.9</v>
      </c>
      <c r="DC148" s="228">
        <v>1.3</v>
      </c>
      <c r="DD148" s="228">
        <v>1.3</v>
      </c>
      <c r="DE148" s="228">
        <v>24.26</v>
      </c>
      <c r="DF148" s="228">
        <v>24.11</v>
      </c>
      <c r="DG148" s="228">
        <v>-2.06</v>
      </c>
      <c r="DH148" s="228">
        <v>0.15</v>
      </c>
      <c r="DI148" s="228">
        <v>21.78</v>
      </c>
      <c r="DJ148" s="228">
        <v>20.25</v>
      </c>
      <c r="DK148" s="228">
        <v>1.53</v>
      </c>
      <c r="DL148" s="228">
        <v>1.53</v>
      </c>
      <c r="DM148" s="228">
        <v>23.42</v>
      </c>
      <c r="DN148" s="228">
        <v>21.99</v>
      </c>
      <c r="DO148" s="228">
        <v>1.43</v>
      </c>
      <c r="DP148" s="228">
        <v>1.43</v>
      </c>
      <c r="DQ148" s="228">
        <v>0.86</v>
      </c>
      <c r="DR148" s="228">
        <v>0.77</v>
      </c>
      <c r="DS148" s="228">
        <v>0.09</v>
      </c>
      <c r="DT148" s="229">
        <v>0.1169</v>
      </c>
      <c r="DU148" s="231">
        <v>1150</v>
      </c>
      <c r="DV148" s="231">
        <v>1200</v>
      </c>
      <c r="DW148" s="228">
        <v>0.34</v>
      </c>
      <c r="DX148" s="228">
        <v>0.59</v>
      </c>
      <c r="DY148" s="228">
        <v>-0.25</v>
      </c>
      <c r="DZ148" s="229">
        <v>-0.42370000000000002</v>
      </c>
      <c r="EA148" s="229">
        <v>6.4699999999999994E-2</v>
      </c>
      <c r="EB148" s="230">
        <v>1151000</v>
      </c>
      <c r="EC148" s="229">
        <v>5.4999999999999997E-3</v>
      </c>
      <c r="ED148" s="229">
        <v>6.4699999999999994E-2</v>
      </c>
      <c r="EE148" s="228">
        <v>7.52</v>
      </c>
      <c r="EF148" s="229">
        <v>6.4000000000000003E-3</v>
      </c>
      <c r="EG148" s="230">
        <v>866004</v>
      </c>
      <c r="EH148" s="230">
        <v>1125434</v>
      </c>
      <c r="EI148" s="229">
        <v>-0.23050000000000001</v>
      </c>
      <c r="EJ148" s="229">
        <v>0.50849999999999995</v>
      </c>
      <c r="EK148" s="231">
        <v>1693.19</v>
      </c>
      <c r="EL148" s="228">
        <v>558.58000000000004</v>
      </c>
      <c r="EM148" s="228">
        <v>465.3</v>
      </c>
      <c r="EN148" s="228">
        <v>0</v>
      </c>
      <c r="EO148" s="231">
        <v>2717.07</v>
      </c>
      <c r="EP148" s="231">
        <v>1787.43</v>
      </c>
      <c r="EQ148" s="228">
        <v>929.65</v>
      </c>
      <c r="ER148" s="229">
        <v>0.52010000000000001</v>
      </c>
      <c r="ES148" s="228">
        <v>519.11</v>
      </c>
      <c r="ET148" s="228">
        <v>419.56</v>
      </c>
      <c r="EU148" s="231">
        <v>2562.9</v>
      </c>
      <c r="EV148" s="231">
        <v>143602548</v>
      </c>
      <c r="EW148" s="231">
        <v>3501.57</v>
      </c>
      <c r="EX148" s="231">
        <v>3307.42</v>
      </c>
      <c r="EY148" s="228">
        <v>194.15</v>
      </c>
      <c r="EZ148" s="229">
        <v>5.8700000000000002E-2</v>
      </c>
      <c r="FA148" s="229">
        <v>0.20619999999999999</v>
      </c>
      <c r="FB148" s="227" t="s">
        <v>555</v>
      </c>
      <c r="FC148">
        <f>BY224-CC224</f>
        <v>0</v>
      </c>
    </row>
    <row r="149" spans="1:159" ht="17.25" thickBot="1" x14ac:dyDescent="0.3">
      <c r="A149" s="226">
        <v>45889</v>
      </c>
      <c r="B149" s="227" t="s">
        <v>161</v>
      </c>
      <c r="C149" s="227" t="s">
        <v>586</v>
      </c>
      <c r="D149" s="228">
        <v>6400</v>
      </c>
      <c r="E149" s="228">
        <v>8</v>
      </c>
      <c r="F149" s="228">
        <v>83.09</v>
      </c>
      <c r="G149" s="228">
        <v>82.31</v>
      </c>
      <c r="H149" s="228">
        <v>0.78</v>
      </c>
      <c r="I149" s="229">
        <v>9.4999999999999998E-3</v>
      </c>
      <c r="J149" s="228">
        <v>82.76</v>
      </c>
      <c r="K149" s="228">
        <v>82.09</v>
      </c>
      <c r="L149" s="228">
        <v>0.67</v>
      </c>
      <c r="M149" s="229">
        <v>8.2000000000000007E-3</v>
      </c>
      <c r="N149" s="228">
        <v>83.09</v>
      </c>
      <c r="O149" s="228">
        <v>82.31</v>
      </c>
      <c r="P149" s="228">
        <v>0.78</v>
      </c>
      <c r="Q149" s="229">
        <v>9.4999999999999998E-3</v>
      </c>
      <c r="R149" s="228">
        <v>83.31</v>
      </c>
      <c r="S149" s="228">
        <v>82.8</v>
      </c>
      <c r="T149" s="228">
        <v>0.51</v>
      </c>
      <c r="U149" s="229">
        <v>6.1999999999999998E-3</v>
      </c>
      <c r="V149" s="228">
        <v>83.96</v>
      </c>
      <c r="W149" s="228">
        <v>83.3</v>
      </c>
      <c r="X149" s="228">
        <v>0.66</v>
      </c>
      <c r="Y149" s="229">
        <v>7.9000000000000008E-3</v>
      </c>
      <c r="Z149" s="228">
        <v>0.33</v>
      </c>
      <c r="AA149" s="228">
        <v>0.22</v>
      </c>
      <c r="AB149" s="228">
        <v>0.11</v>
      </c>
      <c r="AC149" s="229">
        <v>4.0000000000000001E-3</v>
      </c>
      <c r="AD149" s="228">
        <v>0.33</v>
      </c>
      <c r="AE149" s="228">
        <v>0.22</v>
      </c>
      <c r="AF149" s="228">
        <v>0.11</v>
      </c>
      <c r="AG149" s="229">
        <v>4.0000000000000001E-3</v>
      </c>
      <c r="AH149" s="228">
        <v>0.55000000000000004</v>
      </c>
      <c r="AI149" s="228">
        <v>0.71</v>
      </c>
      <c r="AJ149" s="228">
        <v>-0.16</v>
      </c>
      <c r="AK149" s="229">
        <v>6.6E-3</v>
      </c>
      <c r="AL149" s="228">
        <v>1.2</v>
      </c>
      <c r="AM149" s="228">
        <v>1.21</v>
      </c>
      <c r="AN149" s="228">
        <v>-0.01</v>
      </c>
      <c r="AO149" s="229">
        <v>1.4500000000000001E-2</v>
      </c>
      <c r="AP149" s="228">
        <v>82.78</v>
      </c>
      <c r="AQ149" s="228">
        <v>83.16</v>
      </c>
      <c r="AR149" s="228">
        <v>0</v>
      </c>
      <c r="AS149" s="228">
        <v>90</v>
      </c>
      <c r="AT149" s="228">
        <v>80</v>
      </c>
      <c r="AU149" s="228">
        <v>10</v>
      </c>
      <c r="AV149" s="229">
        <v>0.12509999999999999</v>
      </c>
      <c r="AW149" s="228">
        <v>59</v>
      </c>
      <c r="AX149" s="228">
        <v>60</v>
      </c>
      <c r="AY149" s="228">
        <v>-1</v>
      </c>
      <c r="AZ149" s="229">
        <v>-1.4200000000000001E-2</v>
      </c>
      <c r="BA149" s="228">
        <v>30</v>
      </c>
      <c r="BB149" s="228">
        <v>19</v>
      </c>
      <c r="BC149" s="228">
        <v>10</v>
      </c>
      <c r="BD149" s="229">
        <v>0.52749999999999997</v>
      </c>
      <c r="BE149" s="228">
        <v>1</v>
      </c>
      <c r="BF149" s="228">
        <v>1</v>
      </c>
      <c r="BG149" s="228">
        <v>1</v>
      </c>
      <c r="BH149" s="229">
        <v>0.92310000000000003</v>
      </c>
      <c r="BI149" s="228">
        <v>112</v>
      </c>
      <c r="BJ149" s="228">
        <v>82</v>
      </c>
      <c r="BK149" s="228">
        <v>31</v>
      </c>
      <c r="BL149" s="229">
        <v>0.37740000000000001</v>
      </c>
      <c r="BM149" s="228">
        <v>58</v>
      </c>
      <c r="BN149" s="228">
        <v>41</v>
      </c>
      <c r="BO149" s="228">
        <v>18</v>
      </c>
      <c r="BP149" s="229">
        <v>0.43959999999999999</v>
      </c>
      <c r="BQ149" s="228">
        <v>261</v>
      </c>
      <c r="BR149" s="228">
        <v>202</v>
      </c>
      <c r="BS149" s="228">
        <v>59</v>
      </c>
      <c r="BT149" s="229">
        <v>0.29010000000000002</v>
      </c>
      <c r="BU149" s="230">
        <v>11904257</v>
      </c>
      <c r="BV149" s="230">
        <v>13585959</v>
      </c>
      <c r="BW149" s="230">
        <v>-1681702</v>
      </c>
      <c r="BX149" s="229">
        <v>-0.12379999999999999</v>
      </c>
      <c r="BY149" s="228">
        <v>498</v>
      </c>
      <c r="BZ149" s="228">
        <v>492</v>
      </c>
      <c r="CA149" s="228">
        <v>6</v>
      </c>
      <c r="CB149" s="229">
        <v>1.1299999999999999E-2</v>
      </c>
      <c r="CC149" s="228">
        <v>447</v>
      </c>
      <c r="CD149" s="228">
        <v>452</v>
      </c>
      <c r="CE149" s="228">
        <v>-6</v>
      </c>
      <c r="CF149" s="229">
        <v>-1.2800000000000001E-2</v>
      </c>
      <c r="CG149" s="228">
        <v>48</v>
      </c>
      <c r="CH149" s="228">
        <v>37</v>
      </c>
      <c r="CI149" s="228">
        <v>11</v>
      </c>
      <c r="CJ149" s="229">
        <v>0.29909999999999998</v>
      </c>
      <c r="CK149" s="228">
        <v>3</v>
      </c>
      <c r="CL149" s="228">
        <v>3</v>
      </c>
      <c r="CM149" s="228">
        <v>0</v>
      </c>
      <c r="CN149" s="229">
        <v>0.1273</v>
      </c>
      <c r="CO149" s="228">
        <v>141</v>
      </c>
      <c r="CP149" s="228">
        <v>149</v>
      </c>
      <c r="CQ149" s="228">
        <v>-9</v>
      </c>
      <c r="CR149" s="229">
        <v>-5.74E-2</v>
      </c>
      <c r="CS149" s="228">
        <v>88</v>
      </c>
      <c r="CT149" s="228">
        <v>86</v>
      </c>
      <c r="CU149" s="228">
        <v>2</v>
      </c>
      <c r="CV149" s="229">
        <v>2.3E-2</v>
      </c>
      <c r="CW149" s="228">
        <v>726</v>
      </c>
      <c r="CX149" s="228">
        <v>727</v>
      </c>
      <c r="CY149" s="228">
        <v>-1</v>
      </c>
      <c r="CZ149" s="229">
        <v>-1.4E-3</v>
      </c>
      <c r="DA149" s="228">
        <v>27.77</v>
      </c>
      <c r="DB149" s="228">
        <v>30.01</v>
      </c>
      <c r="DC149" s="228">
        <v>-2.2400000000000002</v>
      </c>
      <c r="DD149" s="228">
        <v>-2.2400000000000002</v>
      </c>
      <c r="DE149" s="228">
        <v>41.73</v>
      </c>
      <c r="DF149" s="228">
        <v>41.81</v>
      </c>
      <c r="DG149" s="228">
        <v>-13.96</v>
      </c>
      <c r="DH149" s="228">
        <v>-0.08</v>
      </c>
      <c r="DI149" s="228">
        <v>27.71</v>
      </c>
      <c r="DJ149" s="228">
        <v>30.92</v>
      </c>
      <c r="DK149" s="228">
        <v>-3.21</v>
      </c>
      <c r="DL149" s="228">
        <v>-3.21</v>
      </c>
      <c r="DM149" s="228">
        <v>27.88</v>
      </c>
      <c r="DN149" s="228">
        <v>28.16</v>
      </c>
      <c r="DO149" s="228">
        <v>-0.28000000000000003</v>
      </c>
      <c r="DP149" s="228">
        <v>-0.28000000000000003</v>
      </c>
      <c r="DQ149" s="228">
        <v>0.62</v>
      </c>
      <c r="DR149" s="228">
        <v>0.56999999999999995</v>
      </c>
      <c r="DS149" s="228">
        <v>0.05</v>
      </c>
      <c r="DT149" s="229">
        <v>8.77E-2</v>
      </c>
      <c r="DU149" s="228">
        <v>85</v>
      </c>
      <c r="DV149" s="228">
        <v>80</v>
      </c>
      <c r="DW149" s="228">
        <v>0.52</v>
      </c>
      <c r="DX149" s="228">
        <v>0.5</v>
      </c>
      <c r="DY149" s="228">
        <v>0.02</v>
      </c>
      <c r="DZ149" s="229">
        <v>0.04</v>
      </c>
      <c r="EA149" s="229">
        <v>0.1027</v>
      </c>
      <c r="EB149" s="230">
        <v>4780800</v>
      </c>
      <c r="EC149" s="229">
        <v>2.5999999999999999E-3</v>
      </c>
      <c r="ED149" s="229">
        <v>0.1027</v>
      </c>
      <c r="EE149" s="228">
        <v>0.38</v>
      </c>
      <c r="EF149" s="229">
        <v>4.5999999999999999E-3</v>
      </c>
      <c r="EG149" s="230">
        <v>6634594</v>
      </c>
      <c r="EH149" s="230">
        <v>8015568</v>
      </c>
      <c r="EI149" s="229">
        <v>-0.17230000000000001</v>
      </c>
      <c r="EJ149" s="229">
        <v>0.55730000000000002</v>
      </c>
      <c r="EK149" s="228">
        <v>115.26</v>
      </c>
      <c r="EL149" s="228">
        <v>57.59</v>
      </c>
      <c r="EM149" s="228">
        <v>89.74</v>
      </c>
      <c r="EN149" s="228">
        <v>0</v>
      </c>
      <c r="EO149" s="228">
        <v>262.58</v>
      </c>
      <c r="EP149" s="228">
        <v>203.05</v>
      </c>
      <c r="EQ149" s="228">
        <v>59.53</v>
      </c>
      <c r="ER149" s="229">
        <v>0.29320000000000002</v>
      </c>
      <c r="ES149" s="228">
        <v>147.5</v>
      </c>
      <c r="ET149" s="228">
        <v>85.96</v>
      </c>
      <c r="EU149" s="228">
        <v>497.85</v>
      </c>
      <c r="EV149" s="231">
        <v>654977669</v>
      </c>
      <c r="EW149" s="228">
        <v>731.31</v>
      </c>
      <c r="EX149" s="228">
        <v>727.97</v>
      </c>
      <c r="EY149" s="228">
        <v>3.34</v>
      </c>
      <c r="EZ149" s="229">
        <v>4.5999999999999999E-3</v>
      </c>
      <c r="FA149" s="229">
        <v>0.13339999999999999</v>
      </c>
      <c r="FB149" s="227" t="s">
        <v>555</v>
      </c>
      <c r="FC149">
        <f t="shared" ref="FC149:FC194" si="3">BY223-CC223</f>
        <v>128</v>
      </c>
    </row>
    <row r="150" spans="1:159" ht="17.25" thickBot="1" x14ac:dyDescent="0.3">
      <c r="A150" s="226">
        <v>45889</v>
      </c>
      <c r="B150" s="227" t="s">
        <v>181</v>
      </c>
      <c r="C150" s="227" t="s">
        <v>266</v>
      </c>
      <c r="D150" s="228">
        <v>75</v>
      </c>
      <c r="E150" s="228">
        <v>8</v>
      </c>
      <c r="F150" s="231">
        <v>25083.3</v>
      </c>
      <c r="G150" s="231">
        <v>25033.5</v>
      </c>
      <c r="H150" s="228">
        <v>49.8</v>
      </c>
      <c r="I150" s="229">
        <v>2E-3</v>
      </c>
      <c r="J150" s="231">
        <v>25050.55</v>
      </c>
      <c r="K150" s="231">
        <v>24980.65</v>
      </c>
      <c r="L150" s="228">
        <v>69.900000000000006</v>
      </c>
      <c r="M150" s="229">
        <v>2.8E-3</v>
      </c>
      <c r="N150" s="231">
        <v>25083.3</v>
      </c>
      <c r="O150" s="231">
        <v>25033.5</v>
      </c>
      <c r="P150" s="228">
        <v>49.8</v>
      </c>
      <c r="Q150" s="229">
        <v>2E-3</v>
      </c>
      <c r="R150" s="231">
        <v>25226.6</v>
      </c>
      <c r="S150" s="231">
        <v>25174.6</v>
      </c>
      <c r="T150" s="228">
        <v>52</v>
      </c>
      <c r="U150" s="229">
        <v>2.0999999999999999E-3</v>
      </c>
      <c r="V150" s="231">
        <v>25345.8</v>
      </c>
      <c r="W150" s="231">
        <v>25290.2</v>
      </c>
      <c r="X150" s="228">
        <v>55.6</v>
      </c>
      <c r="Y150" s="229">
        <v>2.2000000000000001E-3</v>
      </c>
      <c r="Z150" s="228">
        <v>32.75</v>
      </c>
      <c r="AA150" s="228">
        <v>52.85</v>
      </c>
      <c r="AB150" s="228">
        <v>-20.100000000000001</v>
      </c>
      <c r="AC150" s="229">
        <v>1.2999999999999999E-3</v>
      </c>
      <c r="AD150" s="228">
        <v>32.75</v>
      </c>
      <c r="AE150" s="228">
        <v>52.85</v>
      </c>
      <c r="AF150" s="228">
        <v>-20.100000000000001</v>
      </c>
      <c r="AG150" s="229">
        <v>1.2999999999999999E-3</v>
      </c>
      <c r="AH150" s="228">
        <v>176.05</v>
      </c>
      <c r="AI150" s="228">
        <v>193.95</v>
      </c>
      <c r="AJ150" s="228">
        <v>-17.899999999999999</v>
      </c>
      <c r="AK150" s="229">
        <v>7.0000000000000001E-3</v>
      </c>
      <c r="AL150" s="228">
        <v>295.25</v>
      </c>
      <c r="AM150" s="228">
        <v>309.55</v>
      </c>
      <c r="AN150" s="228">
        <v>-14.3</v>
      </c>
      <c r="AO150" s="229">
        <v>1.18E-2</v>
      </c>
      <c r="AP150" s="231">
        <v>25041.26</v>
      </c>
      <c r="AQ150" s="231">
        <v>25191.17</v>
      </c>
      <c r="AR150" s="228">
        <v>0</v>
      </c>
      <c r="AS150" s="230">
        <v>12359</v>
      </c>
      <c r="AT150" s="230">
        <v>10299</v>
      </c>
      <c r="AU150" s="230">
        <v>2060</v>
      </c>
      <c r="AV150" s="229">
        <v>0.2</v>
      </c>
      <c r="AW150" s="230">
        <v>10244</v>
      </c>
      <c r="AX150" s="230">
        <v>8912</v>
      </c>
      <c r="AY150" s="230">
        <v>1332</v>
      </c>
      <c r="AZ150" s="229">
        <v>0.14949999999999999</v>
      </c>
      <c r="BA150" s="230">
        <v>1830</v>
      </c>
      <c r="BB150" s="230">
        <v>1100</v>
      </c>
      <c r="BC150" s="228">
        <v>730</v>
      </c>
      <c r="BD150" s="229">
        <v>0.66400000000000003</v>
      </c>
      <c r="BE150" s="228">
        <v>285</v>
      </c>
      <c r="BF150" s="228">
        <v>288</v>
      </c>
      <c r="BG150" s="228">
        <v>-3</v>
      </c>
      <c r="BH150" s="229">
        <v>-9.1999999999999998E-3</v>
      </c>
      <c r="BI150" s="230">
        <v>9914029</v>
      </c>
      <c r="BJ150" s="230">
        <v>5927158</v>
      </c>
      <c r="BK150" s="230">
        <v>3986871</v>
      </c>
      <c r="BL150" s="229">
        <v>0.67259999999999998</v>
      </c>
      <c r="BM150" s="230">
        <v>8086867</v>
      </c>
      <c r="BN150" s="230">
        <v>4867500</v>
      </c>
      <c r="BO150" s="230">
        <v>3219368</v>
      </c>
      <c r="BP150" s="229">
        <v>0.66139999999999999</v>
      </c>
      <c r="BQ150" s="230">
        <v>18013256</v>
      </c>
      <c r="BR150" s="230">
        <v>10804957</v>
      </c>
      <c r="BS150" s="230">
        <v>7208299</v>
      </c>
      <c r="BT150" s="229">
        <v>0.66710000000000003</v>
      </c>
      <c r="BU150" s="228">
        <v>0</v>
      </c>
      <c r="BV150" s="228">
        <v>0</v>
      </c>
      <c r="BW150" s="228">
        <v>0</v>
      </c>
      <c r="BX150" s="229">
        <v>0</v>
      </c>
      <c r="BY150" s="230">
        <v>45314</v>
      </c>
      <c r="BZ150" s="230">
        <v>45411</v>
      </c>
      <c r="CA150" s="228">
        <v>-97</v>
      </c>
      <c r="CB150" s="229">
        <v>-2.0999999999999999E-3</v>
      </c>
      <c r="CC150" s="230">
        <v>39856</v>
      </c>
      <c r="CD150" s="230">
        <v>40714</v>
      </c>
      <c r="CE150" s="228">
        <v>-859</v>
      </c>
      <c r="CF150" s="229">
        <v>-2.1100000000000001E-2</v>
      </c>
      <c r="CG150" s="230">
        <v>4469</v>
      </c>
      <c r="CH150" s="230">
        <v>3774</v>
      </c>
      <c r="CI150" s="228">
        <v>695</v>
      </c>
      <c r="CJ150" s="229">
        <v>0.18410000000000001</v>
      </c>
      <c r="CK150" s="228">
        <v>989</v>
      </c>
      <c r="CL150" s="228">
        <v>923</v>
      </c>
      <c r="CM150" s="228">
        <v>66</v>
      </c>
      <c r="CN150" s="229">
        <v>7.1999999999999995E-2</v>
      </c>
      <c r="CO150" s="230">
        <v>596892</v>
      </c>
      <c r="CP150" s="230">
        <v>545231</v>
      </c>
      <c r="CQ150" s="230">
        <v>51662</v>
      </c>
      <c r="CR150" s="229">
        <v>9.4799999999999995E-2</v>
      </c>
      <c r="CS150" s="230">
        <v>761620</v>
      </c>
      <c r="CT150" s="230">
        <v>622020</v>
      </c>
      <c r="CU150" s="230">
        <v>139601</v>
      </c>
      <c r="CV150" s="229">
        <v>0.22439999999999999</v>
      </c>
      <c r="CW150" s="230">
        <v>1403827</v>
      </c>
      <c r="CX150" s="230">
        <v>1212662</v>
      </c>
      <c r="CY150" s="230">
        <v>191165</v>
      </c>
      <c r="CZ150" s="229">
        <v>0.15759999999999999</v>
      </c>
      <c r="DA150" s="228">
        <v>11.26</v>
      </c>
      <c r="DB150" s="228">
        <v>11.32</v>
      </c>
      <c r="DC150" s="228">
        <v>-0.06</v>
      </c>
      <c r="DD150" s="228">
        <v>-0.06</v>
      </c>
      <c r="DE150" s="228">
        <v>15.97</v>
      </c>
      <c r="DF150" s="228">
        <v>16</v>
      </c>
      <c r="DG150" s="228">
        <v>-4.71</v>
      </c>
      <c r="DH150" s="228">
        <v>-0.03</v>
      </c>
      <c r="DI150" s="228">
        <v>10.18</v>
      </c>
      <c r="DJ150" s="228">
        <v>10.23</v>
      </c>
      <c r="DK150" s="228">
        <v>-0.05</v>
      </c>
      <c r="DL150" s="228">
        <v>-0.05</v>
      </c>
      <c r="DM150" s="228">
        <v>12.42</v>
      </c>
      <c r="DN150" s="228">
        <v>12.45</v>
      </c>
      <c r="DO150" s="228">
        <v>-0.03</v>
      </c>
      <c r="DP150" s="228">
        <v>-0.03</v>
      </c>
      <c r="DQ150" s="228">
        <v>1.28</v>
      </c>
      <c r="DR150" s="228">
        <v>1.1399999999999999</v>
      </c>
      <c r="DS150" s="228">
        <v>0.14000000000000001</v>
      </c>
      <c r="DT150" s="229">
        <v>0.12280000000000001</v>
      </c>
      <c r="DU150" s="231">
        <v>25500</v>
      </c>
      <c r="DV150" s="231">
        <v>25000</v>
      </c>
      <c r="DW150" s="228">
        <v>0.82</v>
      </c>
      <c r="DX150" s="228">
        <v>0.82</v>
      </c>
      <c r="DY150" s="228">
        <v>0</v>
      </c>
      <c r="DZ150" s="229">
        <v>0</v>
      </c>
      <c r="EA150" s="229">
        <v>0.1205</v>
      </c>
      <c r="EB150" s="230">
        <v>1872600</v>
      </c>
      <c r="EC150" s="229">
        <v>5.7000000000000002E-3</v>
      </c>
      <c r="ED150" s="229">
        <v>0.1205</v>
      </c>
      <c r="EE150" s="228">
        <v>149.91</v>
      </c>
      <c r="EF150" s="229">
        <v>6.0000000000000001E-3</v>
      </c>
      <c r="EG150" s="228">
        <v>0</v>
      </c>
      <c r="EH150" s="228">
        <v>0</v>
      </c>
      <c r="EI150" s="229">
        <v>0</v>
      </c>
      <c r="EJ150" s="229">
        <v>0</v>
      </c>
      <c r="EK150" s="231">
        <v>9973031.4000000004</v>
      </c>
      <c r="EL150" s="231">
        <v>7997307.9000000004</v>
      </c>
      <c r="EM150" s="231">
        <v>12352.55</v>
      </c>
      <c r="EN150" s="228">
        <v>0</v>
      </c>
      <c r="EO150" s="231">
        <v>17982691.859999999</v>
      </c>
      <c r="EP150" s="231">
        <v>10771770.810000001</v>
      </c>
      <c r="EQ150" s="231">
        <v>7210921.04</v>
      </c>
      <c r="ER150" s="229">
        <v>0.6694</v>
      </c>
      <c r="ES150" s="231">
        <v>606880.54</v>
      </c>
      <c r="ET150" s="231">
        <v>740719.69</v>
      </c>
      <c r="EU150" s="231">
        <v>45349.87</v>
      </c>
      <c r="EV150" s="228">
        <v>0</v>
      </c>
      <c r="EW150" s="231">
        <v>1392950.1</v>
      </c>
      <c r="EX150" s="231">
        <v>1202166.28</v>
      </c>
      <c r="EY150" s="231">
        <v>190783.82</v>
      </c>
      <c r="EZ150" s="229">
        <v>0.15870000000000001</v>
      </c>
      <c r="FA150" s="229">
        <v>0</v>
      </c>
      <c r="FB150" s="227" t="s">
        <v>556</v>
      </c>
      <c r="FC150">
        <f t="shared" si="3"/>
        <v>0</v>
      </c>
    </row>
    <row r="151" spans="1:159" ht="17.25" thickBot="1" x14ac:dyDescent="0.3">
      <c r="A151" s="226">
        <v>45889</v>
      </c>
      <c r="B151" s="227" t="s">
        <v>181</v>
      </c>
      <c r="C151" s="227" t="s">
        <v>566</v>
      </c>
      <c r="D151" s="228">
        <v>25</v>
      </c>
      <c r="E151" s="228">
        <v>8</v>
      </c>
      <c r="F151" s="231">
        <v>68205</v>
      </c>
      <c r="G151" s="231">
        <v>67971.600000000006</v>
      </c>
      <c r="H151" s="228">
        <v>233.4</v>
      </c>
      <c r="I151" s="229">
        <v>3.3999999999999998E-3</v>
      </c>
      <c r="J151" s="231">
        <v>68164.3</v>
      </c>
      <c r="K151" s="231">
        <v>67907.45</v>
      </c>
      <c r="L151" s="228">
        <v>256.85000000000002</v>
      </c>
      <c r="M151" s="229">
        <v>3.8E-3</v>
      </c>
      <c r="N151" s="231">
        <v>68205</v>
      </c>
      <c r="O151" s="231">
        <v>67971.600000000006</v>
      </c>
      <c r="P151" s="228">
        <v>233.4</v>
      </c>
      <c r="Q151" s="229">
        <v>3.3999999999999998E-3</v>
      </c>
      <c r="R151" s="231">
        <v>68547.399999999994</v>
      </c>
      <c r="S151" s="231">
        <v>68283.199999999997</v>
      </c>
      <c r="T151" s="228">
        <v>264.2</v>
      </c>
      <c r="U151" s="229">
        <v>3.8999999999999998E-3</v>
      </c>
      <c r="V151" s="228">
        <v>0</v>
      </c>
      <c r="W151" s="228">
        <v>0</v>
      </c>
      <c r="X151" s="228">
        <v>0</v>
      </c>
      <c r="Y151" s="229">
        <v>0</v>
      </c>
      <c r="Z151" s="228">
        <v>40.700000000000003</v>
      </c>
      <c r="AA151" s="228">
        <v>64.150000000000006</v>
      </c>
      <c r="AB151" s="228">
        <v>-23.45</v>
      </c>
      <c r="AC151" s="229">
        <v>5.9999999999999995E-4</v>
      </c>
      <c r="AD151" s="228">
        <v>40.700000000000003</v>
      </c>
      <c r="AE151" s="228">
        <v>64.150000000000006</v>
      </c>
      <c r="AF151" s="228">
        <v>-23.45</v>
      </c>
      <c r="AG151" s="229">
        <v>5.9999999999999995E-4</v>
      </c>
      <c r="AH151" s="228">
        <v>383.1</v>
      </c>
      <c r="AI151" s="228">
        <v>375.75</v>
      </c>
      <c r="AJ151" s="228">
        <v>7.35</v>
      </c>
      <c r="AK151" s="229">
        <v>5.5999999999999999E-3</v>
      </c>
      <c r="AL151" s="228">
        <v>0</v>
      </c>
      <c r="AM151" s="228">
        <v>0</v>
      </c>
      <c r="AN151" s="228">
        <v>0</v>
      </c>
      <c r="AO151" s="229">
        <v>0</v>
      </c>
      <c r="AP151" s="231">
        <v>68120</v>
      </c>
      <c r="AQ151" s="231">
        <v>68484.210000000006</v>
      </c>
      <c r="AR151" s="228">
        <v>0</v>
      </c>
      <c r="AS151" s="228">
        <v>19</v>
      </c>
      <c r="AT151" s="228">
        <v>30</v>
      </c>
      <c r="AU151" s="228">
        <v>-11</v>
      </c>
      <c r="AV151" s="229">
        <v>-0.37290000000000001</v>
      </c>
      <c r="AW151" s="228">
        <v>16</v>
      </c>
      <c r="AX151" s="228">
        <v>24</v>
      </c>
      <c r="AY151" s="228">
        <v>-9</v>
      </c>
      <c r="AZ151" s="229">
        <v>-0.35659999999999997</v>
      </c>
      <c r="BA151" s="228">
        <v>3</v>
      </c>
      <c r="BB151" s="228">
        <v>6</v>
      </c>
      <c r="BC151" s="228">
        <v>-3</v>
      </c>
      <c r="BD151" s="229">
        <v>-0.44119999999999998</v>
      </c>
      <c r="BE151" s="228">
        <v>0</v>
      </c>
      <c r="BF151" s="228">
        <v>0</v>
      </c>
      <c r="BG151" s="228">
        <v>0</v>
      </c>
      <c r="BH151" s="229">
        <v>0</v>
      </c>
      <c r="BI151" s="228">
        <v>97</v>
      </c>
      <c r="BJ151" s="228">
        <v>34</v>
      </c>
      <c r="BK151" s="228">
        <v>63</v>
      </c>
      <c r="BL151" s="229">
        <v>1.855</v>
      </c>
      <c r="BM151" s="228">
        <v>42</v>
      </c>
      <c r="BN151" s="228">
        <v>36</v>
      </c>
      <c r="BO151" s="228">
        <v>6</v>
      </c>
      <c r="BP151" s="229">
        <v>0.1651</v>
      </c>
      <c r="BQ151" s="228">
        <v>158</v>
      </c>
      <c r="BR151" s="228">
        <v>100</v>
      </c>
      <c r="BS151" s="228">
        <v>58</v>
      </c>
      <c r="BT151" s="229">
        <v>0.57720000000000005</v>
      </c>
      <c r="BU151" s="228">
        <v>0</v>
      </c>
      <c r="BV151" s="228">
        <v>0</v>
      </c>
      <c r="BW151" s="228">
        <v>0</v>
      </c>
      <c r="BX151" s="229">
        <v>0</v>
      </c>
      <c r="BY151" s="228">
        <v>164</v>
      </c>
      <c r="BZ151" s="228">
        <v>165</v>
      </c>
      <c r="CA151" s="228">
        <v>-1</v>
      </c>
      <c r="CB151" s="229">
        <v>-7.1999999999999998E-3</v>
      </c>
      <c r="CC151" s="228">
        <v>144</v>
      </c>
      <c r="CD151" s="228">
        <v>146</v>
      </c>
      <c r="CE151" s="228">
        <v>-2</v>
      </c>
      <c r="CF151" s="229">
        <v>-1.6299999999999999E-2</v>
      </c>
      <c r="CG151" s="228">
        <v>20</v>
      </c>
      <c r="CH151" s="228">
        <v>19</v>
      </c>
      <c r="CI151" s="228">
        <v>1</v>
      </c>
      <c r="CJ151" s="229">
        <v>6.3100000000000003E-2</v>
      </c>
      <c r="CK151" s="228">
        <v>0</v>
      </c>
      <c r="CL151" s="228">
        <v>0</v>
      </c>
      <c r="CM151" s="228">
        <v>0</v>
      </c>
      <c r="CN151" s="229">
        <v>0</v>
      </c>
      <c r="CO151" s="228">
        <v>61</v>
      </c>
      <c r="CP151" s="228">
        <v>50</v>
      </c>
      <c r="CQ151" s="228">
        <v>11</v>
      </c>
      <c r="CR151" s="229">
        <v>0.2203</v>
      </c>
      <c r="CS151" s="228">
        <v>33</v>
      </c>
      <c r="CT151" s="228">
        <v>30</v>
      </c>
      <c r="CU151" s="228">
        <v>3</v>
      </c>
      <c r="CV151" s="229">
        <v>0.108</v>
      </c>
      <c r="CW151" s="228">
        <v>259</v>
      </c>
      <c r="CX151" s="228">
        <v>246</v>
      </c>
      <c r="CY151" s="228">
        <v>13</v>
      </c>
      <c r="CZ151" s="229">
        <v>5.3499999999999999E-2</v>
      </c>
      <c r="DA151" s="228">
        <v>14.34</v>
      </c>
      <c r="DB151" s="228">
        <v>14.33</v>
      </c>
      <c r="DC151" s="228">
        <v>0.01</v>
      </c>
      <c r="DD151" s="228">
        <v>0.01</v>
      </c>
      <c r="DE151" s="228">
        <v>22.64</v>
      </c>
      <c r="DF151" s="228">
        <v>22.69</v>
      </c>
      <c r="DG151" s="228">
        <v>-8.3000000000000007</v>
      </c>
      <c r="DH151" s="228">
        <v>-0.05</v>
      </c>
      <c r="DI151" s="228">
        <v>14.4</v>
      </c>
      <c r="DJ151" s="228">
        <v>13.75</v>
      </c>
      <c r="DK151" s="228">
        <v>0.65</v>
      </c>
      <c r="DL151" s="228">
        <v>0.65</v>
      </c>
      <c r="DM151" s="228">
        <v>14.19</v>
      </c>
      <c r="DN151" s="228">
        <v>14.87</v>
      </c>
      <c r="DO151" s="228">
        <v>-0.68</v>
      </c>
      <c r="DP151" s="228">
        <v>-0.68</v>
      </c>
      <c r="DQ151" s="228">
        <v>0.54</v>
      </c>
      <c r="DR151" s="228">
        <v>0.6</v>
      </c>
      <c r="DS151" s="228">
        <v>-0.06</v>
      </c>
      <c r="DT151" s="229">
        <v>-0.1</v>
      </c>
      <c r="DU151" s="231">
        <v>67000</v>
      </c>
      <c r="DV151" s="231">
        <v>66500</v>
      </c>
      <c r="DW151" s="228">
        <v>0.43</v>
      </c>
      <c r="DX151" s="228">
        <v>1.06</v>
      </c>
      <c r="DY151" s="228">
        <v>-0.63</v>
      </c>
      <c r="DZ151" s="229">
        <v>-0.59430000000000005</v>
      </c>
      <c r="EA151" s="229">
        <v>0.1227</v>
      </c>
      <c r="EB151" s="230">
        <v>2775</v>
      </c>
      <c r="EC151" s="229">
        <v>5.0000000000000001E-3</v>
      </c>
      <c r="ED151" s="229">
        <v>0.1227</v>
      </c>
      <c r="EE151" s="228">
        <v>364.21</v>
      </c>
      <c r="EF151" s="229">
        <v>5.3E-3</v>
      </c>
      <c r="EG151" s="228">
        <v>0</v>
      </c>
      <c r="EH151" s="228">
        <v>0</v>
      </c>
      <c r="EI151" s="229">
        <v>0</v>
      </c>
      <c r="EJ151" s="229">
        <v>0</v>
      </c>
      <c r="EK151" s="228">
        <v>99.28</v>
      </c>
      <c r="EL151" s="228">
        <v>41.88</v>
      </c>
      <c r="EM151" s="228">
        <v>18.920000000000002</v>
      </c>
      <c r="EN151" s="228">
        <v>0</v>
      </c>
      <c r="EO151" s="228">
        <v>160.09</v>
      </c>
      <c r="EP151" s="228">
        <v>99.82</v>
      </c>
      <c r="EQ151" s="228">
        <v>60.27</v>
      </c>
      <c r="ER151" s="229">
        <v>0.6038</v>
      </c>
      <c r="ES151" s="228">
        <v>61.08</v>
      </c>
      <c r="ET151" s="228">
        <v>32.44</v>
      </c>
      <c r="EU151" s="228">
        <v>164.13</v>
      </c>
      <c r="EV151" s="228">
        <v>0</v>
      </c>
      <c r="EW151" s="228">
        <v>257.64999999999998</v>
      </c>
      <c r="EX151" s="228">
        <v>243.81</v>
      </c>
      <c r="EY151" s="228">
        <v>13.84</v>
      </c>
      <c r="EZ151" s="229">
        <v>5.6800000000000003E-2</v>
      </c>
      <c r="FA151" s="229">
        <v>0</v>
      </c>
      <c r="FB151" s="227" t="s">
        <v>556</v>
      </c>
      <c r="FC151">
        <f t="shared" si="3"/>
        <v>0</v>
      </c>
    </row>
    <row r="152" spans="1:159" ht="17.25" thickBot="1" x14ac:dyDescent="0.3">
      <c r="A152" s="226">
        <v>45889</v>
      </c>
      <c r="B152" s="227" t="s">
        <v>227</v>
      </c>
      <c r="C152" s="227" t="s">
        <v>267</v>
      </c>
      <c r="D152" s="228">
        <v>13500</v>
      </c>
      <c r="E152" s="228">
        <v>8</v>
      </c>
      <c r="F152" s="228">
        <v>72.12</v>
      </c>
      <c r="G152" s="228">
        <v>70.92</v>
      </c>
      <c r="H152" s="228">
        <v>1.2</v>
      </c>
      <c r="I152" s="229">
        <v>1.6899999999999998E-2</v>
      </c>
      <c r="J152" s="228">
        <v>71.819999999999993</v>
      </c>
      <c r="K152" s="228">
        <v>70.72</v>
      </c>
      <c r="L152" s="228">
        <v>1.1000000000000001</v>
      </c>
      <c r="M152" s="229">
        <v>1.5599999999999999E-2</v>
      </c>
      <c r="N152" s="228">
        <v>72.12</v>
      </c>
      <c r="O152" s="228">
        <v>70.92</v>
      </c>
      <c r="P152" s="228">
        <v>1.2</v>
      </c>
      <c r="Q152" s="229">
        <v>1.6899999999999998E-2</v>
      </c>
      <c r="R152" s="228">
        <v>72.430000000000007</v>
      </c>
      <c r="S152" s="228">
        <v>71.34</v>
      </c>
      <c r="T152" s="228">
        <v>1.0900000000000001</v>
      </c>
      <c r="U152" s="229">
        <v>1.5299999999999999E-2</v>
      </c>
      <c r="V152" s="228">
        <v>72.72</v>
      </c>
      <c r="W152" s="228">
        <v>71.67</v>
      </c>
      <c r="X152" s="228">
        <v>1.05</v>
      </c>
      <c r="Y152" s="229">
        <v>1.47E-2</v>
      </c>
      <c r="Z152" s="228">
        <v>0.3</v>
      </c>
      <c r="AA152" s="228">
        <v>0.2</v>
      </c>
      <c r="AB152" s="228">
        <v>0.1</v>
      </c>
      <c r="AC152" s="229">
        <v>4.1999999999999997E-3</v>
      </c>
      <c r="AD152" s="228">
        <v>0.3</v>
      </c>
      <c r="AE152" s="228">
        <v>0.2</v>
      </c>
      <c r="AF152" s="228">
        <v>0.1</v>
      </c>
      <c r="AG152" s="229">
        <v>4.1999999999999997E-3</v>
      </c>
      <c r="AH152" s="228">
        <v>0.61</v>
      </c>
      <c r="AI152" s="228">
        <v>0.62</v>
      </c>
      <c r="AJ152" s="228">
        <v>-0.01</v>
      </c>
      <c r="AK152" s="229">
        <v>8.5000000000000006E-3</v>
      </c>
      <c r="AL152" s="228">
        <v>0.9</v>
      </c>
      <c r="AM152" s="228">
        <v>0.95</v>
      </c>
      <c r="AN152" s="228">
        <v>-0.05</v>
      </c>
      <c r="AO152" s="229">
        <v>1.2500000000000001E-2</v>
      </c>
      <c r="AP152" s="228">
        <v>71.849999999999994</v>
      </c>
      <c r="AQ152" s="228">
        <v>72.209999999999994</v>
      </c>
      <c r="AR152" s="228">
        <v>0</v>
      </c>
      <c r="AS152" s="228">
        <v>587</v>
      </c>
      <c r="AT152" s="228">
        <v>376</v>
      </c>
      <c r="AU152" s="228">
        <v>211</v>
      </c>
      <c r="AV152" s="229">
        <v>0.56210000000000004</v>
      </c>
      <c r="AW152" s="228">
        <v>426</v>
      </c>
      <c r="AX152" s="228">
        <v>268</v>
      </c>
      <c r="AY152" s="228">
        <v>159</v>
      </c>
      <c r="AZ152" s="229">
        <v>0.59260000000000002</v>
      </c>
      <c r="BA152" s="228">
        <v>151</v>
      </c>
      <c r="BB152" s="228">
        <v>96</v>
      </c>
      <c r="BC152" s="228">
        <v>55</v>
      </c>
      <c r="BD152" s="229">
        <v>0.57879999999999998</v>
      </c>
      <c r="BE152" s="228">
        <v>10</v>
      </c>
      <c r="BF152" s="228">
        <v>13</v>
      </c>
      <c r="BG152" s="228">
        <v>-3</v>
      </c>
      <c r="BH152" s="229">
        <v>-0.2077</v>
      </c>
      <c r="BI152" s="230">
        <v>1673</v>
      </c>
      <c r="BJ152" s="228">
        <v>603</v>
      </c>
      <c r="BK152" s="230">
        <v>1070</v>
      </c>
      <c r="BL152" s="229">
        <v>1.7743</v>
      </c>
      <c r="BM152" s="228">
        <v>650</v>
      </c>
      <c r="BN152" s="228">
        <v>368</v>
      </c>
      <c r="BO152" s="228">
        <v>282</v>
      </c>
      <c r="BP152" s="229">
        <v>0.76749999999999996</v>
      </c>
      <c r="BQ152" s="230">
        <v>2911</v>
      </c>
      <c r="BR152" s="230">
        <v>1347</v>
      </c>
      <c r="BS152" s="230">
        <v>1564</v>
      </c>
      <c r="BT152" s="229">
        <v>1.1611</v>
      </c>
      <c r="BU152" s="230">
        <v>31914625</v>
      </c>
      <c r="BV152" s="230">
        <v>21547607</v>
      </c>
      <c r="BW152" s="230">
        <v>10367018</v>
      </c>
      <c r="BX152" s="229">
        <v>0.48110000000000003</v>
      </c>
      <c r="BY152" s="230">
        <v>1904</v>
      </c>
      <c r="BZ152" s="230">
        <v>1905</v>
      </c>
      <c r="CA152" s="228">
        <v>-1</v>
      </c>
      <c r="CB152" s="229">
        <v>-8.0000000000000004E-4</v>
      </c>
      <c r="CC152" s="230">
        <v>1494</v>
      </c>
      <c r="CD152" s="230">
        <v>1544</v>
      </c>
      <c r="CE152" s="228">
        <v>-50</v>
      </c>
      <c r="CF152" s="229">
        <v>-3.2500000000000001E-2</v>
      </c>
      <c r="CG152" s="228">
        <v>392</v>
      </c>
      <c r="CH152" s="228">
        <v>345</v>
      </c>
      <c r="CI152" s="228">
        <v>47</v>
      </c>
      <c r="CJ152" s="229">
        <v>0.13569999999999999</v>
      </c>
      <c r="CK152" s="228">
        <v>18</v>
      </c>
      <c r="CL152" s="228">
        <v>16</v>
      </c>
      <c r="CM152" s="228">
        <v>2</v>
      </c>
      <c r="CN152" s="229">
        <v>0.122</v>
      </c>
      <c r="CO152" s="228">
        <v>921</v>
      </c>
      <c r="CP152" s="228">
        <v>944</v>
      </c>
      <c r="CQ152" s="228">
        <v>-23</v>
      </c>
      <c r="CR152" s="229">
        <v>-2.41E-2</v>
      </c>
      <c r="CS152" s="228">
        <v>705</v>
      </c>
      <c r="CT152" s="228">
        <v>688</v>
      </c>
      <c r="CU152" s="228">
        <v>17</v>
      </c>
      <c r="CV152" s="229">
        <v>2.52E-2</v>
      </c>
      <c r="CW152" s="230">
        <v>3530</v>
      </c>
      <c r="CX152" s="230">
        <v>3537</v>
      </c>
      <c r="CY152" s="228">
        <v>-7</v>
      </c>
      <c r="CZ152" s="229">
        <v>-2E-3</v>
      </c>
      <c r="DA152" s="228">
        <v>25.25</v>
      </c>
      <c r="DB152" s="228">
        <v>25.19</v>
      </c>
      <c r="DC152" s="228">
        <v>0.06</v>
      </c>
      <c r="DD152" s="228">
        <v>0.06</v>
      </c>
      <c r="DE152" s="228">
        <v>41.75</v>
      </c>
      <c r="DF152" s="228">
        <v>41.79</v>
      </c>
      <c r="DG152" s="228">
        <v>-16.5</v>
      </c>
      <c r="DH152" s="228">
        <v>-0.04</v>
      </c>
      <c r="DI152" s="228">
        <v>25.04</v>
      </c>
      <c r="DJ152" s="228">
        <v>23.84</v>
      </c>
      <c r="DK152" s="228">
        <v>1.2</v>
      </c>
      <c r="DL152" s="228">
        <v>1.2</v>
      </c>
      <c r="DM152" s="228">
        <v>25.78</v>
      </c>
      <c r="DN152" s="228">
        <v>27.41</v>
      </c>
      <c r="DO152" s="228">
        <v>-1.63</v>
      </c>
      <c r="DP152" s="228">
        <v>-1.63</v>
      </c>
      <c r="DQ152" s="228">
        <v>0.77</v>
      </c>
      <c r="DR152" s="228">
        <v>0.73</v>
      </c>
      <c r="DS152" s="228">
        <v>0.04</v>
      </c>
      <c r="DT152" s="229">
        <v>5.4800000000000001E-2</v>
      </c>
      <c r="DU152" s="228">
        <v>80</v>
      </c>
      <c r="DV152" s="228">
        <v>71</v>
      </c>
      <c r="DW152" s="228">
        <v>0.39</v>
      </c>
      <c r="DX152" s="228">
        <v>0.61</v>
      </c>
      <c r="DY152" s="228">
        <v>-0.22</v>
      </c>
      <c r="DZ152" s="229">
        <v>-0.36070000000000002</v>
      </c>
      <c r="EA152" s="229">
        <v>0.21529999999999999</v>
      </c>
      <c r="EB152" s="230">
        <v>50058000</v>
      </c>
      <c r="EC152" s="229">
        <v>4.3E-3</v>
      </c>
      <c r="ED152" s="229">
        <v>0.21529999999999999</v>
      </c>
      <c r="EE152" s="228">
        <v>0.36</v>
      </c>
      <c r="EF152" s="229">
        <v>5.0000000000000001E-3</v>
      </c>
      <c r="EG152" s="230">
        <v>11542707</v>
      </c>
      <c r="EH152" s="230">
        <v>12243893</v>
      </c>
      <c r="EI152" s="229">
        <v>-5.7299999999999997E-2</v>
      </c>
      <c r="EJ152" s="229">
        <v>0.36170000000000002</v>
      </c>
      <c r="EK152" s="231">
        <v>1722.88</v>
      </c>
      <c r="EL152" s="228">
        <v>664.5</v>
      </c>
      <c r="EM152" s="228">
        <v>586.03</v>
      </c>
      <c r="EN152" s="228">
        <v>0</v>
      </c>
      <c r="EO152" s="231">
        <v>2973.42</v>
      </c>
      <c r="EP152" s="231">
        <v>1358.93</v>
      </c>
      <c r="EQ152" s="231">
        <v>1614.49</v>
      </c>
      <c r="ER152" s="229">
        <v>1.1880999999999999</v>
      </c>
      <c r="ES152" s="228">
        <v>959.29</v>
      </c>
      <c r="ET152" s="228">
        <v>691.51</v>
      </c>
      <c r="EU152" s="231">
        <v>1905.65</v>
      </c>
      <c r="EV152" s="231">
        <v>689383367</v>
      </c>
      <c r="EW152" s="231">
        <v>3556.45</v>
      </c>
      <c r="EX152" s="231">
        <v>3527.37</v>
      </c>
      <c r="EY152" s="228">
        <v>29.08</v>
      </c>
      <c r="EZ152" s="229">
        <v>8.2000000000000007E-3</v>
      </c>
      <c r="FA152" s="229">
        <v>0.71009999999999995</v>
      </c>
      <c r="FB152" s="227" t="s">
        <v>556</v>
      </c>
      <c r="FC152">
        <f t="shared" si="3"/>
        <v>0</v>
      </c>
    </row>
    <row r="153" spans="1:159" ht="17.25" thickBot="1" x14ac:dyDescent="0.3">
      <c r="A153" s="226">
        <v>45889</v>
      </c>
      <c r="B153" s="227" t="s">
        <v>161</v>
      </c>
      <c r="C153" s="227" t="s">
        <v>268</v>
      </c>
      <c r="D153" s="228">
        <v>1500</v>
      </c>
      <c r="E153" s="228">
        <v>8</v>
      </c>
      <c r="F153" s="228">
        <v>342.15</v>
      </c>
      <c r="G153" s="228">
        <v>335.95</v>
      </c>
      <c r="H153" s="228">
        <v>6.2</v>
      </c>
      <c r="I153" s="229">
        <v>1.8499999999999999E-2</v>
      </c>
      <c r="J153" s="228">
        <v>342</v>
      </c>
      <c r="K153" s="228">
        <v>335.05</v>
      </c>
      <c r="L153" s="228">
        <v>6.95</v>
      </c>
      <c r="M153" s="229">
        <v>2.07E-2</v>
      </c>
      <c r="N153" s="228">
        <v>342.15</v>
      </c>
      <c r="O153" s="228">
        <v>335.95</v>
      </c>
      <c r="P153" s="228">
        <v>6.2</v>
      </c>
      <c r="Q153" s="229">
        <v>1.8499999999999999E-2</v>
      </c>
      <c r="R153" s="228">
        <v>340.95</v>
      </c>
      <c r="S153" s="228">
        <v>334.8</v>
      </c>
      <c r="T153" s="228">
        <v>6.15</v>
      </c>
      <c r="U153" s="229">
        <v>1.84E-2</v>
      </c>
      <c r="V153" s="228">
        <v>342.65</v>
      </c>
      <c r="W153" s="228">
        <v>336.05</v>
      </c>
      <c r="X153" s="228">
        <v>6.6</v>
      </c>
      <c r="Y153" s="229">
        <v>1.9599999999999999E-2</v>
      </c>
      <c r="Z153" s="228">
        <v>0.15</v>
      </c>
      <c r="AA153" s="228">
        <v>0.9</v>
      </c>
      <c r="AB153" s="228">
        <v>-0.75</v>
      </c>
      <c r="AC153" s="229">
        <v>4.0000000000000002E-4</v>
      </c>
      <c r="AD153" s="228">
        <v>0.15</v>
      </c>
      <c r="AE153" s="228">
        <v>0.9</v>
      </c>
      <c r="AF153" s="228">
        <v>-0.75</v>
      </c>
      <c r="AG153" s="229">
        <v>4.0000000000000002E-4</v>
      </c>
      <c r="AH153" s="228">
        <v>-1.05</v>
      </c>
      <c r="AI153" s="228">
        <v>-0.25</v>
      </c>
      <c r="AJ153" s="228">
        <v>-0.8</v>
      </c>
      <c r="AK153" s="229">
        <v>-3.0999999999999999E-3</v>
      </c>
      <c r="AL153" s="228">
        <v>0.65</v>
      </c>
      <c r="AM153" s="228">
        <v>1</v>
      </c>
      <c r="AN153" s="228">
        <v>-0.35</v>
      </c>
      <c r="AO153" s="229">
        <v>1.9E-3</v>
      </c>
      <c r="AP153" s="228">
        <v>340.93</v>
      </c>
      <c r="AQ153" s="228">
        <v>339.25</v>
      </c>
      <c r="AR153" s="228">
        <v>0</v>
      </c>
      <c r="AS153" s="228">
        <v>707</v>
      </c>
      <c r="AT153" s="228">
        <v>477</v>
      </c>
      <c r="AU153" s="228">
        <v>230</v>
      </c>
      <c r="AV153" s="229">
        <v>0.48139999999999999</v>
      </c>
      <c r="AW153" s="228">
        <v>549</v>
      </c>
      <c r="AX153" s="228">
        <v>296</v>
      </c>
      <c r="AY153" s="228">
        <v>253</v>
      </c>
      <c r="AZ153" s="229">
        <v>0.85450000000000004</v>
      </c>
      <c r="BA153" s="228">
        <v>148</v>
      </c>
      <c r="BB153" s="228">
        <v>173</v>
      </c>
      <c r="BC153" s="228">
        <v>-24</v>
      </c>
      <c r="BD153" s="229">
        <v>-0.1411</v>
      </c>
      <c r="BE153" s="228">
        <v>9</v>
      </c>
      <c r="BF153" s="228">
        <v>8</v>
      </c>
      <c r="BG153" s="228">
        <v>1</v>
      </c>
      <c r="BH153" s="229">
        <v>0.10970000000000001</v>
      </c>
      <c r="BI153" s="230">
        <v>3588</v>
      </c>
      <c r="BJ153" s="230">
        <v>1505</v>
      </c>
      <c r="BK153" s="230">
        <v>2083</v>
      </c>
      <c r="BL153" s="229">
        <v>1.3835</v>
      </c>
      <c r="BM153" s="230">
        <v>1112</v>
      </c>
      <c r="BN153" s="228">
        <v>758</v>
      </c>
      <c r="BO153" s="228">
        <v>355</v>
      </c>
      <c r="BP153" s="229">
        <v>0.46789999999999998</v>
      </c>
      <c r="BQ153" s="230">
        <v>5407</v>
      </c>
      <c r="BR153" s="230">
        <v>2740</v>
      </c>
      <c r="BS153" s="230">
        <v>2667</v>
      </c>
      <c r="BT153" s="229">
        <v>0.97330000000000005</v>
      </c>
      <c r="BU153" s="230">
        <v>11075082</v>
      </c>
      <c r="BV153" s="230">
        <v>10681776</v>
      </c>
      <c r="BW153" s="230">
        <v>393306</v>
      </c>
      <c r="BX153" s="229">
        <v>3.6799999999999999E-2</v>
      </c>
      <c r="BY153" s="230">
        <v>3615</v>
      </c>
      <c r="BZ153" s="230">
        <v>3537</v>
      </c>
      <c r="CA153" s="228">
        <v>77</v>
      </c>
      <c r="CB153" s="229">
        <v>2.1899999999999999E-2</v>
      </c>
      <c r="CC153" s="230">
        <v>3254</v>
      </c>
      <c r="CD153" s="230">
        <v>3245</v>
      </c>
      <c r="CE153" s="228">
        <v>9</v>
      </c>
      <c r="CF153" s="229">
        <v>2.8E-3</v>
      </c>
      <c r="CG153" s="228">
        <v>349</v>
      </c>
      <c r="CH153" s="228">
        <v>282</v>
      </c>
      <c r="CI153" s="228">
        <v>67</v>
      </c>
      <c r="CJ153" s="229">
        <v>0.23830000000000001</v>
      </c>
      <c r="CK153" s="228">
        <v>12</v>
      </c>
      <c r="CL153" s="228">
        <v>11</v>
      </c>
      <c r="CM153" s="228">
        <v>1</v>
      </c>
      <c r="CN153" s="229">
        <v>0.13109999999999999</v>
      </c>
      <c r="CO153" s="230">
        <v>1526</v>
      </c>
      <c r="CP153" s="230">
        <v>1427</v>
      </c>
      <c r="CQ153" s="228">
        <v>100</v>
      </c>
      <c r="CR153" s="229">
        <v>6.9800000000000001E-2</v>
      </c>
      <c r="CS153" s="228">
        <v>783</v>
      </c>
      <c r="CT153" s="228">
        <v>611</v>
      </c>
      <c r="CU153" s="228">
        <v>172</v>
      </c>
      <c r="CV153" s="229">
        <v>0.2823</v>
      </c>
      <c r="CW153" s="230">
        <v>5924</v>
      </c>
      <c r="CX153" s="230">
        <v>5575</v>
      </c>
      <c r="CY153" s="228">
        <v>349</v>
      </c>
      <c r="CZ153" s="229">
        <v>6.2700000000000006E-2</v>
      </c>
      <c r="DA153" s="228">
        <v>15.9</v>
      </c>
      <c r="DB153" s="228">
        <v>17.399999999999999</v>
      </c>
      <c r="DC153" s="228">
        <v>-1.5</v>
      </c>
      <c r="DD153" s="228">
        <v>-1.5</v>
      </c>
      <c r="DE153" s="228">
        <v>30.64</v>
      </c>
      <c r="DF153" s="228">
        <v>30.59</v>
      </c>
      <c r="DG153" s="228">
        <v>-14.74</v>
      </c>
      <c r="DH153" s="228">
        <v>0.05</v>
      </c>
      <c r="DI153" s="228">
        <v>15.76</v>
      </c>
      <c r="DJ153" s="228">
        <v>17.22</v>
      </c>
      <c r="DK153" s="228">
        <v>-1.46</v>
      </c>
      <c r="DL153" s="228">
        <v>-1.46</v>
      </c>
      <c r="DM153" s="228">
        <v>16.350000000000001</v>
      </c>
      <c r="DN153" s="228">
        <v>17.77</v>
      </c>
      <c r="DO153" s="228">
        <v>-1.42</v>
      </c>
      <c r="DP153" s="228">
        <v>-1.42</v>
      </c>
      <c r="DQ153" s="228">
        <v>0.51</v>
      </c>
      <c r="DR153" s="228">
        <v>0.43</v>
      </c>
      <c r="DS153" s="228">
        <v>0.08</v>
      </c>
      <c r="DT153" s="229">
        <v>0.186</v>
      </c>
      <c r="DU153" s="228">
        <v>340</v>
      </c>
      <c r="DV153" s="228">
        <v>340</v>
      </c>
      <c r="DW153" s="228">
        <v>0.31</v>
      </c>
      <c r="DX153" s="228">
        <v>0.5</v>
      </c>
      <c r="DY153" s="228">
        <v>-0.19</v>
      </c>
      <c r="DZ153" s="229">
        <v>-0.38</v>
      </c>
      <c r="EA153" s="229">
        <v>9.9900000000000003E-2</v>
      </c>
      <c r="EB153" s="230">
        <v>8550000</v>
      </c>
      <c r="EC153" s="229">
        <v>-3.5000000000000001E-3</v>
      </c>
      <c r="ED153" s="229">
        <v>9.9900000000000003E-2</v>
      </c>
      <c r="EE153" s="228">
        <v>-1.68</v>
      </c>
      <c r="EF153" s="229">
        <v>-4.8999999999999998E-3</v>
      </c>
      <c r="EG153" s="230">
        <v>6422396</v>
      </c>
      <c r="EH153" s="230">
        <v>6849923</v>
      </c>
      <c r="EI153" s="229">
        <v>-6.2399999999999997E-2</v>
      </c>
      <c r="EJ153" s="229">
        <v>0.57989999999999997</v>
      </c>
      <c r="EK153" s="231">
        <v>3644.57</v>
      </c>
      <c r="EL153" s="231">
        <v>1106.27</v>
      </c>
      <c r="EM153" s="228">
        <v>703.3</v>
      </c>
      <c r="EN153" s="228">
        <v>0</v>
      </c>
      <c r="EO153" s="231">
        <v>5454.14</v>
      </c>
      <c r="EP153" s="231">
        <v>2757.32</v>
      </c>
      <c r="EQ153" s="231">
        <v>2696.82</v>
      </c>
      <c r="ER153" s="229">
        <v>0.97809999999999997</v>
      </c>
      <c r="ES153" s="231">
        <v>1547.4</v>
      </c>
      <c r="ET153" s="228">
        <v>773.18</v>
      </c>
      <c r="EU153" s="231">
        <v>3613.59</v>
      </c>
      <c r="EV153" s="231">
        <v>948263976</v>
      </c>
      <c r="EW153" s="231">
        <v>5934.17</v>
      </c>
      <c r="EX153" s="231">
        <v>5519.3</v>
      </c>
      <c r="EY153" s="228">
        <v>414.87</v>
      </c>
      <c r="EZ153" s="229">
        <v>7.5200000000000003E-2</v>
      </c>
      <c r="FA153" s="229">
        <v>0.18260000000000001</v>
      </c>
      <c r="FB153" s="227" t="s">
        <v>555</v>
      </c>
      <c r="FC153">
        <f t="shared" si="3"/>
        <v>0</v>
      </c>
    </row>
    <row r="154" spans="1:159" ht="17.25" thickBot="1" x14ac:dyDescent="0.3">
      <c r="A154" s="226">
        <v>45889</v>
      </c>
      <c r="B154" s="227" t="s">
        <v>175</v>
      </c>
      <c r="C154" s="227" t="s">
        <v>687</v>
      </c>
      <c r="D154" s="228">
        <v>75</v>
      </c>
      <c r="E154" s="228">
        <v>8</v>
      </c>
      <c r="F154" s="231">
        <v>6857</v>
      </c>
      <c r="G154" s="231">
        <v>6796</v>
      </c>
      <c r="H154" s="228">
        <v>61</v>
      </c>
      <c r="I154" s="229">
        <v>8.9999999999999993E-3</v>
      </c>
      <c r="J154" s="231">
        <v>6854.5</v>
      </c>
      <c r="K154" s="231">
        <v>6789.5</v>
      </c>
      <c r="L154" s="228">
        <v>65</v>
      </c>
      <c r="M154" s="229">
        <v>9.5999999999999992E-3</v>
      </c>
      <c r="N154" s="231">
        <v>6857</v>
      </c>
      <c r="O154" s="231">
        <v>6796</v>
      </c>
      <c r="P154" s="228">
        <v>61</v>
      </c>
      <c r="Q154" s="229">
        <v>8.9999999999999993E-3</v>
      </c>
      <c r="R154" s="231">
        <v>6874.5</v>
      </c>
      <c r="S154" s="231">
        <v>6805</v>
      </c>
      <c r="T154" s="228">
        <v>69.5</v>
      </c>
      <c r="U154" s="229">
        <v>1.0200000000000001E-2</v>
      </c>
      <c r="V154" s="231">
        <v>6859.5</v>
      </c>
      <c r="W154" s="231">
        <v>6813</v>
      </c>
      <c r="X154" s="228">
        <v>46.5</v>
      </c>
      <c r="Y154" s="229">
        <v>6.7999999999999996E-3</v>
      </c>
      <c r="Z154" s="228">
        <v>2.5</v>
      </c>
      <c r="AA154" s="228">
        <v>6.5</v>
      </c>
      <c r="AB154" s="228">
        <v>-4</v>
      </c>
      <c r="AC154" s="229">
        <v>4.0000000000000002E-4</v>
      </c>
      <c r="AD154" s="228">
        <v>2.5</v>
      </c>
      <c r="AE154" s="228">
        <v>6.5</v>
      </c>
      <c r="AF154" s="228">
        <v>-4</v>
      </c>
      <c r="AG154" s="229">
        <v>4.0000000000000002E-4</v>
      </c>
      <c r="AH154" s="228">
        <v>20</v>
      </c>
      <c r="AI154" s="228">
        <v>15.5</v>
      </c>
      <c r="AJ154" s="228">
        <v>4.5</v>
      </c>
      <c r="AK154" s="229">
        <v>2.8999999999999998E-3</v>
      </c>
      <c r="AL154" s="228">
        <v>5</v>
      </c>
      <c r="AM154" s="228">
        <v>23.5</v>
      </c>
      <c r="AN154" s="228">
        <v>-18.5</v>
      </c>
      <c r="AO154" s="229">
        <v>6.9999999999999999E-4</v>
      </c>
      <c r="AP154" s="231">
        <v>6782.59</v>
      </c>
      <c r="AQ154" s="231">
        <v>6793.6</v>
      </c>
      <c r="AR154" s="228">
        <v>0</v>
      </c>
      <c r="AS154" s="228">
        <v>122</v>
      </c>
      <c r="AT154" s="228">
        <v>124</v>
      </c>
      <c r="AU154" s="228">
        <v>-2</v>
      </c>
      <c r="AV154" s="229">
        <v>-1.41E-2</v>
      </c>
      <c r="AW154" s="228">
        <v>105</v>
      </c>
      <c r="AX154" s="228">
        <v>107</v>
      </c>
      <c r="AY154" s="228">
        <v>-2</v>
      </c>
      <c r="AZ154" s="229">
        <v>-2.07E-2</v>
      </c>
      <c r="BA154" s="228">
        <v>17</v>
      </c>
      <c r="BB154" s="228">
        <v>16</v>
      </c>
      <c r="BC154" s="228">
        <v>1</v>
      </c>
      <c r="BD154" s="229">
        <v>5.21E-2</v>
      </c>
      <c r="BE154" s="228">
        <v>1</v>
      </c>
      <c r="BF154" s="228">
        <v>1</v>
      </c>
      <c r="BG154" s="228">
        <v>0</v>
      </c>
      <c r="BH154" s="229">
        <v>-0.31819999999999998</v>
      </c>
      <c r="BI154" s="228">
        <v>678</v>
      </c>
      <c r="BJ154" s="228">
        <v>416</v>
      </c>
      <c r="BK154" s="228">
        <v>262</v>
      </c>
      <c r="BL154" s="229">
        <v>0.62909999999999999</v>
      </c>
      <c r="BM154" s="228">
        <v>342</v>
      </c>
      <c r="BN154" s="228">
        <v>383</v>
      </c>
      <c r="BO154" s="228">
        <v>-41</v>
      </c>
      <c r="BP154" s="229">
        <v>-0.1082</v>
      </c>
      <c r="BQ154" s="230">
        <v>1142</v>
      </c>
      <c r="BR154" s="228">
        <v>923</v>
      </c>
      <c r="BS154" s="228">
        <v>219</v>
      </c>
      <c r="BT154" s="229">
        <v>0.23680000000000001</v>
      </c>
      <c r="BU154" s="230">
        <v>166394</v>
      </c>
      <c r="BV154" s="230">
        <v>161241</v>
      </c>
      <c r="BW154" s="230">
        <v>5153</v>
      </c>
      <c r="BX154" s="229">
        <v>3.2000000000000001E-2</v>
      </c>
      <c r="BY154" s="228">
        <v>150</v>
      </c>
      <c r="BZ154" s="228">
        <v>158</v>
      </c>
      <c r="CA154" s="228">
        <v>-8</v>
      </c>
      <c r="CB154" s="229">
        <v>-5.2299999999999999E-2</v>
      </c>
      <c r="CC154" s="228">
        <v>135</v>
      </c>
      <c r="CD154" s="228">
        <v>145</v>
      </c>
      <c r="CE154" s="228">
        <v>-10</v>
      </c>
      <c r="CF154" s="229">
        <v>-6.8699999999999997E-2</v>
      </c>
      <c r="CG154" s="228">
        <v>13</v>
      </c>
      <c r="CH154" s="228">
        <v>11</v>
      </c>
      <c r="CI154" s="228">
        <v>2</v>
      </c>
      <c r="CJ154" s="229">
        <v>0.16889999999999999</v>
      </c>
      <c r="CK154" s="228">
        <v>2</v>
      </c>
      <c r="CL154" s="228">
        <v>2</v>
      </c>
      <c r="CM154" s="228">
        <v>0</v>
      </c>
      <c r="CN154" s="229">
        <v>-0.1143</v>
      </c>
      <c r="CO154" s="228">
        <v>208</v>
      </c>
      <c r="CP154" s="228">
        <v>283</v>
      </c>
      <c r="CQ154" s="228">
        <v>-75</v>
      </c>
      <c r="CR154" s="229">
        <v>-0.26629999999999998</v>
      </c>
      <c r="CS154" s="228">
        <v>129</v>
      </c>
      <c r="CT154" s="228">
        <v>135</v>
      </c>
      <c r="CU154" s="228">
        <v>-6</v>
      </c>
      <c r="CV154" s="229">
        <v>-4.1599999999999998E-2</v>
      </c>
      <c r="CW154" s="228">
        <v>487</v>
      </c>
      <c r="CX154" s="228">
        <v>577</v>
      </c>
      <c r="CY154" s="228">
        <v>-89</v>
      </c>
      <c r="CZ154" s="229">
        <v>-0.155</v>
      </c>
      <c r="DA154" s="228">
        <v>38.71</v>
      </c>
      <c r="DB154" s="228">
        <v>41.15</v>
      </c>
      <c r="DC154" s="228">
        <v>-2.44</v>
      </c>
      <c r="DD154" s="228">
        <v>-2.44</v>
      </c>
      <c r="DE154" s="228">
        <v>55.36</v>
      </c>
      <c r="DF154" s="228">
        <v>55.49</v>
      </c>
      <c r="DG154" s="228">
        <v>-16.649999999999999</v>
      </c>
      <c r="DH154" s="228">
        <v>-0.13</v>
      </c>
      <c r="DI154" s="228">
        <v>37.869999999999997</v>
      </c>
      <c r="DJ154" s="228">
        <v>41.34</v>
      </c>
      <c r="DK154" s="228">
        <v>-3.47</v>
      </c>
      <c r="DL154" s="228">
        <v>-3.47</v>
      </c>
      <c r="DM154" s="228">
        <v>40.39</v>
      </c>
      <c r="DN154" s="228">
        <v>40.94</v>
      </c>
      <c r="DO154" s="228">
        <v>-0.55000000000000004</v>
      </c>
      <c r="DP154" s="228">
        <v>-0.55000000000000004</v>
      </c>
      <c r="DQ154" s="228">
        <v>0.62</v>
      </c>
      <c r="DR154" s="228">
        <v>0.48</v>
      </c>
      <c r="DS154" s="228">
        <v>0.14000000000000001</v>
      </c>
      <c r="DT154" s="229">
        <v>0.29170000000000001</v>
      </c>
      <c r="DU154" s="231">
        <v>7000</v>
      </c>
      <c r="DV154" s="231">
        <v>6800</v>
      </c>
      <c r="DW154" s="228">
        <v>0.5</v>
      </c>
      <c r="DX154" s="228">
        <v>0.92</v>
      </c>
      <c r="DY154" s="228">
        <v>-0.42</v>
      </c>
      <c r="DZ154" s="229">
        <v>-0.45650000000000002</v>
      </c>
      <c r="EA154" s="229">
        <v>9.8400000000000001E-2</v>
      </c>
      <c r="EB154" s="230">
        <v>19050</v>
      </c>
      <c r="EC154" s="229">
        <v>2.5999999999999999E-3</v>
      </c>
      <c r="ED154" s="229">
        <v>9.8400000000000001E-2</v>
      </c>
      <c r="EE154" s="228">
        <v>11.01</v>
      </c>
      <c r="EF154" s="229">
        <v>1.6000000000000001E-3</v>
      </c>
      <c r="EG154" s="230">
        <v>81693</v>
      </c>
      <c r="EH154" s="230">
        <v>52955</v>
      </c>
      <c r="EI154" s="229">
        <v>0.54269999999999996</v>
      </c>
      <c r="EJ154" s="229">
        <v>0.49099999999999999</v>
      </c>
      <c r="EK154" s="228">
        <v>724.48</v>
      </c>
      <c r="EL154" s="228">
        <v>316.23</v>
      </c>
      <c r="EM154" s="228">
        <v>120.94</v>
      </c>
      <c r="EN154" s="228">
        <v>0</v>
      </c>
      <c r="EO154" s="231">
        <v>1161.6600000000001</v>
      </c>
      <c r="EP154" s="228">
        <v>927.55</v>
      </c>
      <c r="EQ154" s="228">
        <v>234.11</v>
      </c>
      <c r="ER154" s="229">
        <v>0.25240000000000001</v>
      </c>
      <c r="ES154" s="228">
        <v>218.44</v>
      </c>
      <c r="ET154" s="228">
        <v>125.09</v>
      </c>
      <c r="EU154" s="228">
        <v>150.1</v>
      </c>
      <c r="EV154" s="231">
        <v>3259553</v>
      </c>
      <c r="EW154" s="228">
        <v>493.63</v>
      </c>
      <c r="EX154" s="228">
        <v>586.37</v>
      </c>
      <c r="EY154" s="228">
        <v>-92.74</v>
      </c>
      <c r="EZ154" s="229">
        <v>-0.15820000000000001</v>
      </c>
      <c r="FA154" s="229">
        <v>0.218</v>
      </c>
      <c r="FB154" s="227" t="s">
        <v>556</v>
      </c>
      <c r="FC154">
        <f t="shared" si="3"/>
        <v>0</v>
      </c>
    </row>
    <row r="155" spans="1:159" ht="17.25" thickBot="1" x14ac:dyDescent="0.3">
      <c r="A155" s="226">
        <v>45889</v>
      </c>
      <c r="B155" s="227" t="s">
        <v>616</v>
      </c>
      <c r="C155" s="227" t="s">
        <v>614</v>
      </c>
      <c r="D155" s="228">
        <v>3125</v>
      </c>
      <c r="E155" s="228">
        <v>8</v>
      </c>
      <c r="F155" s="228">
        <v>224.49</v>
      </c>
      <c r="G155" s="228">
        <v>225.82</v>
      </c>
      <c r="H155" s="228">
        <v>-1.33</v>
      </c>
      <c r="I155" s="229">
        <v>-5.8999999999999999E-3</v>
      </c>
      <c r="J155" s="228">
        <v>225.18</v>
      </c>
      <c r="K155" s="228">
        <v>226.83</v>
      </c>
      <c r="L155" s="228">
        <v>-1.65</v>
      </c>
      <c r="M155" s="229">
        <v>-7.3000000000000001E-3</v>
      </c>
      <c r="N155" s="228">
        <v>224.49</v>
      </c>
      <c r="O155" s="228">
        <v>225.82</v>
      </c>
      <c r="P155" s="228">
        <v>-1.33</v>
      </c>
      <c r="Q155" s="229">
        <v>-5.8999999999999999E-3</v>
      </c>
      <c r="R155" s="228">
        <v>223.07</v>
      </c>
      <c r="S155" s="228">
        <v>224.56</v>
      </c>
      <c r="T155" s="228">
        <v>-1.49</v>
      </c>
      <c r="U155" s="229">
        <v>-6.6E-3</v>
      </c>
      <c r="V155" s="228">
        <v>222.44</v>
      </c>
      <c r="W155" s="228">
        <v>223.7</v>
      </c>
      <c r="X155" s="228">
        <v>-1.26</v>
      </c>
      <c r="Y155" s="229">
        <v>-5.5999999999999999E-3</v>
      </c>
      <c r="Z155" s="228">
        <v>-0.69</v>
      </c>
      <c r="AA155" s="228">
        <v>-1.01</v>
      </c>
      <c r="AB155" s="228">
        <v>0.32</v>
      </c>
      <c r="AC155" s="229">
        <v>-3.0999999999999999E-3</v>
      </c>
      <c r="AD155" s="228">
        <v>-0.69</v>
      </c>
      <c r="AE155" s="228">
        <v>-1.01</v>
      </c>
      <c r="AF155" s="228">
        <v>0.32</v>
      </c>
      <c r="AG155" s="229">
        <v>-3.0999999999999999E-3</v>
      </c>
      <c r="AH155" s="228">
        <v>-2.11</v>
      </c>
      <c r="AI155" s="228">
        <v>-2.27</v>
      </c>
      <c r="AJ155" s="228">
        <v>0.16</v>
      </c>
      <c r="AK155" s="229">
        <v>-9.4000000000000004E-3</v>
      </c>
      <c r="AL155" s="228">
        <v>-2.74</v>
      </c>
      <c r="AM155" s="228">
        <v>-3.13</v>
      </c>
      <c r="AN155" s="228">
        <v>0.39</v>
      </c>
      <c r="AO155" s="229">
        <v>-1.2200000000000001E-2</v>
      </c>
      <c r="AP155" s="228">
        <v>225.74</v>
      </c>
      <c r="AQ155" s="228">
        <v>224.11</v>
      </c>
      <c r="AR155" s="228">
        <v>0</v>
      </c>
      <c r="AS155" s="228">
        <v>326</v>
      </c>
      <c r="AT155" s="228">
        <v>402</v>
      </c>
      <c r="AU155" s="228">
        <v>-76</v>
      </c>
      <c r="AV155" s="229">
        <v>-0.1893</v>
      </c>
      <c r="AW155" s="228">
        <v>248</v>
      </c>
      <c r="AX155" s="228">
        <v>319</v>
      </c>
      <c r="AY155" s="228">
        <v>-71</v>
      </c>
      <c r="AZ155" s="229">
        <v>-0.22309999999999999</v>
      </c>
      <c r="BA155" s="228">
        <v>76</v>
      </c>
      <c r="BB155" s="228">
        <v>79</v>
      </c>
      <c r="BC155" s="228">
        <v>-4</v>
      </c>
      <c r="BD155" s="229">
        <v>-4.7699999999999999E-2</v>
      </c>
      <c r="BE155" s="228">
        <v>2</v>
      </c>
      <c r="BF155" s="228">
        <v>3</v>
      </c>
      <c r="BG155" s="228">
        <v>-1</v>
      </c>
      <c r="BH155" s="229">
        <v>-0.35899999999999999</v>
      </c>
      <c r="BI155" s="228">
        <v>638</v>
      </c>
      <c r="BJ155" s="230">
        <v>1315</v>
      </c>
      <c r="BK155" s="228">
        <v>-677</v>
      </c>
      <c r="BL155" s="229">
        <v>-0.51490000000000002</v>
      </c>
      <c r="BM155" s="228">
        <v>250</v>
      </c>
      <c r="BN155" s="228">
        <v>409</v>
      </c>
      <c r="BO155" s="228">
        <v>-158</v>
      </c>
      <c r="BP155" s="229">
        <v>-0.38719999999999999</v>
      </c>
      <c r="BQ155" s="230">
        <v>1214</v>
      </c>
      <c r="BR155" s="230">
        <v>2125</v>
      </c>
      <c r="BS155" s="228">
        <v>-911</v>
      </c>
      <c r="BT155" s="229">
        <v>-0.42880000000000001</v>
      </c>
      <c r="BU155" s="230">
        <v>6775229</v>
      </c>
      <c r="BV155" s="230">
        <v>8797246</v>
      </c>
      <c r="BW155" s="230">
        <v>-2022017</v>
      </c>
      <c r="BX155" s="229">
        <v>-0.2298</v>
      </c>
      <c r="BY155" s="230">
        <v>1247</v>
      </c>
      <c r="BZ155" s="230">
        <v>1229</v>
      </c>
      <c r="CA155" s="228">
        <v>18</v>
      </c>
      <c r="CB155" s="229">
        <v>1.46E-2</v>
      </c>
      <c r="CC155" s="230">
        <v>1138</v>
      </c>
      <c r="CD155" s="230">
        <v>1154</v>
      </c>
      <c r="CE155" s="228">
        <v>-16</v>
      </c>
      <c r="CF155" s="229">
        <v>-1.34E-2</v>
      </c>
      <c r="CG155" s="228">
        <v>103</v>
      </c>
      <c r="CH155" s="228">
        <v>70</v>
      </c>
      <c r="CI155" s="228">
        <v>33</v>
      </c>
      <c r="CJ155" s="229">
        <v>0.46610000000000001</v>
      </c>
      <c r="CK155" s="228">
        <v>6</v>
      </c>
      <c r="CL155" s="228">
        <v>5</v>
      </c>
      <c r="CM155" s="228">
        <v>1</v>
      </c>
      <c r="CN155" s="229">
        <v>0.1449</v>
      </c>
      <c r="CO155" s="228">
        <v>322</v>
      </c>
      <c r="CP155" s="228">
        <v>335</v>
      </c>
      <c r="CQ155" s="228">
        <v>-13</v>
      </c>
      <c r="CR155" s="229">
        <v>-0.04</v>
      </c>
      <c r="CS155" s="228">
        <v>257</v>
      </c>
      <c r="CT155" s="228">
        <v>252</v>
      </c>
      <c r="CU155" s="228">
        <v>5</v>
      </c>
      <c r="CV155" s="229">
        <v>2.06E-2</v>
      </c>
      <c r="CW155" s="230">
        <v>1826</v>
      </c>
      <c r="CX155" s="230">
        <v>1816</v>
      </c>
      <c r="CY155" s="228">
        <v>10</v>
      </c>
      <c r="CZ155" s="229">
        <v>5.4000000000000003E-3</v>
      </c>
      <c r="DA155" s="228">
        <v>31.16</v>
      </c>
      <c r="DB155" s="228">
        <v>31.95</v>
      </c>
      <c r="DC155" s="228">
        <v>-0.79</v>
      </c>
      <c r="DD155" s="228">
        <v>-0.79</v>
      </c>
      <c r="DE155" s="228">
        <v>37.96</v>
      </c>
      <c r="DF155" s="228">
        <v>38.049999999999997</v>
      </c>
      <c r="DG155" s="228">
        <v>-6.8</v>
      </c>
      <c r="DH155" s="228">
        <v>-0.09</v>
      </c>
      <c r="DI155" s="228">
        <v>31.13</v>
      </c>
      <c r="DJ155" s="228">
        <v>31.87</v>
      </c>
      <c r="DK155" s="228">
        <v>-0.74</v>
      </c>
      <c r="DL155" s="228">
        <v>-0.74</v>
      </c>
      <c r="DM155" s="228">
        <v>31.24</v>
      </c>
      <c r="DN155" s="228">
        <v>32.200000000000003</v>
      </c>
      <c r="DO155" s="228">
        <v>-0.96</v>
      </c>
      <c r="DP155" s="228">
        <v>-0.96</v>
      </c>
      <c r="DQ155" s="228">
        <v>0.8</v>
      </c>
      <c r="DR155" s="228">
        <v>0.75</v>
      </c>
      <c r="DS155" s="228">
        <v>0.05</v>
      </c>
      <c r="DT155" s="229">
        <v>6.6699999999999995E-2</v>
      </c>
      <c r="DU155" s="228">
        <v>230</v>
      </c>
      <c r="DV155" s="228">
        <v>200</v>
      </c>
      <c r="DW155" s="228">
        <v>0.39</v>
      </c>
      <c r="DX155" s="228">
        <v>0.31</v>
      </c>
      <c r="DY155" s="228">
        <v>0.08</v>
      </c>
      <c r="DZ155" s="229">
        <v>0.2581</v>
      </c>
      <c r="EA155" s="229">
        <v>8.7099999999999997E-2</v>
      </c>
      <c r="EB155" s="230">
        <v>3346875</v>
      </c>
      <c r="EC155" s="229">
        <v>-6.3E-3</v>
      </c>
      <c r="ED155" s="229">
        <v>8.7099999999999997E-2</v>
      </c>
      <c r="EE155" s="228">
        <v>-1.63</v>
      </c>
      <c r="EF155" s="229">
        <v>-7.1999999999999998E-3</v>
      </c>
      <c r="EG155" s="230">
        <v>3167815</v>
      </c>
      <c r="EH155" s="230">
        <v>3367108</v>
      </c>
      <c r="EI155" s="229">
        <v>-5.9200000000000003E-2</v>
      </c>
      <c r="EJ155" s="229">
        <v>0.46760000000000002</v>
      </c>
      <c r="EK155" s="228">
        <v>659.77</v>
      </c>
      <c r="EL155" s="228">
        <v>249.28</v>
      </c>
      <c r="EM155" s="228">
        <v>326.83</v>
      </c>
      <c r="EN155" s="228">
        <v>0</v>
      </c>
      <c r="EO155" s="231">
        <v>1235.8699999999999</v>
      </c>
      <c r="EP155" s="231">
        <v>2144.3200000000002</v>
      </c>
      <c r="EQ155" s="228">
        <v>-908.45</v>
      </c>
      <c r="ER155" s="229">
        <v>-0.42370000000000002</v>
      </c>
      <c r="ES155" s="228">
        <v>322.25</v>
      </c>
      <c r="ET155" s="228">
        <v>241.18</v>
      </c>
      <c r="EU155" s="231">
        <v>1245.92</v>
      </c>
      <c r="EV155" s="231">
        <v>273765570</v>
      </c>
      <c r="EW155" s="231">
        <v>1809.34</v>
      </c>
      <c r="EX155" s="231">
        <v>1804.33</v>
      </c>
      <c r="EY155" s="228">
        <v>5.01</v>
      </c>
      <c r="EZ155" s="229">
        <v>2.8E-3</v>
      </c>
      <c r="FA155" s="229">
        <v>0.29709999999999998</v>
      </c>
      <c r="FB155" s="227" t="s">
        <v>567</v>
      </c>
      <c r="FC155">
        <f t="shared" si="3"/>
        <v>0</v>
      </c>
    </row>
    <row r="156" spans="1:159" ht="17.25" thickBot="1" x14ac:dyDescent="0.3">
      <c r="A156" s="226">
        <v>45889</v>
      </c>
      <c r="B156" s="227" t="s">
        <v>206</v>
      </c>
      <c r="C156" s="227" t="s">
        <v>528</v>
      </c>
      <c r="D156" s="228">
        <v>350</v>
      </c>
      <c r="E156" s="228">
        <v>8</v>
      </c>
      <c r="F156" s="231">
        <v>1660.9</v>
      </c>
      <c r="G156" s="231">
        <v>1652.1</v>
      </c>
      <c r="H156" s="228">
        <v>8.8000000000000007</v>
      </c>
      <c r="I156" s="229">
        <v>5.3E-3</v>
      </c>
      <c r="J156" s="231">
        <v>1656.9</v>
      </c>
      <c r="K156" s="231">
        <v>1649.4</v>
      </c>
      <c r="L156" s="228">
        <v>7.5</v>
      </c>
      <c r="M156" s="229">
        <v>4.4999999999999997E-3</v>
      </c>
      <c r="N156" s="231">
        <v>1660.9</v>
      </c>
      <c r="O156" s="231">
        <v>1652.1</v>
      </c>
      <c r="P156" s="228">
        <v>8.8000000000000007</v>
      </c>
      <c r="Q156" s="229">
        <v>5.3E-3</v>
      </c>
      <c r="R156" s="231">
        <v>1669.1</v>
      </c>
      <c r="S156" s="231">
        <v>1658.4</v>
      </c>
      <c r="T156" s="228">
        <v>10.7</v>
      </c>
      <c r="U156" s="229">
        <v>6.4999999999999997E-3</v>
      </c>
      <c r="V156" s="231">
        <v>1676.2</v>
      </c>
      <c r="W156" s="231">
        <v>1664.1</v>
      </c>
      <c r="X156" s="228">
        <v>12.1</v>
      </c>
      <c r="Y156" s="229">
        <v>7.3000000000000001E-3</v>
      </c>
      <c r="Z156" s="228">
        <v>4</v>
      </c>
      <c r="AA156" s="228">
        <v>2.7</v>
      </c>
      <c r="AB156" s="228">
        <v>1.3</v>
      </c>
      <c r="AC156" s="229">
        <v>2.3999999999999998E-3</v>
      </c>
      <c r="AD156" s="228">
        <v>4</v>
      </c>
      <c r="AE156" s="228">
        <v>2.7</v>
      </c>
      <c r="AF156" s="228">
        <v>1.3</v>
      </c>
      <c r="AG156" s="229">
        <v>2.3999999999999998E-3</v>
      </c>
      <c r="AH156" s="228">
        <v>12.2</v>
      </c>
      <c r="AI156" s="228">
        <v>9</v>
      </c>
      <c r="AJ156" s="228">
        <v>3.2</v>
      </c>
      <c r="AK156" s="229">
        <v>7.4000000000000003E-3</v>
      </c>
      <c r="AL156" s="228">
        <v>19.3</v>
      </c>
      <c r="AM156" s="228">
        <v>14.7</v>
      </c>
      <c r="AN156" s="228">
        <v>4.5999999999999996</v>
      </c>
      <c r="AO156" s="229">
        <v>1.1599999999999999E-2</v>
      </c>
      <c r="AP156" s="231">
        <v>1661.18</v>
      </c>
      <c r="AQ156" s="231">
        <v>1669.06</v>
      </c>
      <c r="AR156" s="228">
        <v>0</v>
      </c>
      <c r="AS156" s="228">
        <v>113</v>
      </c>
      <c r="AT156" s="228">
        <v>112</v>
      </c>
      <c r="AU156" s="228">
        <v>2</v>
      </c>
      <c r="AV156" s="229">
        <v>1.67E-2</v>
      </c>
      <c r="AW156" s="228">
        <v>88</v>
      </c>
      <c r="AX156" s="228">
        <v>80</v>
      </c>
      <c r="AY156" s="228">
        <v>7</v>
      </c>
      <c r="AZ156" s="229">
        <v>9.3200000000000005E-2</v>
      </c>
      <c r="BA156" s="228">
        <v>25</v>
      </c>
      <c r="BB156" s="228">
        <v>30</v>
      </c>
      <c r="BC156" s="228">
        <v>-5</v>
      </c>
      <c r="BD156" s="229">
        <v>-0.17560000000000001</v>
      </c>
      <c r="BE156" s="228">
        <v>0</v>
      </c>
      <c r="BF156" s="228">
        <v>1</v>
      </c>
      <c r="BG156" s="228">
        <v>0</v>
      </c>
      <c r="BH156" s="229">
        <v>-0.41670000000000001</v>
      </c>
      <c r="BI156" s="228">
        <v>308</v>
      </c>
      <c r="BJ156" s="228">
        <v>166</v>
      </c>
      <c r="BK156" s="228">
        <v>142</v>
      </c>
      <c r="BL156" s="229">
        <v>0.85840000000000005</v>
      </c>
      <c r="BM156" s="228">
        <v>77</v>
      </c>
      <c r="BN156" s="228">
        <v>104</v>
      </c>
      <c r="BO156" s="228">
        <v>-28</v>
      </c>
      <c r="BP156" s="229">
        <v>-0.26450000000000001</v>
      </c>
      <c r="BQ156" s="228">
        <v>498</v>
      </c>
      <c r="BR156" s="228">
        <v>381</v>
      </c>
      <c r="BS156" s="228">
        <v>116</v>
      </c>
      <c r="BT156" s="229">
        <v>0.30520000000000003</v>
      </c>
      <c r="BU156" s="230">
        <v>300700</v>
      </c>
      <c r="BV156" s="230">
        <v>133111</v>
      </c>
      <c r="BW156" s="230">
        <v>167589</v>
      </c>
      <c r="BX156" s="229">
        <v>1.2589999999999999</v>
      </c>
      <c r="BY156" s="228">
        <v>845</v>
      </c>
      <c r="BZ156" s="228">
        <v>848</v>
      </c>
      <c r="CA156" s="228">
        <v>-3</v>
      </c>
      <c r="CB156" s="229">
        <v>-3.8999999999999998E-3</v>
      </c>
      <c r="CC156" s="228">
        <v>794</v>
      </c>
      <c r="CD156" s="228">
        <v>806</v>
      </c>
      <c r="CE156" s="228">
        <v>-11</v>
      </c>
      <c r="CF156" s="229">
        <v>-1.4200000000000001E-2</v>
      </c>
      <c r="CG156" s="228">
        <v>49</v>
      </c>
      <c r="CH156" s="228">
        <v>41</v>
      </c>
      <c r="CI156" s="228">
        <v>8</v>
      </c>
      <c r="CJ156" s="229">
        <v>0.19739999999999999</v>
      </c>
      <c r="CK156" s="228">
        <v>2</v>
      </c>
      <c r="CL156" s="228">
        <v>2</v>
      </c>
      <c r="CM156" s="228">
        <v>0</v>
      </c>
      <c r="CN156" s="229">
        <v>6.4500000000000002E-2</v>
      </c>
      <c r="CO156" s="228">
        <v>291</v>
      </c>
      <c r="CP156" s="228">
        <v>262</v>
      </c>
      <c r="CQ156" s="228">
        <v>29</v>
      </c>
      <c r="CR156" s="229">
        <v>0.1125</v>
      </c>
      <c r="CS156" s="228">
        <v>162</v>
      </c>
      <c r="CT156" s="228">
        <v>165</v>
      </c>
      <c r="CU156" s="228">
        <v>-2</v>
      </c>
      <c r="CV156" s="229">
        <v>-1.41E-2</v>
      </c>
      <c r="CW156" s="230">
        <v>1298</v>
      </c>
      <c r="CX156" s="230">
        <v>1274</v>
      </c>
      <c r="CY156" s="228">
        <v>24</v>
      </c>
      <c r="CZ156" s="229">
        <v>1.8700000000000001E-2</v>
      </c>
      <c r="DA156" s="228">
        <v>27.24</v>
      </c>
      <c r="DB156" s="228">
        <v>27.47</v>
      </c>
      <c r="DC156" s="228">
        <v>-0.23</v>
      </c>
      <c r="DD156" s="228">
        <v>-0.23</v>
      </c>
      <c r="DE156" s="228">
        <v>40.56</v>
      </c>
      <c r="DF156" s="228">
        <v>40.65</v>
      </c>
      <c r="DG156" s="228">
        <v>-13.32</v>
      </c>
      <c r="DH156" s="228">
        <v>-0.09</v>
      </c>
      <c r="DI156" s="228">
        <v>27.48</v>
      </c>
      <c r="DJ156" s="228">
        <v>26.66</v>
      </c>
      <c r="DK156" s="228">
        <v>0.82</v>
      </c>
      <c r="DL156" s="228">
        <v>0.82</v>
      </c>
      <c r="DM156" s="228">
        <v>26.3</v>
      </c>
      <c r="DN156" s="228">
        <v>28.77</v>
      </c>
      <c r="DO156" s="228">
        <v>-2.4700000000000002</v>
      </c>
      <c r="DP156" s="228">
        <v>-2.4700000000000002</v>
      </c>
      <c r="DQ156" s="228">
        <v>0.56000000000000005</v>
      </c>
      <c r="DR156" s="228">
        <v>0.63</v>
      </c>
      <c r="DS156" s="228">
        <v>-7.0000000000000007E-2</v>
      </c>
      <c r="DT156" s="229">
        <v>-0.1111</v>
      </c>
      <c r="DU156" s="231">
        <v>1700</v>
      </c>
      <c r="DV156" s="231">
        <v>1600</v>
      </c>
      <c r="DW156" s="228">
        <v>0.25</v>
      </c>
      <c r="DX156" s="228">
        <v>0.63</v>
      </c>
      <c r="DY156" s="228">
        <v>-0.38</v>
      </c>
      <c r="DZ156" s="229">
        <v>-0.60319999999999996</v>
      </c>
      <c r="EA156" s="229">
        <v>5.9900000000000002E-2</v>
      </c>
      <c r="EB156" s="230">
        <v>255500</v>
      </c>
      <c r="EC156" s="229">
        <v>4.8999999999999998E-3</v>
      </c>
      <c r="ED156" s="229">
        <v>5.9900000000000002E-2</v>
      </c>
      <c r="EE156" s="228">
        <v>7.88</v>
      </c>
      <c r="EF156" s="229">
        <v>4.7000000000000002E-3</v>
      </c>
      <c r="EG156" s="230">
        <v>149698</v>
      </c>
      <c r="EH156" s="230">
        <v>48851</v>
      </c>
      <c r="EI156" s="229">
        <v>2.0644</v>
      </c>
      <c r="EJ156" s="229">
        <v>0.49780000000000002</v>
      </c>
      <c r="EK156" s="228">
        <v>319.58</v>
      </c>
      <c r="EL156" s="228">
        <v>74.7</v>
      </c>
      <c r="EM156" s="228">
        <v>113.61</v>
      </c>
      <c r="EN156" s="228">
        <v>0</v>
      </c>
      <c r="EO156" s="228">
        <v>507.89</v>
      </c>
      <c r="EP156" s="228">
        <v>379.97</v>
      </c>
      <c r="EQ156" s="228">
        <v>127.91</v>
      </c>
      <c r="ER156" s="229">
        <v>0.33660000000000001</v>
      </c>
      <c r="ES156" s="228">
        <v>306.36</v>
      </c>
      <c r="ET156" s="228">
        <v>158.5</v>
      </c>
      <c r="EU156" s="228">
        <v>845.2</v>
      </c>
      <c r="EV156" s="231">
        <v>23485458</v>
      </c>
      <c r="EW156" s="231">
        <v>1310.06</v>
      </c>
      <c r="EX156" s="231">
        <v>1278.51</v>
      </c>
      <c r="EY156" s="228">
        <v>31.55</v>
      </c>
      <c r="EZ156" s="229">
        <v>2.47E-2</v>
      </c>
      <c r="FA156" s="229">
        <v>0.33279999999999998</v>
      </c>
      <c r="FB156" s="227" t="s">
        <v>556</v>
      </c>
      <c r="FC156">
        <f t="shared" si="3"/>
        <v>0</v>
      </c>
    </row>
    <row r="157" spans="1:159" ht="17.25" thickBot="1" x14ac:dyDescent="0.3">
      <c r="A157" s="226">
        <v>45889</v>
      </c>
      <c r="B157" s="227" t="s">
        <v>221</v>
      </c>
      <c r="C157" s="227" t="s">
        <v>518</v>
      </c>
      <c r="D157" s="228">
        <v>75</v>
      </c>
      <c r="E157" s="228">
        <v>8</v>
      </c>
      <c r="F157" s="231">
        <v>8791</v>
      </c>
      <c r="G157" s="231">
        <v>8632.5</v>
      </c>
      <c r="H157" s="228">
        <v>158.5</v>
      </c>
      <c r="I157" s="229">
        <v>1.84E-2</v>
      </c>
      <c r="J157" s="231">
        <v>8763</v>
      </c>
      <c r="K157" s="231">
        <v>8597</v>
      </c>
      <c r="L157" s="228">
        <v>166</v>
      </c>
      <c r="M157" s="229">
        <v>1.9300000000000001E-2</v>
      </c>
      <c r="N157" s="231">
        <v>8791</v>
      </c>
      <c r="O157" s="231">
        <v>8632.5</v>
      </c>
      <c r="P157" s="228">
        <v>158.5</v>
      </c>
      <c r="Q157" s="229">
        <v>1.84E-2</v>
      </c>
      <c r="R157" s="231">
        <v>8827</v>
      </c>
      <c r="S157" s="231">
        <v>8663</v>
      </c>
      <c r="T157" s="228">
        <v>164</v>
      </c>
      <c r="U157" s="229">
        <v>1.89E-2</v>
      </c>
      <c r="V157" s="231">
        <v>8870</v>
      </c>
      <c r="W157" s="231">
        <v>8697.5</v>
      </c>
      <c r="X157" s="228">
        <v>172.5</v>
      </c>
      <c r="Y157" s="229">
        <v>1.9800000000000002E-2</v>
      </c>
      <c r="Z157" s="228">
        <v>28</v>
      </c>
      <c r="AA157" s="228">
        <v>35.5</v>
      </c>
      <c r="AB157" s="228">
        <v>-7.5</v>
      </c>
      <c r="AC157" s="229">
        <v>3.2000000000000002E-3</v>
      </c>
      <c r="AD157" s="228">
        <v>28</v>
      </c>
      <c r="AE157" s="228">
        <v>35.5</v>
      </c>
      <c r="AF157" s="228">
        <v>-7.5</v>
      </c>
      <c r="AG157" s="229">
        <v>3.2000000000000002E-3</v>
      </c>
      <c r="AH157" s="228">
        <v>64</v>
      </c>
      <c r="AI157" s="228">
        <v>66</v>
      </c>
      <c r="AJ157" s="228">
        <v>-2</v>
      </c>
      <c r="AK157" s="229">
        <v>7.3000000000000001E-3</v>
      </c>
      <c r="AL157" s="228">
        <v>107</v>
      </c>
      <c r="AM157" s="228">
        <v>100.5</v>
      </c>
      <c r="AN157" s="228">
        <v>6.5</v>
      </c>
      <c r="AO157" s="229">
        <v>1.2200000000000001E-2</v>
      </c>
      <c r="AP157" s="231">
        <v>8771.41</v>
      </c>
      <c r="AQ157" s="231">
        <v>8811.98</v>
      </c>
      <c r="AR157" s="228">
        <v>0</v>
      </c>
      <c r="AS157" s="228">
        <v>314</v>
      </c>
      <c r="AT157" s="228">
        <v>101</v>
      </c>
      <c r="AU157" s="228">
        <v>214</v>
      </c>
      <c r="AV157" s="229">
        <v>2.1259000000000001</v>
      </c>
      <c r="AW157" s="228">
        <v>258</v>
      </c>
      <c r="AX157" s="228">
        <v>85</v>
      </c>
      <c r="AY157" s="228">
        <v>172</v>
      </c>
      <c r="AZ157" s="229">
        <v>2.0177</v>
      </c>
      <c r="BA157" s="228">
        <v>53</v>
      </c>
      <c r="BB157" s="228">
        <v>15</v>
      </c>
      <c r="BC157" s="228">
        <v>38</v>
      </c>
      <c r="BD157" s="229">
        <v>2.6143000000000001</v>
      </c>
      <c r="BE157" s="228">
        <v>3</v>
      </c>
      <c r="BF157" s="228">
        <v>0</v>
      </c>
      <c r="BG157" s="228">
        <v>3</v>
      </c>
      <c r="BH157" s="229">
        <v>7.3333000000000004</v>
      </c>
      <c r="BI157" s="230">
        <v>1436</v>
      </c>
      <c r="BJ157" s="228">
        <v>476</v>
      </c>
      <c r="BK157" s="228">
        <v>961</v>
      </c>
      <c r="BL157" s="229">
        <v>2.0202</v>
      </c>
      <c r="BM157" s="228">
        <v>492</v>
      </c>
      <c r="BN157" s="228">
        <v>112</v>
      </c>
      <c r="BO157" s="228">
        <v>381</v>
      </c>
      <c r="BP157" s="229">
        <v>3.4098999999999999</v>
      </c>
      <c r="BQ157" s="230">
        <v>2243</v>
      </c>
      <c r="BR157" s="228">
        <v>688</v>
      </c>
      <c r="BS157" s="230">
        <v>1555</v>
      </c>
      <c r="BT157" s="229">
        <v>2.2612000000000001</v>
      </c>
      <c r="BU157" s="230">
        <v>175451</v>
      </c>
      <c r="BV157" s="230">
        <v>55173</v>
      </c>
      <c r="BW157" s="230">
        <v>120278</v>
      </c>
      <c r="BX157" s="229">
        <v>2.1800000000000002</v>
      </c>
      <c r="BY157" s="228">
        <v>837</v>
      </c>
      <c r="BZ157" s="228">
        <v>820</v>
      </c>
      <c r="CA157" s="228">
        <v>17</v>
      </c>
      <c r="CB157" s="229">
        <v>2.0500000000000001E-2</v>
      </c>
      <c r="CC157" s="228">
        <v>780</v>
      </c>
      <c r="CD157" s="228">
        <v>778</v>
      </c>
      <c r="CE157" s="228">
        <v>2</v>
      </c>
      <c r="CF157" s="229">
        <v>2.8E-3</v>
      </c>
      <c r="CG157" s="228">
        <v>54</v>
      </c>
      <c r="CH157" s="228">
        <v>40</v>
      </c>
      <c r="CI157" s="228">
        <v>13</v>
      </c>
      <c r="CJ157" s="229">
        <v>0.33389999999999997</v>
      </c>
      <c r="CK157" s="228">
        <v>3</v>
      </c>
      <c r="CL157" s="228">
        <v>2</v>
      </c>
      <c r="CM157" s="228">
        <v>1</v>
      </c>
      <c r="CN157" s="229">
        <v>0.66669999999999996</v>
      </c>
      <c r="CO157" s="228">
        <v>334</v>
      </c>
      <c r="CP157" s="228">
        <v>316</v>
      </c>
      <c r="CQ157" s="228">
        <v>18</v>
      </c>
      <c r="CR157" s="229">
        <v>5.74E-2</v>
      </c>
      <c r="CS157" s="228">
        <v>193</v>
      </c>
      <c r="CT157" s="228">
        <v>154</v>
      </c>
      <c r="CU157" s="228">
        <v>39</v>
      </c>
      <c r="CV157" s="229">
        <v>0.25629999999999997</v>
      </c>
      <c r="CW157" s="230">
        <v>1364</v>
      </c>
      <c r="CX157" s="230">
        <v>1290</v>
      </c>
      <c r="CY157" s="228">
        <v>74</v>
      </c>
      <c r="CZ157" s="229">
        <v>5.7599999999999998E-2</v>
      </c>
      <c r="DA157" s="228">
        <v>28.45</v>
      </c>
      <c r="DB157" s="228">
        <v>28.49</v>
      </c>
      <c r="DC157" s="228">
        <v>-0.04</v>
      </c>
      <c r="DD157" s="228">
        <v>-0.04</v>
      </c>
      <c r="DE157" s="228">
        <v>41.51</v>
      </c>
      <c r="DF157" s="228">
        <v>41.54</v>
      </c>
      <c r="DG157" s="228">
        <v>-13.06</v>
      </c>
      <c r="DH157" s="228">
        <v>-0.03</v>
      </c>
      <c r="DI157" s="228">
        <v>28.59</v>
      </c>
      <c r="DJ157" s="228">
        <v>28.21</v>
      </c>
      <c r="DK157" s="228">
        <v>0.38</v>
      </c>
      <c r="DL157" s="228">
        <v>0.38</v>
      </c>
      <c r="DM157" s="228">
        <v>28.07</v>
      </c>
      <c r="DN157" s="228">
        <v>29.66</v>
      </c>
      <c r="DO157" s="228">
        <v>-1.59</v>
      </c>
      <c r="DP157" s="228">
        <v>-1.59</v>
      </c>
      <c r="DQ157" s="228">
        <v>0.57999999999999996</v>
      </c>
      <c r="DR157" s="228">
        <v>0.49</v>
      </c>
      <c r="DS157" s="228">
        <v>0.09</v>
      </c>
      <c r="DT157" s="229">
        <v>0.1837</v>
      </c>
      <c r="DU157" s="231">
        <v>9000</v>
      </c>
      <c r="DV157" s="231">
        <v>8500</v>
      </c>
      <c r="DW157" s="228">
        <v>0.34</v>
      </c>
      <c r="DX157" s="228">
        <v>0.23</v>
      </c>
      <c r="DY157" s="228">
        <v>0.11</v>
      </c>
      <c r="DZ157" s="229">
        <v>0.4783</v>
      </c>
      <c r="EA157" s="229">
        <v>6.7799999999999999E-2</v>
      </c>
      <c r="EB157" s="230">
        <v>47850</v>
      </c>
      <c r="EC157" s="229">
        <v>4.1000000000000003E-3</v>
      </c>
      <c r="ED157" s="229">
        <v>6.7799999999999999E-2</v>
      </c>
      <c r="EE157" s="228">
        <v>40.57</v>
      </c>
      <c r="EF157" s="229">
        <v>4.5999999999999999E-3</v>
      </c>
      <c r="EG157" s="230">
        <v>84079</v>
      </c>
      <c r="EH157" s="230">
        <v>16061</v>
      </c>
      <c r="EI157" s="229">
        <v>4.2350000000000003</v>
      </c>
      <c r="EJ157" s="229">
        <v>0.47920000000000001</v>
      </c>
      <c r="EK157" s="231">
        <v>1466.31</v>
      </c>
      <c r="EL157" s="228">
        <v>485.24</v>
      </c>
      <c r="EM157" s="228">
        <v>313.88</v>
      </c>
      <c r="EN157" s="228">
        <v>0</v>
      </c>
      <c r="EO157" s="231">
        <v>2265.4299999999998</v>
      </c>
      <c r="EP157" s="228">
        <v>686.79</v>
      </c>
      <c r="EQ157" s="231">
        <v>1578.65</v>
      </c>
      <c r="ER157" s="229">
        <v>2.2986</v>
      </c>
      <c r="ES157" s="228">
        <v>345.09</v>
      </c>
      <c r="ET157" s="228">
        <v>185.55</v>
      </c>
      <c r="EU157" s="228">
        <v>837</v>
      </c>
      <c r="EV157" s="231">
        <v>4769908</v>
      </c>
      <c r="EW157" s="231">
        <v>1367.64</v>
      </c>
      <c r="EX157" s="231">
        <v>1277.73</v>
      </c>
      <c r="EY157" s="228">
        <v>89.91</v>
      </c>
      <c r="EZ157" s="229">
        <v>7.0400000000000004E-2</v>
      </c>
      <c r="FA157" s="229">
        <v>0.32519999999999999</v>
      </c>
      <c r="FB157" s="227" t="s">
        <v>555</v>
      </c>
      <c r="FC157">
        <f t="shared" si="3"/>
        <v>0</v>
      </c>
    </row>
    <row r="158" spans="1:159" ht="17.25" thickBot="1" x14ac:dyDescent="0.3">
      <c r="A158" s="226">
        <v>45889</v>
      </c>
      <c r="B158" s="227" t="s">
        <v>193</v>
      </c>
      <c r="C158" s="227" t="s">
        <v>588</v>
      </c>
      <c r="D158" s="228">
        <v>1400</v>
      </c>
      <c r="E158" s="228">
        <v>8</v>
      </c>
      <c r="F158" s="228">
        <v>407.65</v>
      </c>
      <c r="G158" s="228">
        <v>408.4</v>
      </c>
      <c r="H158" s="228">
        <v>-0.75</v>
      </c>
      <c r="I158" s="229">
        <v>-1.8E-3</v>
      </c>
      <c r="J158" s="228">
        <v>408</v>
      </c>
      <c r="K158" s="228">
        <v>408.1</v>
      </c>
      <c r="L158" s="228">
        <v>-0.1</v>
      </c>
      <c r="M158" s="229">
        <v>-2.0000000000000001E-4</v>
      </c>
      <c r="N158" s="228">
        <v>407.65</v>
      </c>
      <c r="O158" s="228">
        <v>408.4</v>
      </c>
      <c r="P158" s="228">
        <v>-0.75</v>
      </c>
      <c r="Q158" s="229">
        <v>-1.8E-3</v>
      </c>
      <c r="R158" s="228">
        <v>407.85</v>
      </c>
      <c r="S158" s="228">
        <v>409.15</v>
      </c>
      <c r="T158" s="228">
        <v>-1.3</v>
      </c>
      <c r="U158" s="229">
        <v>-3.2000000000000002E-3</v>
      </c>
      <c r="V158" s="228">
        <v>409.35</v>
      </c>
      <c r="W158" s="228">
        <v>411.15</v>
      </c>
      <c r="X158" s="228">
        <v>-1.8</v>
      </c>
      <c r="Y158" s="229">
        <v>-4.4000000000000003E-3</v>
      </c>
      <c r="Z158" s="228">
        <v>-0.35</v>
      </c>
      <c r="AA158" s="228">
        <v>0.3</v>
      </c>
      <c r="AB158" s="228">
        <v>-0.65</v>
      </c>
      <c r="AC158" s="229">
        <v>-8.9999999999999998E-4</v>
      </c>
      <c r="AD158" s="228">
        <v>-0.35</v>
      </c>
      <c r="AE158" s="228">
        <v>0.3</v>
      </c>
      <c r="AF158" s="228">
        <v>-0.65</v>
      </c>
      <c r="AG158" s="229">
        <v>-8.9999999999999998E-4</v>
      </c>
      <c r="AH158" s="228">
        <v>-0.15</v>
      </c>
      <c r="AI158" s="228">
        <v>1.05</v>
      </c>
      <c r="AJ158" s="228">
        <v>-1.2</v>
      </c>
      <c r="AK158" s="229">
        <v>-4.0000000000000002E-4</v>
      </c>
      <c r="AL158" s="228">
        <v>1.35</v>
      </c>
      <c r="AM158" s="228">
        <v>3.05</v>
      </c>
      <c r="AN158" s="228">
        <v>-1.7</v>
      </c>
      <c r="AO158" s="229">
        <v>3.3E-3</v>
      </c>
      <c r="AP158" s="228">
        <v>406.9</v>
      </c>
      <c r="AQ158" s="228">
        <v>407.4</v>
      </c>
      <c r="AR158" s="228">
        <v>0</v>
      </c>
      <c r="AS158" s="228">
        <v>133</v>
      </c>
      <c r="AT158" s="228">
        <v>65</v>
      </c>
      <c r="AU158" s="228">
        <v>68</v>
      </c>
      <c r="AV158" s="229">
        <v>1.0591999999999999</v>
      </c>
      <c r="AW158" s="228">
        <v>87</v>
      </c>
      <c r="AX158" s="228">
        <v>50</v>
      </c>
      <c r="AY158" s="228">
        <v>38</v>
      </c>
      <c r="AZ158" s="229">
        <v>0.76290000000000002</v>
      </c>
      <c r="BA158" s="228">
        <v>45</v>
      </c>
      <c r="BB158" s="228">
        <v>14</v>
      </c>
      <c r="BC158" s="228">
        <v>30</v>
      </c>
      <c r="BD158" s="229">
        <v>2.1234999999999999</v>
      </c>
      <c r="BE158" s="228">
        <v>1</v>
      </c>
      <c r="BF158" s="228">
        <v>1</v>
      </c>
      <c r="BG158" s="228">
        <v>0</v>
      </c>
      <c r="BH158" s="229">
        <v>0.25</v>
      </c>
      <c r="BI158" s="228">
        <v>147</v>
      </c>
      <c r="BJ158" s="228">
        <v>185</v>
      </c>
      <c r="BK158" s="228">
        <v>-37</v>
      </c>
      <c r="BL158" s="229">
        <v>-0.20250000000000001</v>
      </c>
      <c r="BM158" s="228">
        <v>64</v>
      </c>
      <c r="BN158" s="228">
        <v>71</v>
      </c>
      <c r="BO158" s="228">
        <v>-7</v>
      </c>
      <c r="BP158" s="229">
        <v>-9.9699999999999997E-2</v>
      </c>
      <c r="BQ158" s="228">
        <v>344</v>
      </c>
      <c r="BR158" s="228">
        <v>320</v>
      </c>
      <c r="BS158" s="228">
        <v>24</v>
      </c>
      <c r="BT158" s="229">
        <v>7.4899999999999994E-2</v>
      </c>
      <c r="BU158" s="230">
        <v>2175373</v>
      </c>
      <c r="BV158" s="230">
        <v>934150</v>
      </c>
      <c r="BW158" s="230">
        <v>1241223</v>
      </c>
      <c r="BX158" s="229">
        <v>1.3287</v>
      </c>
      <c r="BY158" s="228">
        <v>525</v>
      </c>
      <c r="BZ158" s="228">
        <v>494</v>
      </c>
      <c r="CA158" s="228">
        <v>31</v>
      </c>
      <c r="CB158" s="229">
        <v>6.3200000000000006E-2</v>
      </c>
      <c r="CC158" s="228">
        <v>456</v>
      </c>
      <c r="CD158" s="228">
        <v>454</v>
      </c>
      <c r="CE158" s="228">
        <v>2</v>
      </c>
      <c r="CF158" s="229">
        <v>4.4999999999999997E-3</v>
      </c>
      <c r="CG158" s="228">
        <v>66</v>
      </c>
      <c r="CH158" s="228">
        <v>37</v>
      </c>
      <c r="CI158" s="228">
        <v>29</v>
      </c>
      <c r="CJ158" s="229">
        <v>0.78090000000000004</v>
      </c>
      <c r="CK158" s="228">
        <v>3</v>
      </c>
      <c r="CL158" s="228">
        <v>3</v>
      </c>
      <c r="CM158" s="228">
        <v>0</v>
      </c>
      <c r="CN158" s="229">
        <v>0.1087</v>
      </c>
      <c r="CO158" s="228">
        <v>230</v>
      </c>
      <c r="CP158" s="228">
        <v>234</v>
      </c>
      <c r="CQ158" s="228">
        <v>-5</v>
      </c>
      <c r="CR158" s="229">
        <v>-1.95E-2</v>
      </c>
      <c r="CS158" s="228">
        <v>125</v>
      </c>
      <c r="CT158" s="228">
        <v>121</v>
      </c>
      <c r="CU158" s="228">
        <v>4</v>
      </c>
      <c r="CV158" s="229">
        <v>3.1600000000000003E-2</v>
      </c>
      <c r="CW158" s="228">
        <v>879</v>
      </c>
      <c r="CX158" s="228">
        <v>849</v>
      </c>
      <c r="CY158" s="228">
        <v>30</v>
      </c>
      <c r="CZ158" s="229">
        <v>3.5900000000000001E-2</v>
      </c>
      <c r="DA158" s="228">
        <v>29.06</v>
      </c>
      <c r="DB158" s="228">
        <v>30.2</v>
      </c>
      <c r="DC158" s="228">
        <v>-1.1399999999999999</v>
      </c>
      <c r="DD158" s="228">
        <v>-1.1399999999999999</v>
      </c>
      <c r="DE158" s="228">
        <v>48.03</v>
      </c>
      <c r="DF158" s="228">
        <v>48.15</v>
      </c>
      <c r="DG158" s="228">
        <v>-18.97</v>
      </c>
      <c r="DH158" s="228">
        <v>-0.12</v>
      </c>
      <c r="DI158" s="228">
        <v>29.14</v>
      </c>
      <c r="DJ158" s="228">
        <v>30.25</v>
      </c>
      <c r="DK158" s="228">
        <v>-1.1100000000000001</v>
      </c>
      <c r="DL158" s="228">
        <v>-1.1100000000000001</v>
      </c>
      <c r="DM158" s="228">
        <v>28.88</v>
      </c>
      <c r="DN158" s="228">
        <v>30.07</v>
      </c>
      <c r="DO158" s="228">
        <v>-1.19</v>
      </c>
      <c r="DP158" s="228">
        <v>-1.19</v>
      </c>
      <c r="DQ158" s="228">
        <v>0.54</v>
      </c>
      <c r="DR158" s="228">
        <v>0.52</v>
      </c>
      <c r="DS158" s="228">
        <v>0.02</v>
      </c>
      <c r="DT158" s="229">
        <v>3.85E-2</v>
      </c>
      <c r="DU158" s="228">
        <v>430</v>
      </c>
      <c r="DV158" s="228">
        <v>400</v>
      </c>
      <c r="DW158" s="228">
        <v>0.43</v>
      </c>
      <c r="DX158" s="228">
        <v>0.38</v>
      </c>
      <c r="DY158" s="228">
        <v>0.05</v>
      </c>
      <c r="DZ158" s="229">
        <v>0.13159999999999999</v>
      </c>
      <c r="EA158" s="229">
        <v>0.13100000000000001</v>
      </c>
      <c r="EB158" s="230">
        <v>971600</v>
      </c>
      <c r="EC158" s="229">
        <v>5.0000000000000001E-4</v>
      </c>
      <c r="ED158" s="229">
        <v>0.13100000000000001</v>
      </c>
      <c r="EE158" s="228">
        <v>0.5</v>
      </c>
      <c r="EF158" s="229">
        <v>1.1999999999999999E-3</v>
      </c>
      <c r="EG158" s="230">
        <v>1345931</v>
      </c>
      <c r="EH158" s="230">
        <v>394771</v>
      </c>
      <c r="EI158" s="229">
        <v>2.4094000000000002</v>
      </c>
      <c r="EJ158" s="229">
        <v>0.61870000000000003</v>
      </c>
      <c r="EK158" s="228">
        <v>153.44</v>
      </c>
      <c r="EL158" s="228">
        <v>63.07</v>
      </c>
      <c r="EM158" s="228">
        <v>132.85</v>
      </c>
      <c r="EN158" s="228">
        <v>0</v>
      </c>
      <c r="EO158" s="228">
        <v>349.35</v>
      </c>
      <c r="EP158" s="228">
        <v>326.69</v>
      </c>
      <c r="EQ158" s="228">
        <v>22.67</v>
      </c>
      <c r="ER158" s="229">
        <v>6.9400000000000003E-2</v>
      </c>
      <c r="ES158" s="228">
        <v>245.17</v>
      </c>
      <c r="ET158" s="228">
        <v>124.25</v>
      </c>
      <c r="EU158" s="228">
        <v>525.04</v>
      </c>
      <c r="EV158" s="231">
        <v>141008560</v>
      </c>
      <c r="EW158" s="228">
        <v>894.46</v>
      </c>
      <c r="EX158" s="228">
        <v>865.52</v>
      </c>
      <c r="EY158" s="228">
        <v>28.94</v>
      </c>
      <c r="EZ158" s="229">
        <v>3.3399999999999999E-2</v>
      </c>
      <c r="FA158" s="229">
        <v>0.153</v>
      </c>
      <c r="FB158" s="227" t="s">
        <v>567</v>
      </c>
      <c r="FC158">
        <f t="shared" si="3"/>
        <v>0</v>
      </c>
    </row>
    <row r="159" spans="1:159" ht="17.25" thickBot="1" x14ac:dyDescent="0.3">
      <c r="A159" s="226">
        <v>45889</v>
      </c>
      <c r="B159" s="227" t="s">
        <v>193</v>
      </c>
      <c r="C159" s="227" t="s">
        <v>269</v>
      </c>
      <c r="D159" s="228">
        <v>2250</v>
      </c>
      <c r="E159" s="228">
        <v>8</v>
      </c>
      <c r="F159" s="228">
        <v>238.57</v>
      </c>
      <c r="G159" s="228">
        <v>238.67</v>
      </c>
      <c r="H159" s="228">
        <v>-0.1</v>
      </c>
      <c r="I159" s="229">
        <v>-4.0000000000000002E-4</v>
      </c>
      <c r="J159" s="228">
        <v>237.93</v>
      </c>
      <c r="K159" s="228">
        <v>237.94</v>
      </c>
      <c r="L159" s="228">
        <v>-0.01</v>
      </c>
      <c r="M159" s="229">
        <v>0</v>
      </c>
      <c r="N159" s="228">
        <v>238.57</v>
      </c>
      <c r="O159" s="228">
        <v>238.67</v>
      </c>
      <c r="P159" s="228">
        <v>-0.1</v>
      </c>
      <c r="Q159" s="229">
        <v>-4.0000000000000002E-4</v>
      </c>
      <c r="R159" s="228">
        <v>238.7</v>
      </c>
      <c r="S159" s="228">
        <v>238.73</v>
      </c>
      <c r="T159" s="228">
        <v>-0.03</v>
      </c>
      <c r="U159" s="229">
        <v>-1E-4</v>
      </c>
      <c r="V159" s="228">
        <v>239.95</v>
      </c>
      <c r="W159" s="228">
        <v>240.03</v>
      </c>
      <c r="X159" s="228">
        <v>-0.08</v>
      </c>
      <c r="Y159" s="229">
        <v>-2.9999999999999997E-4</v>
      </c>
      <c r="Z159" s="228">
        <v>0.64</v>
      </c>
      <c r="AA159" s="228">
        <v>0.73</v>
      </c>
      <c r="AB159" s="228">
        <v>-0.09</v>
      </c>
      <c r="AC159" s="229">
        <v>2.7000000000000001E-3</v>
      </c>
      <c r="AD159" s="228">
        <v>0.64</v>
      </c>
      <c r="AE159" s="228">
        <v>0.73</v>
      </c>
      <c r="AF159" s="228">
        <v>-0.09</v>
      </c>
      <c r="AG159" s="229">
        <v>2.7000000000000001E-3</v>
      </c>
      <c r="AH159" s="228">
        <v>0.77</v>
      </c>
      <c r="AI159" s="228">
        <v>0.79</v>
      </c>
      <c r="AJ159" s="228">
        <v>-0.02</v>
      </c>
      <c r="AK159" s="229">
        <v>3.2000000000000002E-3</v>
      </c>
      <c r="AL159" s="228">
        <v>2.02</v>
      </c>
      <c r="AM159" s="228">
        <v>2.09</v>
      </c>
      <c r="AN159" s="228">
        <v>-7.0000000000000007E-2</v>
      </c>
      <c r="AO159" s="229">
        <v>8.5000000000000006E-3</v>
      </c>
      <c r="AP159" s="228">
        <v>238.32</v>
      </c>
      <c r="AQ159" s="228">
        <v>238.51</v>
      </c>
      <c r="AR159" s="228">
        <v>0</v>
      </c>
      <c r="AS159" s="228">
        <v>176</v>
      </c>
      <c r="AT159" s="228">
        <v>177</v>
      </c>
      <c r="AU159" s="228">
        <v>-1</v>
      </c>
      <c r="AV159" s="229">
        <v>-5.4000000000000003E-3</v>
      </c>
      <c r="AW159" s="228">
        <v>134</v>
      </c>
      <c r="AX159" s="228">
        <v>134</v>
      </c>
      <c r="AY159" s="228">
        <v>0</v>
      </c>
      <c r="AZ159" s="229">
        <v>2.3999999999999998E-3</v>
      </c>
      <c r="BA159" s="228">
        <v>40</v>
      </c>
      <c r="BB159" s="228">
        <v>41</v>
      </c>
      <c r="BC159" s="228">
        <v>-1</v>
      </c>
      <c r="BD159" s="229">
        <v>-2.8500000000000001E-2</v>
      </c>
      <c r="BE159" s="228">
        <v>2</v>
      </c>
      <c r="BF159" s="228">
        <v>2</v>
      </c>
      <c r="BG159" s="228">
        <v>0</v>
      </c>
      <c r="BH159" s="229">
        <v>-6.0600000000000001E-2</v>
      </c>
      <c r="BI159" s="228">
        <v>981</v>
      </c>
      <c r="BJ159" s="228">
        <v>586</v>
      </c>
      <c r="BK159" s="228">
        <v>395</v>
      </c>
      <c r="BL159" s="229">
        <v>0.67320000000000002</v>
      </c>
      <c r="BM159" s="228">
        <v>367</v>
      </c>
      <c r="BN159" s="228">
        <v>311</v>
      </c>
      <c r="BO159" s="228">
        <v>56</v>
      </c>
      <c r="BP159" s="229">
        <v>0.1807</v>
      </c>
      <c r="BQ159" s="230">
        <v>1524</v>
      </c>
      <c r="BR159" s="230">
        <v>1074</v>
      </c>
      <c r="BS159" s="228">
        <v>450</v>
      </c>
      <c r="BT159" s="229">
        <v>0.41880000000000001</v>
      </c>
      <c r="BU159" s="230">
        <v>7688568</v>
      </c>
      <c r="BV159" s="230">
        <v>5707149</v>
      </c>
      <c r="BW159" s="230">
        <v>1981419</v>
      </c>
      <c r="BX159" s="229">
        <v>0.34720000000000001</v>
      </c>
      <c r="BY159" s="230">
        <v>2006</v>
      </c>
      <c r="BZ159" s="230">
        <v>2010</v>
      </c>
      <c r="CA159" s="228">
        <v>-4</v>
      </c>
      <c r="CB159" s="229">
        <v>-2E-3</v>
      </c>
      <c r="CC159" s="230">
        <v>1832</v>
      </c>
      <c r="CD159" s="230">
        <v>1860</v>
      </c>
      <c r="CE159" s="228">
        <v>-28</v>
      </c>
      <c r="CF159" s="229">
        <v>-1.4999999999999999E-2</v>
      </c>
      <c r="CG159" s="228">
        <v>168</v>
      </c>
      <c r="CH159" s="228">
        <v>144</v>
      </c>
      <c r="CI159" s="228">
        <v>23</v>
      </c>
      <c r="CJ159" s="229">
        <v>0.16209999999999999</v>
      </c>
      <c r="CK159" s="228">
        <v>6</v>
      </c>
      <c r="CL159" s="228">
        <v>6</v>
      </c>
      <c r="CM159" s="228">
        <v>0</v>
      </c>
      <c r="CN159" s="229">
        <v>7.2700000000000001E-2</v>
      </c>
      <c r="CO159" s="230">
        <v>1261</v>
      </c>
      <c r="CP159" s="230">
        <v>1192</v>
      </c>
      <c r="CQ159" s="228">
        <v>69</v>
      </c>
      <c r="CR159" s="229">
        <v>5.7500000000000002E-2</v>
      </c>
      <c r="CS159" s="228">
        <v>522</v>
      </c>
      <c r="CT159" s="228">
        <v>508</v>
      </c>
      <c r="CU159" s="228">
        <v>14</v>
      </c>
      <c r="CV159" s="229">
        <v>2.8000000000000001E-2</v>
      </c>
      <c r="CW159" s="230">
        <v>3789</v>
      </c>
      <c r="CX159" s="230">
        <v>3710</v>
      </c>
      <c r="CY159" s="228">
        <v>79</v>
      </c>
      <c r="CZ159" s="229">
        <v>2.12E-2</v>
      </c>
      <c r="DA159" s="228">
        <v>17.23</v>
      </c>
      <c r="DB159" s="228">
        <v>18.350000000000001</v>
      </c>
      <c r="DC159" s="228">
        <v>-1.1200000000000001</v>
      </c>
      <c r="DD159" s="228">
        <v>-1.1200000000000001</v>
      </c>
      <c r="DE159" s="228">
        <v>34.86</v>
      </c>
      <c r="DF159" s="228">
        <v>34.950000000000003</v>
      </c>
      <c r="DG159" s="228">
        <v>-17.63</v>
      </c>
      <c r="DH159" s="228">
        <v>-0.09</v>
      </c>
      <c r="DI159" s="228">
        <v>17.66</v>
      </c>
      <c r="DJ159" s="228">
        <v>19.14</v>
      </c>
      <c r="DK159" s="228">
        <v>-1.48</v>
      </c>
      <c r="DL159" s="228">
        <v>-1.48</v>
      </c>
      <c r="DM159" s="228">
        <v>16.07</v>
      </c>
      <c r="DN159" s="228">
        <v>16.88</v>
      </c>
      <c r="DO159" s="228">
        <v>-0.81</v>
      </c>
      <c r="DP159" s="228">
        <v>-0.81</v>
      </c>
      <c r="DQ159" s="228">
        <v>0.41</v>
      </c>
      <c r="DR159" s="228">
        <v>0.43</v>
      </c>
      <c r="DS159" s="228">
        <v>-0.02</v>
      </c>
      <c r="DT159" s="229">
        <v>-4.65E-2</v>
      </c>
      <c r="DU159" s="228">
        <v>235</v>
      </c>
      <c r="DV159" s="228">
        <v>235</v>
      </c>
      <c r="DW159" s="228">
        <v>0.37</v>
      </c>
      <c r="DX159" s="228">
        <v>0.53</v>
      </c>
      <c r="DY159" s="228">
        <v>-0.16</v>
      </c>
      <c r="DZ159" s="229">
        <v>-0.3019</v>
      </c>
      <c r="EA159" s="229">
        <v>8.6800000000000002E-2</v>
      </c>
      <c r="EB159" s="230">
        <v>6297750</v>
      </c>
      <c r="EC159" s="229">
        <v>5.0000000000000001E-4</v>
      </c>
      <c r="ED159" s="229">
        <v>8.6800000000000002E-2</v>
      </c>
      <c r="EE159" s="228">
        <v>0.19</v>
      </c>
      <c r="EF159" s="229">
        <v>8.0000000000000004E-4</v>
      </c>
      <c r="EG159" s="230">
        <v>4953881</v>
      </c>
      <c r="EH159" s="230">
        <v>3663528</v>
      </c>
      <c r="EI159" s="229">
        <v>0.35220000000000001</v>
      </c>
      <c r="EJ159" s="229">
        <v>0.64429999999999998</v>
      </c>
      <c r="EK159" s="231">
        <v>1003.49</v>
      </c>
      <c r="EL159" s="228">
        <v>366.51</v>
      </c>
      <c r="EM159" s="228">
        <v>176.19</v>
      </c>
      <c r="EN159" s="228">
        <v>0</v>
      </c>
      <c r="EO159" s="231">
        <v>1546.18</v>
      </c>
      <c r="EP159" s="231">
        <v>1093.6300000000001</v>
      </c>
      <c r="EQ159" s="228">
        <v>452.56</v>
      </c>
      <c r="ER159" s="229">
        <v>0.4138</v>
      </c>
      <c r="ES159" s="231">
        <v>1283.55</v>
      </c>
      <c r="ET159" s="228">
        <v>517.01</v>
      </c>
      <c r="EU159" s="231">
        <v>2006.41</v>
      </c>
      <c r="EV159" s="231">
        <v>1034282422</v>
      </c>
      <c r="EW159" s="231">
        <v>3806.97</v>
      </c>
      <c r="EX159" s="231">
        <v>3728.94</v>
      </c>
      <c r="EY159" s="228">
        <v>78.03</v>
      </c>
      <c r="EZ159" s="229">
        <v>2.0899999999999998E-2</v>
      </c>
      <c r="FA159" s="229">
        <v>0.15359999999999999</v>
      </c>
      <c r="FB159" s="227" t="s">
        <v>568</v>
      </c>
      <c r="FC159">
        <f t="shared" si="3"/>
        <v>0</v>
      </c>
    </row>
    <row r="160" spans="1:159" ht="17.25" thickBot="1" x14ac:dyDescent="0.3">
      <c r="A160" s="226">
        <v>45889</v>
      </c>
      <c r="B160" s="227" t="s">
        <v>197</v>
      </c>
      <c r="C160" s="227" t="s">
        <v>270</v>
      </c>
      <c r="D160" s="228">
        <v>15</v>
      </c>
      <c r="E160" s="228">
        <v>8</v>
      </c>
      <c r="F160" s="231">
        <v>45485</v>
      </c>
      <c r="G160" s="231">
        <v>45720</v>
      </c>
      <c r="H160" s="228">
        <v>-235</v>
      </c>
      <c r="I160" s="229">
        <v>-5.1000000000000004E-3</v>
      </c>
      <c r="J160" s="231">
        <v>45385</v>
      </c>
      <c r="K160" s="231">
        <v>45640</v>
      </c>
      <c r="L160" s="228">
        <v>-255</v>
      </c>
      <c r="M160" s="229">
        <v>-5.5999999999999999E-3</v>
      </c>
      <c r="N160" s="231">
        <v>45485</v>
      </c>
      <c r="O160" s="231">
        <v>45720</v>
      </c>
      <c r="P160" s="228">
        <v>-235</v>
      </c>
      <c r="Q160" s="229">
        <v>-5.1000000000000004E-3</v>
      </c>
      <c r="R160" s="231">
        <v>44665</v>
      </c>
      <c r="S160" s="231">
        <v>44825</v>
      </c>
      <c r="T160" s="228">
        <v>-160</v>
      </c>
      <c r="U160" s="229">
        <v>-3.5999999999999999E-3</v>
      </c>
      <c r="V160" s="231">
        <v>44000</v>
      </c>
      <c r="W160" s="231">
        <v>44000</v>
      </c>
      <c r="X160" s="228">
        <v>0</v>
      </c>
      <c r="Y160" s="229">
        <v>0</v>
      </c>
      <c r="Z160" s="228">
        <v>100</v>
      </c>
      <c r="AA160" s="228">
        <v>80</v>
      </c>
      <c r="AB160" s="228">
        <v>20</v>
      </c>
      <c r="AC160" s="229">
        <v>2.2000000000000001E-3</v>
      </c>
      <c r="AD160" s="228">
        <v>100</v>
      </c>
      <c r="AE160" s="228">
        <v>80</v>
      </c>
      <c r="AF160" s="228">
        <v>20</v>
      </c>
      <c r="AG160" s="229">
        <v>2.2000000000000001E-3</v>
      </c>
      <c r="AH160" s="228">
        <v>-720</v>
      </c>
      <c r="AI160" s="228">
        <v>-815</v>
      </c>
      <c r="AJ160" s="228">
        <v>95</v>
      </c>
      <c r="AK160" s="229">
        <v>-1.5900000000000001E-2</v>
      </c>
      <c r="AL160" s="231">
        <v>-1385</v>
      </c>
      <c r="AM160" s="231">
        <v>-1640</v>
      </c>
      <c r="AN160" s="228">
        <v>255</v>
      </c>
      <c r="AO160" s="229">
        <v>-3.0499999999999999E-2</v>
      </c>
      <c r="AP160" s="231">
        <v>45528.11</v>
      </c>
      <c r="AQ160" s="231">
        <v>44707.87</v>
      </c>
      <c r="AR160" s="228">
        <v>0</v>
      </c>
      <c r="AS160" s="228">
        <v>174</v>
      </c>
      <c r="AT160" s="228">
        <v>167</v>
      </c>
      <c r="AU160" s="228">
        <v>7</v>
      </c>
      <c r="AV160" s="229">
        <v>4.1200000000000001E-2</v>
      </c>
      <c r="AW160" s="228">
        <v>140</v>
      </c>
      <c r="AX160" s="228">
        <v>146</v>
      </c>
      <c r="AY160" s="228">
        <v>-6</v>
      </c>
      <c r="AZ160" s="229">
        <v>-3.8399999999999997E-2</v>
      </c>
      <c r="BA160" s="228">
        <v>34</v>
      </c>
      <c r="BB160" s="228">
        <v>21</v>
      </c>
      <c r="BC160" s="228">
        <v>13</v>
      </c>
      <c r="BD160" s="229">
        <v>0.6129</v>
      </c>
      <c r="BE160" s="228">
        <v>0</v>
      </c>
      <c r="BF160" s="228">
        <v>0</v>
      </c>
      <c r="BG160" s="228">
        <v>0</v>
      </c>
      <c r="BH160" s="229">
        <v>-1</v>
      </c>
      <c r="BI160" s="228">
        <v>620</v>
      </c>
      <c r="BJ160" s="228">
        <v>973</v>
      </c>
      <c r="BK160" s="228">
        <v>-353</v>
      </c>
      <c r="BL160" s="229">
        <v>-0.3624</v>
      </c>
      <c r="BM160" s="228">
        <v>319</v>
      </c>
      <c r="BN160" s="228">
        <v>437</v>
      </c>
      <c r="BO160" s="228">
        <v>-117</v>
      </c>
      <c r="BP160" s="229">
        <v>-0.26819999999999999</v>
      </c>
      <c r="BQ160" s="230">
        <v>1114</v>
      </c>
      <c r="BR160" s="230">
        <v>1577</v>
      </c>
      <c r="BS160" s="228">
        <v>-463</v>
      </c>
      <c r="BT160" s="229">
        <v>-0.29349999999999998</v>
      </c>
      <c r="BU160" s="230">
        <v>24956</v>
      </c>
      <c r="BV160" s="230">
        <v>27069</v>
      </c>
      <c r="BW160" s="230">
        <v>-2113</v>
      </c>
      <c r="BX160" s="229">
        <v>-7.8100000000000003E-2</v>
      </c>
      <c r="BY160" s="230">
        <v>1334</v>
      </c>
      <c r="BZ160" s="230">
        <v>1335</v>
      </c>
      <c r="CA160" s="228">
        <v>-1</v>
      </c>
      <c r="CB160" s="229">
        <v>-8.9999999999999998E-4</v>
      </c>
      <c r="CC160" s="230">
        <v>1251</v>
      </c>
      <c r="CD160" s="230">
        <v>1266</v>
      </c>
      <c r="CE160" s="228">
        <v>-15</v>
      </c>
      <c r="CF160" s="229">
        <v>-1.1900000000000001E-2</v>
      </c>
      <c r="CG160" s="228">
        <v>81</v>
      </c>
      <c r="CH160" s="228">
        <v>67</v>
      </c>
      <c r="CI160" s="228">
        <v>14</v>
      </c>
      <c r="CJ160" s="229">
        <v>0.20449999999999999</v>
      </c>
      <c r="CK160" s="228">
        <v>2</v>
      </c>
      <c r="CL160" s="228">
        <v>2</v>
      </c>
      <c r="CM160" s="228">
        <v>0</v>
      </c>
      <c r="CN160" s="229">
        <v>0</v>
      </c>
      <c r="CO160" s="228">
        <v>525</v>
      </c>
      <c r="CP160" s="228">
        <v>483</v>
      </c>
      <c r="CQ160" s="228">
        <v>42</v>
      </c>
      <c r="CR160" s="229">
        <v>8.5999999999999993E-2</v>
      </c>
      <c r="CS160" s="228">
        <v>180</v>
      </c>
      <c r="CT160" s="228">
        <v>169</v>
      </c>
      <c r="CU160" s="228">
        <v>11</v>
      </c>
      <c r="CV160" s="229">
        <v>6.4600000000000005E-2</v>
      </c>
      <c r="CW160" s="230">
        <v>2039</v>
      </c>
      <c r="CX160" s="230">
        <v>1988</v>
      </c>
      <c r="CY160" s="228">
        <v>51</v>
      </c>
      <c r="CZ160" s="229">
        <v>2.58E-2</v>
      </c>
      <c r="DA160" s="228">
        <v>27.33</v>
      </c>
      <c r="DB160" s="228">
        <v>25.89</v>
      </c>
      <c r="DC160" s="228">
        <v>1.44</v>
      </c>
      <c r="DD160" s="228">
        <v>1.44</v>
      </c>
      <c r="DE160" s="228">
        <v>29.8</v>
      </c>
      <c r="DF160" s="228">
        <v>29.87</v>
      </c>
      <c r="DG160" s="228">
        <v>-2.4700000000000002</v>
      </c>
      <c r="DH160" s="228">
        <v>-7.0000000000000007E-2</v>
      </c>
      <c r="DI160" s="228">
        <v>27.96</v>
      </c>
      <c r="DJ160" s="228">
        <v>25.71</v>
      </c>
      <c r="DK160" s="228">
        <v>2.25</v>
      </c>
      <c r="DL160" s="228">
        <v>2.25</v>
      </c>
      <c r="DM160" s="228">
        <v>26.1</v>
      </c>
      <c r="DN160" s="228">
        <v>26.27</v>
      </c>
      <c r="DO160" s="228">
        <v>-0.17</v>
      </c>
      <c r="DP160" s="228">
        <v>-0.17</v>
      </c>
      <c r="DQ160" s="228">
        <v>0.34</v>
      </c>
      <c r="DR160" s="228">
        <v>0.35</v>
      </c>
      <c r="DS160" s="228">
        <v>-0.01</v>
      </c>
      <c r="DT160" s="229">
        <v>-2.86E-2</v>
      </c>
      <c r="DU160" s="231">
        <v>50000</v>
      </c>
      <c r="DV160" s="231">
        <v>45000</v>
      </c>
      <c r="DW160" s="228">
        <v>0.51</v>
      </c>
      <c r="DX160" s="228">
        <v>0.45</v>
      </c>
      <c r="DY160" s="228">
        <v>0.06</v>
      </c>
      <c r="DZ160" s="229">
        <v>0.1333</v>
      </c>
      <c r="EA160" s="229">
        <v>6.2399999999999997E-2</v>
      </c>
      <c r="EB160" s="230">
        <v>15285</v>
      </c>
      <c r="EC160" s="229">
        <v>-1.7999999999999999E-2</v>
      </c>
      <c r="ED160" s="229">
        <v>6.2399999999999997E-2</v>
      </c>
      <c r="EE160" s="228">
        <v>-820.24</v>
      </c>
      <c r="EF160" s="229">
        <v>-1.7999999999999999E-2</v>
      </c>
      <c r="EG160" s="230">
        <v>16470</v>
      </c>
      <c r="EH160" s="230">
        <v>15561</v>
      </c>
      <c r="EI160" s="229">
        <v>5.8400000000000001E-2</v>
      </c>
      <c r="EJ160" s="229">
        <v>0.66</v>
      </c>
      <c r="EK160" s="228">
        <v>655.33000000000004</v>
      </c>
      <c r="EL160" s="228">
        <v>306.18</v>
      </c>
      <c r="EM160" s="228">
        <v>173.87</v>
      </c>
      <c r="EN160" s="228">
        <v>0</v>
      </c>
      <c r="EO160" s="231">
        <v>1135.3800000000001</v>
      </c>
      <c r="EP160" s="231">
        <v>1600.24</v>
      </c>
      <c r="EQ160" s="228">
        <v>-464.86</v>
      </c>
      <c r="ER160" s="229">
        <v>-0.29049999999999998</v>
      </c>
      <c r="ES160" s="228">
        <v>558.14</v>
      </c>
      <c r="ET160" s="228">
        <v>172.04</v>
      </c>
      <c r="EU160" s="231">
        <v>1332.45</v>
      </c>
      <c r="EV160" s="231">
        <v>1274066</v>
      </c>
      <c r="EW160" s="231">
        <v>2062.63</v>
      </c>
      <c r="EX160" s="231">
        <v>2015.76</v>
      </c>
      <c r="EY160" s="228">
        <v>46.87</v>
      </c>
      <c r="EZ160" s="229">
        <v>2.3300000000000001E-2</v>
      </c>
      <c r="FA160" s="229">
        <v>0.3518</v>
      </c>
      <c r="FB160" s="227" t="s">
        <v>568</v>
      </c>
      <c r="FC160">
        <f t="shared" si="3"/>
        <v>0</v>
      </c>
    </row>
    <row r="161" spans="1:159" ht="17.25" thickBot="1" x14ac:dyDescent="0.3">
      <c r="A161" s="226">
        <v>45889</v>
      </c>
      <c r="B161" s="227" t="s">
        <v>168</v>
      </c>
      <c r="C161" s="227" t="s">
        <v>667</v>
      </c>
      <c r="D161" s="228">
        <v>300</v>
      </c>
      <c r="E161" s="228">
        <v>8</v>
      </c>
      <c r="F161" s="231">
        <v>1818.1</v>
      </c>
      <c r="G161" s="231">
        <v>1796.4</v>
      </c>
      <c r="H161" s="228">
        <v>21.7</v>
      </c>
      <c r="I161" s="229">
        <v>1.21E-2</v>
      </c>
      <c r="J161" s="231">
        <v>1813.8</v>
      </c>
      <c r="K161" s="231">
        <v>1789.8</v>
      </c>
      <c r="L161" s="228">
        <v>24</v>
      </c>
      <c r="M161" s="229">
        <v>1.34E-2</v>
      </c>
      <c r="N161" s="231">
        <v>1818.1</v>
      </c>
      <c r="O161" s="231">
        <v>1796.4</v>
      </c>
      <c r="P161" s="228">
        <v>21.7</v>
      </c>
      <c r="Q161" s="229">
        <v>1.21E-2</v>
      </c>
      <c r="R161" s="231">
        <v>1826.3</v>
      </c>
      <c r="S161" s="231">
        <v>1804.4</v>
      </c>
      <c r="T161" s="228">
        <v>21.9</v>
      </c>
      <c r="U161" s="229">
        <v>1.21E-2</v>
      </c>
      <c r="V161" s="231">
        <v>1835</v>
      </c>
      <c r="W161" s="231">
        <v>1820</v>
      </c>
      <c r="X161" s="228">
        <v>15</v>
      </c>
      <c r="Y161" s="229">
        <v>8.2000000000000007E-3</v>
      </c>
      <c r="Z161" s="228">
        <v>4.3</v>
      </c>
      <c r="AA161" s="228">
        <v>6.6</v>
      </c>
      <c r="AB161" s="228">
        <v>-2.2999999999999998</v>
      </c>
      <c r="AC161" s="229">
        <v>2.3999999999999998E-3</v>
      </c>
      <c r="AD161" s="228">
        <v>4.3</v>
      </c>
      <c r="AE161" s="228">
        <v>6.6</v>
      </c>
      <c r="AF161" s="228">
        <v>-2.2999999999999998</v>
      </c>
      <c r="AG161" s="229">
        <v>2.3999999999999998E-3</v>
      </c>
      <c r="AH161" s="228">
        <v>12.5</v>
      </c>
      <c r="AI161" s="228">
        <v>14.6</v>
      </c>
      <c r="AJ161" s="228">
        <v>-2.1</v>
      </c>
      <c r="AK161" s="229">
        <v>6.8999999999999999E-3</v>
      </c>
      <c r="AL161" s="228">
        <v>21.2</v>
      </c>
      <c r="AM161" s="228">
        <v>30.2</v>
      </c>
      <c r="AN161" s="228">
        <v>-9</v>
      </c>
      <c r="AO161" s="229">
        <v>1.17E-2</v>
      </c>
      <c r="AP161" s="231">
        <v>1811.63</v>
      </c>
      <c r="AQ161" s="231">
        <v>1818.57</v>
      </c>
      <c r="AR161" s="228">
        <v>0</v>
      </c>
      <c r="AS161" s="228">
        <v>311</v>
      </c>
      <c r="AT161" s="228">
        <v>534</v>
      </c>
      <c r="AU161" s="228">
        <v>-223</v>
      </c>
      <c r="AV161" s="229">
        <v>-0.41689999999999999</v>
      </c>
      <c r="AW161" s="228">
        <v>247</v>
      </c>
      <c r="AX161" s="228">
        <v>350</v>
      </c>
      <c r="AY161" s="228">
        <v>-103</v>
      </c>
      <c r="AZ161" s="229">
        <v>-0.29339999999999999</v>
      </c>
      <c r="BA161" s="228">
        <v>63</v>
      </c>
      <c r="BB161" s="228">
        <v>184</v>
      </c>
      <c r="BC161" s="228">
        <v>-121</v>
      </c>
      <c r="BD161" s="229">
        <v>-0.65910000000000002</v>
      </c>
      <c r="BE161" s="228">
        <v>2</v>
      </c>
      <c r="BF161" s="228">
        <v>0</v>
      </c>
      <c r="BG161" s="228">
        <v>1</v>
      </c>
      <c r="BH161" s="229">
        <v>8.3332999999999995</v>
      </c>
      <c r="BI161" s="228">
        <v>627</v>
      </c>
      <c r="BJ161" s="228">
        <v>414</v>
      </c>
      <c r="BK161" s="228">
        <v>213</v>
      </c>
      <c r="BL161" s="229">
        <v>0.51380000000000003</v>
      </c>
      <c r="BM161" s="228">
        <v>177</v>
      </c>
      <c r="BN161" s="228">
        <v>200</v>
      </c>
      <c r="BO161" s="228">
        <v>-23</v>
      </c>
      <c r="BP161" s="229">
        <v>-0.1152</v>
      </c>
      <c r="BQ161" s="230">
        <v>1115</v>
      </c>
      <c r="BR161" s="230">
        <v>1148</v>
      </c>
      <c r="BS161" s="228">
        <v>-33</v>
      </c>
      <c r="BT161" s="229">
        <v>-2.86E-2</v>
      </c>
      <c r="BU161" s="230">
        <v>1126963</v>
      </c>
      <c r="BV161" s="230">
        <v>385782</v>
      </c>
      <c r="BW161" s="230">
        <v>741181</v>
      </c>
      <c r="BX161" s="229">
        <v>1.9212</v>
      </c>
      <c r="BY161" s="230">
        <v>2065</v>
      </c>
      <c r="BZ161" s="230">
        <v>2059</v>
      </c>
      <c r="CA161" s="228">
        <v>6</v>
      </c>
      <c r="CB161" s="229">
        <v>3.0999999999999999E-3</v>
      </c>
      <c r="CC161" s="230">
        <v>1837</v>
      </c>
      <c r="CD161" s="230">
        <v>1846</v>
      </c>
      <c r="CE161" s="228">
        <v>-10</v>
      </c>
      <c r="CF161" s="229">
        <v>-5.1999999999999998E-3</v>
      </c>
      <c r="CG161" s="228">
        <v>228</v>
      </c>
      <c r="CH161" s="228">
        <v>212</v>
      </c>
      <c r="CI161" s="228">
        <v>16</v>
      </c>
      <c r="CJ161" s="229">
        <v>7.5999999999999998E-2</v>
      </c>
      <c r="CK161" s="228">
        <v>1</v>
      </c>
      <c r="CL161" s="228">
        <v>1</v>
      </c>
      <c r="CM161" s="228">
        <v>0</v>
      </c>
      <c r="CN161" s="229">
        <v>0</v>
      </c>
      <c r="CO161" s="228">
        <v>472</v>
      </c>
      <c r="CP161" s="228">
        <v>454</v>
      </c>
      <c r="CQ161" s="228">
        <v>18</v>
      </c>
      <c r="CR161" s="229">
        <v>3.8899999999999997E-2</v>
      </c>
      <c r="CS161" s="228">
        <v>205</v>
      </c>
      <c r="CT161" s="228">
        <v>206</v>
      </c>
      <c r="CU161" s="228">
        <v>-1</v>
      </c>
      <c r="CV161" s="229">
        <v>-5.7999999999999996E-3</v>
      </c>
      <c r="CW161" s="230">
        <v>2743</v>
      </c>
      <c r="CX161" s="230">
        <v>2720</v>
      </c>
      <c r="CY161" s="228">
        <v>23</v>
      </c>
      <c r="CZ161" s="229">
        <v>8.3999999999999995E-3</v>
      </c>
      <c r="DA161" s="228">
        <v>31.12</v>
      </c>
      <c r="DB161" s="228">
        <v>31.15</v>
      </c>
      <c r="DC161" s="228">
        <v>-0.03</v>
      </c>
      <c r="DD161" s="228">
        <v>-0.03</v>
      </c>
      <c r="DE161" s="228">
        <v>36.57</v>
      </c>
      <c r="DF161" s="228">
        <v>36.630000000000003</v>
      </c>
      <c r="DG161" s="228">
        <v>-5.45</v>
      </c>
      <c r="DH161" s="228">
        <v>-0.06</v>
      </c>
      <c r="DI161" s="228">
        <v>31.56</v>
      </c>
      <c r="DJ161" s="228">
        <v>31.45</v>
      </c>
      <c r="DK161" s="228">
        <v>0.11</v>
      </c>
      <c r="DL161" s="228">
        <v>0.11</v>
      </c>
      <c r="DM161" s="228">
        <v>29.55</v>
      </c>
      <c r="DN161" s="228">
        <v>30.54</v>
      </c>
      <c r="DO161" s="228">
        <v>-0.99</v>
      </c>
      <c r="DP161" s="228">
        <v>-0.99</v>
      </c>
      <c r="DQ161" s="228">
        <v>0.44</v>
      </c>
      <c r="DR161" s="228">
        <v>0.45</v>
      </c>
      <c r="DS161" s="228">
        <v>-0.01</v>
      </c>
      <c r="DT161" s="229">
        <v>-2.2200000000000001E-2</v>
      </c>
      <c r="DU161" s="231">
        <v>1900</v>
      </c>
      <c r="DV161" s="231">
        <v>1800</v>
      </c>
      <c r="DW161" s="228">
        <v>0.28000000000000003</v>
      </c>
      <c r="DX161" s="228">
        <v>0.48</v>
      </c>
      <c r="DY161" s="228">
        <v>-0.2</v>
      </c>
      <c r="DZ161" s="229">
        <v>-0.41670000000000001</v>
      </c>
      <c r="EA161" s="229">
        <v>0.11070000000000001</v>
      </c>
      <c r="EB161" s="230">
        <v>1169400</v>
      </c>
      <c r="EC161" s="229">
        <v>4.4999999999999997E-3</v>
      </c>
      <c r="ED161" s="229">
        <v>0.11070000000000001</v>
      </c>
      <c r="EE161" s="228">
        <v>6.94</v>
      </c>
      <c r="EF161" s="229">
        <v>3.8E-3</v>
      </c>
      <c r="EG161" s="230">
        <v>707578</v>
      </c>
      <c r="EH161" s="230">
        <v>108309</v>
      </c>
      <c r="EI161" s="229">
        <v>5.5330000000000004</v>
      </c>
      <c r="EJ161" s="229">
        <v>0.62790000000000001</v>
      </c>
      <c r="EK161" s="228">
        <v>647.66</v>
      </c>
      <c r="EL161" s="228">
        <v>172.58</v>
      </c>
      <c r="EM161" s="228">
        <v>310.64</v>
      </c>
      <c r="EN161" s="228">
        <v>0</v>
      </c>
      <c r="EO161" s="231">
        <v>1130.8800000000001</v>
      </c>
      <c r="EP161" s="231">
        <v>1149.8499999999999</v>
      </c>
      <c r="EQ161" s="228">
        <v>-18.96</v>
      </c>
      <c r="ER161" s="229">
        <v>-1.6500000000000001E-2</v>
      </c>
      <c r="ES161" s="228">
        <v>492.74</v>
      </c>
      <c r="ET161" s="228">
        <v>198.21</v>
      </c>
      <c r="EU161" s="231">
        <v>2066.52</v>
      </c>
      <c r="EV161" s="231">
        <v>22595616</v>
      </c>
      <c r="EW161" s="231">
        <v>2757.48</v>
      </c>
      <c r="EX161" s="231">
        <v>2708.65</v>
      </c>
      <c r="EY161" s="228">
        <v>48.83</v>
      </c>
      <c r="EZ161" s="229">
        <v>1.7999999999999999E-2</v>
      </c>
      <c r="FA161" s="229">
        <v>0.66759999999999997</v>
      </c>
      <c r="FB161" s="227" t="s">
        <v>555</v>
      </c>
      <c r="FC161">
        <f t="shared" si="3"/>
        <v>0</v>
      </c>
    </row>
    <row r="162" spans="1:159" ht="17.25" thickBot="1" x14ac:dyDescent="0.3">
      <c r="A162" s="226">
        <v>45889</v>
      </c>
      <c r="B162" s="227" t="s">
        <v>616</v>
      </c>
      <c r="C162" s="227" t="s">
        <v>576</v>
      </c>
      <c r="D162" s="228">
        <v>725</v>
      </c>
      <c r="E162" s="228">
        <v>8</v>
      </c>
      <c r="F162" s="231">
        <v>1248.0999999999999</v>
      </c>
      <c r="G162" s="231">
        <v>1230</v>
      </c>
      <c r="H162" s="228">
        <v>18.100000000000001</v>
      </c>
      <c r="I162" s="229">
        <v>1.47E-2</v>
      </c>
      <c r="J162" s="231">
        <v>1248</v>
      </c>
      <c r="K162" s="231">
        <v>1226.2</v>
      </c>
      <c r="L162" s="228">
        <v>21.8</v>
      </c>
      <c r="M162" s="229">
        <v>1.78E-2</v>
      </c>
      <c r="N162" s="231">
        <v>1248.0999999999999</v>
      </c>
      <c r="O162" s="231">
        <v>1230</v>
      </c>
      <c r="P162" s="228">
        <v>18.100000000000001</v>
      </c>
      <c r="Q162" s="229">
        <v>1.47E-2</v>
      </c>
      <c r="R162" s="231">
        <v>1255</v>
      </c>
      <c r="S162" s="231">
        <v>1235.7</v>
      </c>
      <c r="T162" s="228">
        <v>19.3</v>
      </c>
      <c r="U162" s="229">
        <v>1.5599999999999999E-2</v>
      </c>
      <c r="V162" s="231">
        <v>1260</v>
      </c>
      <c r="W162" s="231">
        <v>1242.7</v>
      </c>
      <c r="X162" s="228">
        <v>17.3</v>
      </c>
      <c r="Y162" s="229">
        <v>1.3899999999999999E-2</v>
      </c>
      <c r="Z162" s="228">
        <v>0.1</v>
      </c>
      <c r="AA162" s="228">
        <v>3.8</v>
      </c>
      <c r="AB162" s="228">
        <v>-3.7</v>
      </c>
      <c r="AC162" s="229">
        <v>1E-4</v>
      </c>
      <c r="AD162" s="228">
        <v>0.1</v>
      </c>
      <c r="AE162" s="228">
        <v>3.8</v>
      </c>
      <c r="AF162" s="228">
        <v>-3.7</v>
      </c>
      <c r="AG162" s="229">
        <v>1E-4</v>
      </c>
      <c r="AH162" s="228">
        <v>7</v>
      </c>
      <c r="AI162" s="228">
        <v>9.5</v>
      </c>
      <c r="AJ162" s="228">
        <v>-2.5</v>
      </c>
      <c r="AK162" s="229">
        <v>5.5999999999999999E-3</v>
      </c>
      <c r="AL162" s="228">
        <v>12</v>
      </c>
      <c r="AM162" s="228">
        <v>16.5</v>
      </c>
      <c r="AN162" s="228">
        <v>-4.5</v>
      </c>
      <c r="AO162" s="229">
        <v>9.5999999999999992E-3</v>
      </c>
      <c r="AP162" s="231">
        <v>1241.54</v>
      </c>
      <c r="AQ162" s="231">
        <v>1247.71</v>
      </c>
      <c r="AR162" s="228">
        <v>0</v>
      </c>
      <c r="AS162" s="230">
        <v>1142</v>
      </c>
      <c r="AT162" s="230">
        <v>1832</v>
      </c>
      <c r="AU162" s="228">
        <v>-690</v>
      </c>
      <c r="AV162" s="229">
        <v>-0.37669999999999998</v>
      </c>
      <c r="AW162" s="228">
        <v>914</v>
      </c>
      <c r="AX162" s="230">
        <v>1561</v>
      </c>
      <c r="AY162" s="228">
        <v>-647</v>
      </c>
      <c r="AZ162" s="229">
        <v>-0.41470000000000001</v>
      </c>
      <c r="BA162" s="228">
        <v>219</v>
      </c>
      <c r="BB162" s="228">
        <v>255</v>
      </c>
      <c r="BC162" s="228">
        <v>-36</v>
      </c>
      <c r="BD162" s="229">
        <v>-0.1404</v>
      </c>
      <c r="BE162" s="228">
        <v>9</v>
      </c>
      <c r="BF162" s="228">
        <v>16</v>
      </c>
      <c r="BG162" s="228">
        <v>-7</v>
      </c>
      <c r="BH162" s="229">
        <v>-0.42780000000000001</v>
      </c>
      <c r="BI162" s="230">
        <v>6653</v>
      </c>
      <c r="BJ162" s="230">
        <v>9147</v>
      </c>
      <c r="BK162" s="230">
        <v>-2494</v>
      </c>
      <c r="BL162" s="229">
        <v>-0.27260000000000001</v>
      </c>
      <c r="BM162" s="230">
        <v>3072</v>
      </c>
      <c r="BN162" s="230">
        <v>4098</v>
      </c>
      <c r="BO162" s="230">
        <v>-1026</v>
      </c>
      <c r="BP162" s="229">
        <v>-0.25040000000000001</v>
      </c>
      <c r="BQ162" s="230">
        <v>10867</v>
      </c>
      <c r="BR162" s="230">
        <v>15077</v>
      </c>
      <c r="BS162" s="230">
        <v>-4210</v>
      </c>
      <c r="BT162" s="229">
        <v>-0.2792</v>
      </c>
      <c r="BU162" s="230">
        <v>6015835</v>
      </c>
      <c r="BV162" s="230">
        <v>8311212</v>
      </c>
      <c r="BW162" s="230">
        <v>-2295377</v>
      </c>
      <c r="BX162" s="229">
        <v>-0.2762</v>
      </c>
      <c r="BY162" s="230">
        <v>3521</v>
      </c>
      <c r="BZ162" s="230">
        <v>3482</v>
      </c>
      <c r="CA162" s="228">
        <v>39</v>
      </c>
      <c r="CB162" s="229">
        <v>1.12E-2</v>
      </c>
      <c r="CC162" s="230">
        <v>3289</v>
      </c>
      <c r="CD162" s="230">
        <v>3303</v>
      </c>
      <c r="CE162" s="228">
        <v>-14</v>
      </c>
      <c r="CF162" s="229">
        <v>-4.4000000000000003E-3</v>
      </c>
      <c r="CG162" s="228">
        <v>216</v>
      </c>
      <c r="CH162" s="228">
        <v>164</v>
      </c>
      <c r="CI162" s="228">
        <v>52</v>
      </c>
      <c r="CJ162" s="229">
        <v>0.31419999999999998</v>
      </c>
      <c r="CK162" s="228">
        <v>17</v>
      </c>
      <c r="CL162" s="228">
        <v>15</v>
      </c>
      <c r="CM162" s="228">
        <v>2</v>
      </c>
      <c r="CN162" s="229">
        <v>0.12570000000000001</v>
      </c>
      <c r="CO162" s="230">
        <v>1641</v>
      </c>
      <c r="CP162" s="230">
        <v>1461</v>
      </c>
      <c r="CQ162" s="228">
        <v>180</v>
      </c>
      <c r="CR162" s="229">
        <v>0.123</v>
      </c>
      <c r="CS162" s="230">
        <v>1489</v>
      </c>
      <c r="CT162" s="230">
        <v>1409</v>
      </c>
      <c r="CU162" s="228">
        <v>80</v>
      </c>
      <c r="CV162" s="229">
        <v>5.6800000000000003E-2</v>
      </c>
      <c r="CW162" s="230">
        <v>6651</v>
      </c>
      <c r="CX162" s="230">
        <v>6352</v>
      </c>
      <c r="CY162" s="228">
        <v>299</v>
      </c>
      <c r="CZ162" s="229">
        <v>4.7E-2</v>
      </c>
      <c r="DA162" s="228">
        <v>43.31</v>
      </c>
      <c r="DB162" s="228">
        <v>40.85</v>
      </c>
      <c r="DC162" s="228">
        <v>2.46</v>
      </c>
      <c r="DD162" s="228">
        <v>2.46</v>
      </c>
      <c r="DE162" s="228">
        <v>59.54</v>
      </c>
      <c r="DF162" s="228">
        <v>59.65</v>
      </c>
      <c r="DG162" s="228">
        <v>-16.23</v>
      </c>
      <c r="DH162" s="228">
        <v>-0.11</v>
      </c>
      <c r="DI162" s="228">
        <v>42.43</v>
      </c>
      <c r="DJ162" s="228">
        <v>39.56</v>
      </c>
      <c r="DK162" s="228">
        <v>2.87</v>
      </c>
      <c r="DL162" s="228">
        <v>2.87</v>
      </c>
      <c r="DM162" s="228">
        <v>45.2</v>
      </c>
      <c r="DN162" s="228">
        <v>43.74</v>
      </c>
      <c r="DO162" s="228">
        <v>1.46</v>
      </c>
      <c r="DP162" s="228">
        <v>1.46</v>
      </c>
      <c r="DQ162" s="228">
        <v>0.91</v>
      </c>
      <c r="DR162" s="228">
        <v>0.96</v>
      </c>
      <c r="DS162" s="228">
        <v>-0.05</v>
      </c>
      <c r="DT162" s="229">
        <v>-5.21E-2</v>
      </c>
      <c r="DU162" s="231">
        <v>1200</v>
      </c>
      <c r="DV162" s="231">
        <v>1200</v>
      </c>
      <c r="DW162" s="228">
        <v>0.46</v>
      </c>
      <c r="DX162" s="228">
        <v>0.45</v>
      </c>
      <c r="DY162" s="228">
        <v>0.01</v>
      </c>
      <c r="DZ162" s="229">
        <v>2.2200000000000001E-2</v>
      </c>
      <c r="EA162" s="229">
        <v>6.6100000000000006E-2</v>
      </c>
      <c r="EB162" s="230">
        <v>1436225</v>
      </c>
      <c r="EC162" s="229">
        <v>5.4999999999999997E-3</v>
      </c>
      <c r="ED162" s="229">
        <v>6.6100000000000006E-2</v>
      </c>
      <c r="EE162" s="228">
        <v>6.17</v>
      </c>
      <c r="EF162" s="229">
        <v>5.0000000000000001E-3</v>
      </c>
      <c r="EG162" s="230">
        <v>1541236</v>
      </c>
      <c r="EH162" s="230">
        <v>2257038</v>
      </c>
      <c r="EI162" s="229">
        <v>-0.31709999999999999</v>
      </c>
      <c r="EJ162" s="229">
        <v>0.25619999999999998</v>
      </c>
      <c r="EK162" s="231">
        <v>6897.06</v>
      </c>
      <c r="EL162" s="231">
        <v>2968.42</v>
      </c>
      <c r="EM162" s="231">
        <v>1137.03</v>
      </c>
      <c r="EN162" s="228">
        <v>0</v>
      </c>
      <c r="EO162" s="231">
        <v>11002.51</v>
      </c>
      <c r="EP162" s="231">
        <v>14838.46</v>
      </c>
      <c r="EQ162" s="231">
        <v>-3835.95</v>
      </c>
      <c r="ER162" s="229">
        <v>-0.25850000000000001</v>
      </c>
      <c r="ES162" s="231">
        <v>1615.32</v>
      </c>
      <c r="ET162" s="231">
        <v>1331.09</v>
      </c>
      <c r="EU162" s="231">
        <v>3522.76</v>
      </c>
      <c r="EV162" s="231">
        <v>127620510</v>
      </c>
      <c r="EW162" s="231">
        <v>6469.17</v>
      </c>
      <c r="EX162" s="231">
        <v>6087.69</v>
      </c>
      <c r="EY162" s="228">
        <v>381.48</v>
      </c>
      <c r="EZ162" s="229">
        <v>6.2700000000000006E-2</v>
      </c>
      <c r="FA162" s="229">
        <v>0.41760000000000003</v>
      </c>
      <c r="FB162" s="227" t="s">
        <v>555</v>
      </c>
      <c r="FC162">
        <f t="shared" si="3"/>
        <v>0</v>
      </c>
    </row>
    <row r="163" spans="1:159" ht="17.25" thickBot="1" x14ac:dyDescent="0.3">
      <c r="A163" s="226">
        <v>45889</v>
      </c>
      <c r="B163" s="227" t="s">
        <v>221</v>
      </c>
      <c r="C163" s="227" t="s">
        <v>529</v>
      </c>
      <c r="D163" s="228">
        <v>100</v>
      </c>
      <c r="E163" s="228">
        <v>8</v>
      </c>
      <c r="F163" s="231">
        <v>5357.5</v>
      </c>
      <c r="G163" s="231">
        <v>5257</v>
      </c>
      <c r="H163" s="228">
        <v>100.5</v>
      </c>
      <c r="I163" s="229">
        <v>1.9099999999999999E-2</v>
      </c>
      <c r="J163" s="231">
        <v>5345</v>
      </c>
      <c r="K163" s="231">
        <v>5236.5</v>
      </c>
      <c r="L163" s="228">
        <v>108.5</v>
      </c>
      <c r="M163" s="229">
        <v>2.07E-2</v>
      </c>
      <c r="N163" s="231">
        <v>5357.5</v>
      </c>
      <c r="O163" s="231">
        <v>5257</v>
      </c>
      <c r="P163" s="228">
        <v>100.5</v>
      </c>
      <c r="Q163" s="229">
        <v>1.9099999999999999E-2</v>
      </c>
      <c r="R163" s="231">
        <v>5387</v>
      </c>
      <c r="S163" s="231">
        <v>5283</v>
      </c>
      <c r="T163" s="228">
        <v>104</v>
      </c>
      <c r="U163" s="229">
        <v>1.9699999999999999E-2</v>
      </c>
      <c r="V163" s="231">
        <v>5413.5</v>
      </c>
      <c r="W163" s="231">
        <v>5315.5</v>
      </c>
      <c r="X163" s="228">
        <v>98</v>
      </c>
      <c r="Y163" s="229">
        <v>1.84E-2</v>
      </c>
      <c r="Z163" s="228">
        <v>12.5</v>
      </c>
      <c r="AA163" s="228">
        <v>20.5</v>
      </c>
      <c r="AB163" s="228">
        <v>-8</v>
      </c>
      <c r="AC163" s="229">
        <v>2.3E-3</v>
      </c>
      <c r="AD163" s="228">
        <v>12.5</v>
      </c>
      <c r="AE163" s="228">
        <v>20.5</v>
      </c>
      <c r="AF163" s="228">
        <v>-8</v>
      </c>
      <c r="AG163" s="229">
        <v>2.3E-3</v>
      </c>
      <c r="AH163" s="228">
        <v>42</v>
      </c>
      <c r="AI163" s="228">
        <v>46.5</v>
      </c>
      <c r="AJ163" s="228">
        <v>-4.5</v>
      </c>
      <c r="AK163" s="229">
        <v>7.9000000000000008E-3</v>
      </c>
      <c r="AL163" s="228">
        <v>68.5</v>
      </c>
      <c r="AM163" s="228">
        <v>79</v>
      </c>
      <c r="AN163" s="228">
        <v>-10.5</v>
      </c>
      <c r="AO163" s="229">
        <v>1.2800000000000001E-2</v>
      </c>
      <c r="AP163" s="231">
        <v>5326.67</v>
      </c>
      <c r="AQ163" s="231">
        <v>5341.69</v>
      </c>
      <c r="AR163" s="228">
        <v>0</v>
      </c>
      <c r="AS163" s="228">
        <v>489</v>
      </c>
      <c r="AT163" s="228">
        <v>230</v>
      </c>
      <c r="AU163" s="228">
        <v>260</v>
      </c>
      <c r="AV163" s="229">
        <v>1.1314</v>
      </c>
      <c r="AW163" s="228">
        <v>400</v>
      </c>
      <c r="AX163" s="228">
        <v>199</v>
      </c>
      <c r="AY163" s="228">
        <v>201</v>
      </c>
      <c r="AZ163" s="229">
        <v>1.0094000000000001</v>
      </c>
      <c r="BA163" s="228">
        <v>85</v>
      </c>
      <c r="BB163" s="228">
        <v>26</v>
      </c>
      <c r="BC163" s="228">
        <v>59</v>
      </c>
      <c r="BD163" s="229">
        <v>2.2275999999999998</v>
      </c>
      <c r="BE163" s="228">
        <v>5</v>
      </c>
      <c r="BF163" s="228">
        <v>4</v>
      </c>
      <c r="BG163" s="228">
        <v>0</v>
      </c>
      <c r="BH163" s="229">
        <v>8.43E-2</v>
      </c>
      <c r="BI163" s="230">
        <v>2501</v>
      </c>
      <c r="BJ163" s="230">
        <v>1048</v>
      </c>
      <c r="BK163" s="230">
        <v>1453</v>
      </c>
      <c r="BL163" s="229">
        <v>1.3864000000000001</v>
      </c>
      <c r="BM163" s="228">
        <v>930</v>
      </c>
      <c r="BN163" s="228">
        <v>345</v>
      </c>
      <c r="BO163" s="228">
        <v>585</v>
      </c>
      <c r="BP163" s="229">
        <v>1.6930000000000001</v>
      </c>
      <c r="BQ163" s="230">
        <v>3920</v>
      </c>
      <c r="BR163" s="230">
        <v>1623</v>
      </c>
      <c r="BS163" s="230">
        <v>2297</v>
      </c>
      <c r="BT163" s="229">
        <v>1.4156</v>
      </c>
      <c r="BU163" s="230">
        <v>641299</v>
      </c>
      <c r="BV163" s="230">
        <v>457445</v>
      </c>
      <c r="BW163" s="230">
        <v>183854</v>
      </c>
      <c r="BX163" s="229">
        <v>0.40189999999999998</v>
      </c>
      <c r="BY163" s="230">
        <v>1616</v>
      </c>
      <c r="BZ163" s="230">
        <v>1592</v>
      </c>
      <c r="CA163" s="228">
        <v>24</v>
      </c>
      <c r="CB163" s="229">
        <v>1.5299999999999999E-2</v>
      </c>
      <c r="CC163" s="230">
        <v>1472</v>
      </c>
      <c r="CD163" s="230">
        <v>1487</v>
      </c>
      <c r="CE163" s="228">
        <v>-15</v>
      </c>
      <c r="CF163" s="229">
        <v>-9.7999999999999997E-3</v>
      </c>
      <c r="CG163" s="228">
        <v>138</v>
      </c>
      <c r="CH163" s="228">
        <v>100</v>
      </c>
      <c r="CI163" s="228">
        <v>38</v>
      </c>
      <c r="CJ163" s="229">
        <v>0.38229999999999997</v>
      </c>
      <c r="CK163" s="228">
        <v>6</v>
      </c>
      <c r="CL163" s="228">
        <v>5</v>
      </c>
      <c r="CM163" s="228">
        <v>1</v>
      </c>
      <c r="CN163" s="229">
        <v>0.15049999999999999</v>
      </c>
      <c r="CO163" s="228">
        <v>664</v>
      </c>
      <c r="CP163" s="228">
        <v>743</v>
      </c>
      <c r="CQ163" s="228">
        <v>-79</v>
      </c>
      <c r="CR163" s="229">
        <v>-0.1067</v>
      </c>
      <c r="CS163" s="228">
        <v>411</v>
      </c>
      <c r="CT163" s="228">
        <v>422</v>
      </c>
      <c r="CU163" s="228">
        <v>-11</v>
      </c>
      <c r="CV163" s="229">
        <v>-2.6599999999999999E-2</v>
      </c>
      <c r="CW163" s="230">
        <v>2691</v>
      </c>
      <c r="CX163" s="230">
        <v>2757</v>
      </c>
      <c r="CY163" s="228">
        <v>-66</v>
      </c>
      <c r="CZ163" s="229">
        <v>-2.4E-2</v>
      </c>
      <c r="DA163" s="228">
        <v>31.79</v>
      </c>
      <c r="DB163" s="228">
        <v>32.18</v>
      </c>
      <c r="DC163" s="228">
        <v>-0.39</v>
      </c>
      <c r="DD163" s="228">
        <v>-0.39</v>
      </c>
      <c r="DE163" s="228">
        <v>42.56</v>
      </c>
      <c r="DF163" s="228">
        <v>42.57</v>
      </c>
      <c r="DG163" s="228">
        <v>-10.77</v>
      </c>
      <c r="DH163" s="228">
        <v>-0.01</v>
      </c>
      <c r="DI163" s="228">
        <v>31.37</v>
      </c>
      <c r="DJ163" s="228">
        <v>32.9</v>
      </c>
      <c r="DK163" s="228">
        <v>-1.53</v>
      </c>
      <c r="DL163" s="228">
        <v>-1.53</v>
      </c>
      <c r="DM163" s="228">
        <v>32.9</v>
      </c>
      <c r="DN163" s="228">
        <v>29.99</v>
      </c>
      <c r="DO163" s="228">
        <v>2.91</v>
      </c>
      <c r="DP163" s="228">
        <v>2.91</v>
      </c>
      <c r="DQ163" s="228">
        <v>0.62</v>
      </c>
      <c r="DR163" s="228">
        <v>0.56999999999999995</v>
      </c>
      <c r="DS163" s="228">
        <v>0.05</v>
      </c>
      <c r="DT163" s="229">
        <v>8.77E-2</v>
      </c>
      <c r="DU163" s="231">
        <v>6000</v>
      </c>
      <c r="DV163" s="231">
        <v>5200</v>
      </c>
      <c r="DW163" s="228">
        <v>0.37</v>
      </c>
      <c r="DX163" s="228">
        <v>0.33</v>
      </c>
      <c r="DY163" s="228">
        <v>0.04</v>
      </c>
      <c r="DZ163" s="229">
        <v>0.1212</v>
      </c>
      <c r="EA163" s="229">
        <v>8.8999999999999996E-2</v>
      </c>
      <c r="EB163" s="230">
        <v>195800</v>
      </c>
      <c r="EC163" s="229">
        <v>5.4999999999999997E-3</v>
      </c>
      <c r="ED163" s="229">
        <v>8.8999999999999996E-2</v>
      </c>
      <c r="EE163" s="228">
        <v>15.02</v>
      </c>
      <c r="EF163" s="229">
        <v>2.8E-3</v>
      </c>
      <c r="EG163" s="230">
        <v>323898</v>
      </c>
      <c r="EH163" s="230">
        <v>323555</v>
      </c>
      <c r="EI163" s="229">
        <v>1.1000000000000001E-3</v>
      </c>
      <c r="EJ163" s="229">
        <v>0.50509999999999999</v>
      </c>
      <c r="EK163" s="231">
        <v>2574.5</v>
      </c>
      <c r="EL163" s="228">
        <v>904.33</v>
      </c>
      <c r="EM163" s="228">
        <v>486.86</v>
      </c>
      <c r="EN163" s="228">
        <v>0</v>
      </c>
      <c r="EO163" s="231">
        <v>3965.69</v>
      </c>
      <c r="EP163" s="231">
        <v>1641.07</v>
      </c>
      <c r="EQ163" s="231">
        <v>2324.62</v>
      </c>
      <c r="ER163" s="229">
        <v>1.4165000000000001</v>
      </c>
      <c r="ES163" s="228">
        <v>692.5</v>
      </c>
      <c r="ET163" s="228">
        <v>391.22</v>
      </c>
      <c r="EU163" s="231">
        <v>1616.96</v>
      </c>
      <c r="EV163" s="231">
        <v>21535802</v>
      </c>
      <c r="EW163" s="231">
        <v>2700.68</v>
      </c>
      <c r="EX163" s="231">
        <v>2734.03</v>
      </c>
      <c r="EY163" s="228">
        <v>-33.35</v>
      </c>
      <c r="EZ163" s="229">
        <v>-1.2200000000000001E-2</v>
      </c>
      <c r="FA163" s="229">
        <v>0.23319999999999999</v>
      </c>
      <c r="FB163" s="227" t="s">
        <v>555</v>
      </c>
      <c r="FC163">
        <f t="shared" si="3"/>
        <v>0</v>
      </c>
    </row>
    <row r="164" spans="1:159" ht="17.25" thickBot="1" x14ac:dyDescent="0.3">
      <c r="A164" s="226">
        <v>45889</v>
      </c>
      <c r="B164" s="227" t="s">
        <v>193</v>
      </c>
      <c r="C164" s="227" t="s">
        <v>272</v>
      </c>
      <c r="D164" s="228">
        <v>1800</v>
      </c>
      <c r="E164" s="228">
        <v>8</v>
      </c>
      <c r="F164" s="228">
        <v>280.55</v>
      </c>
      <c r="G164" s="228">
        <v>283.39999999999998</v>
      </c>
      <c r="H164" s="228">
        <v>-2.85</v>
      </c>
      <c r="I164" s="229">
        <v>-1.01E-2</v>
      </c>
      <c r="J164" s="228">
        <v>280.14999999999998</v>
      </c>
      <c r="K164" s="228">
        <v>282.89999999999998</v>
      </c>
      <c r="L164" s="228">
        <v>-2.75</v>
      </c>
      <c r="M164" s="229">
        <v>-9.7000000000000003E-3</v>
      </c>
      <c r="N164" s="228">
        <v>280.55</v>
      </c>
      <c r="O164" s="228">
        <v>283.39999999999998</v>
      </c>
      <c r="P164" s="228">
        <v>-2.85</v>
      </c>
      <c r="Q164" s="229">
        <v>-1.01E-2</v>
      </c>
      <c r="R164" s="228">
        <v>282.25</v>
      </c>
      <c r="S164" s="228">
        <v>285.14999999999998</v>
      </c>
      <c r="T164" s="228">
        <v>-2.9</v>
      </c>
      <c r="U164" s="229">
        <v>-1.0200000000000001E-2</v>
      </c>
      <c r="V164" s="228">
        <v>283.45</v>
      </c>
      <c r="W164" s="228">
        <v>286.5</v>
      </c>
      <c r="X164" s="228">
        <v>-3.05</v>
      </c>
      <c r="Y164" s="229">
        <v>-1.06E-2</v>
      </c>
      <c r="Z164" s="228">
        <v>0.4</v>
      </c>
      <c r="AA164" s="228">
        <v>0.5</v>
      </c>
      <c r="AB164" s="228">
        <v>-0.1</v>
      </c>
      <c r="AC164" s="229">
        <v>1.4E-3</v>
      </c>
      <c r="AD164" s="228">
        <v>0.4</v>
      </c>
      <c r="AE164" s="228">
        <v>0.5</v>
      </c>
      <c r="AF164" s="228">
        <v>-0.1</v>
      </c>
      <c r="AG164" s="229">
        <v>1.4E-3</v>
      </c>
      <c r="AH164" s="228">
        <v>2.1</v>
      </c>
      <c r="AI164" s="228">
        <v>2.25</v>
      </c>
      <c r="AJ164" s="228">
        <v>-0.15</v>
      </c>
      <c r="AK164" s="229">
        <v>7.4999999999999997E-3</v>
      </c>
      <c r="AL164" s="228">
        <v>3.3</v>
      </c>
      <c r="AM164" s="228">
        <v>3.6</v>
      </c>
      <c r="AN164" s="228">
        <v>-0.3</v>
      </c>
      <c r="AO164" s="229">
        <v>1.18E-2</v>
      </c>
      <c r="AP164" s="228">
        <v>280.57</v>
      </c>
      <c r="AQ164" s="228">
        <v>282.14999999999998</v>
      </c>
      <c r="AR164" s="228">
        <v>0</v>
      </c>
      <c r="AS164" s="228">
        <v>93</v>
      </c>
      <c r="AT164" s="228">
        <v>156</v>
      </c>
      <c r="AU164" s="228">
        <v>-63</v>
      </c>
      <c r="AV164" s="229">
        <v>-0.40250000000000002</v>
      </c>
      <c r="AW164" s="228">
        <v>63</v>
      </c>
      <c r="AX164" s="228">
        <v>120</v>
      </c>
      <c r="AY164" s="228">
        <v>-57</v>
      </c>
      <c r="AZ164" s="229">
        <v>-0.47270000000000001</v>
      </c>
      <c r="BA164" s="228">
        <v>29</v>
      </c>
      <c r="BB164" s="228">
        <v>33</v>
      </c>
      <c r="BC164" s="228">
        <v>-5</v>
      </c>
      <c r="BD164" s="229">
        <v>-0.1426</v>
      </c>
      <c r="BE164" s="228">
        <v>1</v>
      </c>
      <c r="BF164" s="228">
        <v>2</v>
      </c>
      <c r="BG164" s="228">
        <v>-1</v>
      </c>
      <c r="BH164" s="229">
        <v>-0.5</v>
      </c>
      <c r="BI164" s="228">
        <v>141</v>
      </c>
      <c r="BJ164" s="228">
        <v>545</v>
      </c>
      <c r="BK164" s="228">
        <v>-404</v>
      </c>
      <c r="BL164" s="229">
        <v>-0.74039999999999995</v>
      </c>
      <c r="BM164" s="228">
        <v>180</v>
      </c>
      <c r="BN164" s="228">
        <v>332</v>
      </c>
      <c r="BO164" s="228">
        <v>-152</v>
      </c>
      <c r="BP164" s="229">
        <v>-0.45639999999999997</v>
      </c>
      <c r="BQ164" s="228">
        <v>415</v>
      </c>
      <c r="BR164" s="230">
        <v>1033</v>
      </c>
      <c r="BS164" s="228">
        <v>-618</v>
      </c>
      <c r="BT164" s="229">
        <v>-0.59819999999999995</v>
      </c>
      <c r="BU164" s="230">
        <v>1317907</v>
      </c>
      <c r="BV164" s="230">
        <v>2547593</v>
      </c>
      <c r="BW164" s="230">
        <v>-1229686</v>
      </c>
      <c r="BX164" s="229">
        <v>-0.48270000000000002</v>
      </c>
      <c r="BY164" s="230">
        <v>1115</v>
      </c>
      <c r="BZ164" s="230">
        <v>1116</v>
      </c>
      <c r="CA164" s="228">
        <v>-1</v>
      </c>
      <c r="CB164" s="229">
        <v>-1.1000000000000001E-3</v>
      </c>
      <c r="CC164" s="230">
        <v>1051</v>
      </c>
      <c r="CD164" s="230">
        <v>1067</v>
      </c>
      <c r="CE164" s="228">
        <v>-16</v>
      </c>
      <c r="CF164" s="229">
        <v>-1.52E-2</v>
      </c>
      <c r="CG164" s="228">
        <v>57</v>
      </c>
      <c r="CH164" s="228">
        <v>42</v>
      </c>
      <c r="CI164" s="228">
        <v>15</v>
      </c>
      <c r="CJ164" s="229">
        <v>0.34560000000000002</v>
      </c>
      <c r="CK164" s="228">
        <v>6</v>
      </c>
      <c r="CL164" s="228">
        <v>6</v>
      </c>
      <c r="CM164" s="228">
        <v>0</v>
      </c>
      <c r="CN164" s="229">
        <v>4.9200000000000001E-2</v>
      </c>
      <c r="CO164" s="228">
        <v>413</v>
      </c>
      <c r="CP164" s="228">
        <v>418</v>
      </c>
      <c r="CQ164" s="228">
        <v>-5</v>
      </c>
      <c r="CR164" s="229">
        <v>-1.2E-2</v>
      </c>
      <c r="CS164" s="228">
        <v>462</v>
      </c>
      <c r="CT164" s="228">
        <v>446</v>
      </c>
      <c r="CU164" s="228">
        <v>16</v>
      </c>
      <c r="CV164" s="229">
        <v>3.5900000000000001E-2</v>
      </c>
      <c r="CW164" s="230">
        <v>1989</v>
      </c>
      <c r="CX164" s="230">
        <v>1979</v>
      </c>
      <c r="CY164" s="228">
        <v>10</v>
      </c>
      <c r="CZ164" s="229">
        <v>4.8999999999999998E-3</v>
      </c>
      <c r="DA164" s="228">
        <v>29.3</v>
      </c>
      <c r="DB164" s="228">
        <v>30.66</v>
      </c>
      <c r="DC164" s="228">
        <v>-1.36</v>
      </c>
      <c r="DD164" s="228">
        <v>-1.36</v>
      </c>
      <c r="DE164" s="228">
        <v>34.4</v>
      </c>
      <c r="DF164" s="228">
        <v>34.46</v>
      </c>
      <c r="DG164" s="228">
        <v>-5.0999999999999996</v>
      </c>
      <c r="DH164" s="228">
        <v>-0.06</v>
      </c>
      <c r="DI164" s="228">
        <v>28.22</v>
      </c>
      <c r="DJ164" s="228">
        <v>29.69</v>
      </c>
      <c r="DK164" s="228">
        <v>-1.47</v>
      </c>
      <c r="DL164" s="228">
        <v>-1.47</v>
      </c>
      <c r="DM164" s="228">
        <v>30.15</v>
      </c>
      <c r="DN164" s="228">
        <v>32.25</v>
      </c>
      <c r="DO164" s="228">
        <v>-2.1</v>
      </c>
      <c r="DP164" s="228">
        <v>-2.1</v>
      </c>
      <c r="DQ164" s="228">
        <v>1.1200000000000001</v>
      </c>
      <c r="DR164" s="228">
        <v>1.07</v>
      </c>
      <c r="DS164" s="228">
        <v>0.05</v>
      </c>
      <c r="DT164" s="229">
        <v>4.6699999999999998E-2</v>
      </c>
      <c r="DU164" s="228">
        <v>280</v>
      </c>
      <c r="DV164" s="228">
        <v>280</v>
      </c>
      <c r="DW164" s="228">
        <v>1.28</v>
      </c>
      <c r="DX164" s="228">
        <v>0.61</v>
      </c>
      <c r="DY164" s="228">
        <v>0.67</v>
      </c>
      <c r="DZ164" s="229">
        <v>1.0984</v>
      </c>
      <c r="EA164" s="229">
        <v>5.6899999999999999E-2</v>
      </c>
      <c r="EB164" s="230">
        <v>1729800</v>
      </c>
      <c r="EC164" s="229">
        <v>6.1000000000000004E-3</v>
      </c>
      <c r="ED164" s="229">
        <v>5.6899999999999999E-2</v>
      </c>
      <c r="EE164" s="228">
        <v>1.58</v>
      </c>
      <c r="EF164" s="229">
        <v>5.5999999999999999E-3</v>
      </c>
      <c r="EG164" s="230">
        <v>680427</v>
      </c>
      <c r="EH164" s="230">
        <v>978367</v>
      </c>
      <c r="EI164" s="229">
        <v>-0.30449999999999999</v>
      </c>
      <c r="EJ164" s="229">
        <v>0.51629999999999998</v>
      </c>
      <c r="EK164" s="228">
        <v>146.85</v>
      </c>
      <c r="EL164" s="228">
        <v>177.9</v>
      </c>
      <c r="EM164" s="228">
        <v>93.15</v>
      </c>
      <c r="EN164" s="228">
        <v>0</v>
      </c>
      <c r="EO164" s="228">
        <v>417.89</v>
      </c>
      <c r="EP164" s="231">
        <v>1043.8699999999999</v>
      </c>
      <c r="EQ164" s="228">
        <v>-625.98</v>
      </c>
      <c r="ER164" s="229">
        <v>-0.59970000000000001</v>
      </c>
      <c r="ES164" s="228">
        <v>436.92</v>
      </c>
      <c r="ET164" s="228">
        <v>467.4</v>
      </c>
      <c r="EU164" s="231">
        <v>1115.03</v>
      </c>
      <c r="EV164" s="231">
        <v>150000017</v>
      </c>
      <c r="EW164" s="231">
        <v>2019.34</v>
      </c>
      <c r="EX164" s="231">
        <v>2021.69</v>
      </c>
      <c r="EY164" s="228">
        <v>-2.35</v>
      </c>
      <c r="EZ164" s="229">
        <v>-1.1999999999999999E-3</v>
      </c>
      <c r="FA164" s="229">
        <v>0.47270000000000001</v>
      </c>
      <c r="FB164" s="227" t="s">
        <v>568</v>
      </c>
      <c r="FC164">
        <f t="shared" si="3"/>
        <v>0</v>
      </c>
    </row>
    <row r="165" spans="1:159" ht="17.25" thickBot="1" x14ac:dyDescent="0.3">
      <c r="A165" s="226">
        <v>45889</v>
      </c>
      <c r="B165" s="227" t="s">
        <v>175</v>
      </c>
      <c r="C165" s="227" t="s">
        <v>273</v>
      </c>
      <c r="D165" s="228">
        <v>1300</v>
      </c>
      <c r="E165" s="228">
        <v>8</v>
      </c>
      <c r="F165" s="228">
        <v>404.2</v>
      </c>
      <c r="G165" s="228">
        <v>411.4</v>
      </c>
      <c r="H165" s="228">
        <v>-7.2</v>
      </c>
      <c r="I165" s="229">
        <v>-1.7500000000000002E-2</v>
      </c>
      <c r="J165" s="228">
        <v>403.4</v>
      </c>
      <c r="K165" s="228">
        <v>410</v>
      </c>
      <c r="L165" s="228">
        <v>-6.6</v>
      </c>
      <c r="M165" s="229">
        <v>-1.61E-2</v>
      </c>
      <c r="N165" s="228">
        <v>404.2</v>
      </c>
      <c r="O165" s="228">
        <v>411.4</v>
      </c>
      <c r="P165" s="228">
        <v>-7.2</v>
      </c>
      <c r="Q165" s="229">
        <v>-1.7500000000000002E-2</v>
      </c>
      <c r="R165" s="228">
        <v>406.6</v>
      </c>
      <c r="S165" s="228">
        <v>413.55</v>
      </c>
      <c r="T165" s="228">
        <v>-6.95</v>
      </c>
      <c r="U165" s="229">
        <v>-1.6799999999999999E-2</v>
      </c>
      <c r="V165" s="228">
        <v>408.8</v>
      </c>
      <c r="W165" s="228">
        <v>415.55</v>
      </c>
      <c r="X165" s="228">
        <v>-6.75</v>
      </c>
      <c r="Y165" s="229">
        <v>-1.6199999999999999E-2</v>
      </c>
      <c r="Z165" s="228">
        <v>0.8</v>
      </c>
      <c r="AA165" s="228">
        <v>1.4</v>
      </c>
      <c r="AB165" s="228">
        <v>-0.6</v>
      </c>
      <c r="AC165" s="229">
        <v>2E-3</v>
      </c>
      <c r="AD165" s="228">
        <v>0.8</v>
      </c>
      <c r="AE165" s="228">
        <v>1.4</v>
      </c>
      <c r="AF165" s="228">
        <v>-0.6</v>
      </c>
      <c r="AG165" s="229">
        <v>2E-3</v>
      </c>
      <c r="AH165" s="228">
        <v>3.2</v>
      </c>
      <c r="AI165" s="228">
        <v>3.55</v>
      </c>
      <c r="AJ165" s="228">
        <v>-0.35</v>
      </c>
      <c r="AK165" s="229">
        <v>7.9000000000000008E-3</v>
      </c>
      <c r="AL165" s="228">
        <v>5.4</v>
      </c>
      <c r="AM165" s="228">
        <v>5.55</v>
      </c>
      <c r="AN165" s="228">
        <v>-0.15</v>
      </c>
      <c r="AO165" s="229">
        <v>1.34E-2</v>
      </c>
      <c r="AP165" s="228">
        <v>406.77</v>
      </c>
      <c r="AQ165" s="228">
        <v>409.16</v>
      </c>
      <c r="AR165" s="228">
        <v>0</v>
      </c>
      <c r="AS165" s="228">
        <v>590</v>
      </c>
      <c r="AT165" s="228">
        <v>299</v>
      </c>
      <c r="AU165" s="228">
        <v>291</v>
      </c>
      <c r="AV165" s="229">
        <v>0.97470000000000001</v>
      </c>
      <c r="AW165" s="228">
        <v>430</v>
      </c>
      <c r="AX165" s="228">
        <v>234</v>
      </c>
      <c r="AY165" s="228">
        <v>196</v>
      </c>
      <c r="AZ165" s="229">
        <v>0.83709999999999996</v>
      </c>
      <c r="BA165" s="228">
        <v>149</v>
      </c>
      <c r="BB165" s="228">
        <v>60</v>
      </c>
      <c r="BC165" s="228">
        <v>89</v>
      </c>
      <c r="BD165" s="229">
        <v>1.4724999999999999</v>
      </c>
      <c r="BE165" s="228">
        <v>10</v>
      </c>
      <c r="BF165" s="228">
        <v>4</v>
      </c>
      <c r="BG165" s="228">
        <v>6</v>
      </c>
      <c r="BH165" s="229">
        <v>1.5195000000000001</v>
      </c>
      <c r="BI165" s="230">
        <v>1303</v>
      </c>
      <c r="BJ165" s="228">
        <v>977</v>
      </c>
      <c r="BK165" s="228">
        <v>325</v>
      </c>
      <c r="BL165" s="229">
        <v>0.33300000000000002</v>
      </c>
      <c r="BM165" s="228">
        <v>721</v>
      </c>
      <c r="BN165" s="228">
        <v>490</v>
      </c>
      <c r="BO165" s="228">
        <v>231</v>
      </c>
      <c r="BP165" s="229">
        <v>0.47199999999999998</v>
      </c>
      <c r="BQ165" s="230">
        <v>2613</v>
      </c>
      <c r="BR165" s="230">
        <v>1765</v>
      </c>
      <c r="BS165" s="228">
        <v>848</v>
      </c>
      <c r="BT165" s="229">
        <v>0.48010000000000003</v>
      </c>
      <c r="BU165" s="230">
        <v>7775517</v>
      </c>
      <c r="BV165" s="230">
        <v>5435846</v>
      </c>
      <c r="BW165" s="230">
        <v>2339671</v>
      </c>
      <c r="BX165" s="229">
        <v>0.4304</v>
      </c>
      <c r="BY165" s="230">
        <v>2235</v>
      </c>
      <c r="BZ165" s="230">
        <v>2254</v>
      </c>
      <c r="CA165" s="228">
        <v>-20</v>
      </c>
      <c r="CB165" s="229">
        <v>-8.6999999999999994E-3</v>
      </c>
      <c r="CC165" s="230">
        <v>1809</v>
      </c>
      <c r="CD165" s="230">
        <v>1855</v>
      </c>
      <c r="CE165" s="228">
        <v>-46</v>
      </c>
      <c r="CF165" s="229">
        <v>-2.5000000000000001E-2</v>
      </c>
      <c r="CG165" s="228">
        <v>408</v>
      </c>
      <c r="CH165" s="228">
        <v>389</v>
      </c>
      <c r="CI165" s="228">
        <v>19</v>
      </c>
      <c r="CJ165" s="229">
        <v>4.8599999999999997E-2</v>
      </c>
      <c r="CK165" s="228">
        <v>18</v>
      </c>
      <c r="CL165" s="228">
        <v>10</v>
      </c>
      <c r="CM165" s="228">
        <v>8</v>
      </c>
      <c r="CN165" s="229">
        <v>0.76170000000000004</v>
      </c>
      <c r="CO165" s="230">
        <v>1063</v>
      </c>
      <c r="CP165" s="228">
        <v>862</v>
      </c>
      <c r="CQ165" s="228">
        <v>201</v>
      </c>
      <c r="CR165" s="229">
        <v>0.23350000000000001</v>
      </c>
      <c r="CS165" s="228">
        <v>840</v>
      </c>
      <c r="CT165" s="228">
        <v>756</v>
      </c>
      <c r="CU165" s="228">
        <v>84</v>
      </c>
      <c r="CV165" s="229">
        <v>0.1109</v>
      </c>
      <c r="CW165" s="230">
        <v>4137</v>
      </c>
      <c r="CX165" s="230">
        <v>3872</v>
      </c>
      <c r="CY165" s="228">
        <v>265</v>
      </c>
      <c r="CZ165" s="229">
        <v>6.8500000000000005E-2</v>
      </c>
      <c r="DA165" s="228">
        <v>29.6</v>
      </c>
      <c r="DB165" s="228">
        <v>27.35</v>
      </c>
      <c r="DC165" s="228">
        <v>2.25</v>
      </c>
      <c r="DD165" s="228">
        <v>2.25</v>
      </c>
      <c r="DE165" s="228">
        <v>47.9</v>
      </c>
      <c r="DF165" s="228">
        <v>47.96</v>
      </c>
      <c r="DG165" s="228">
        <v>-18.3</v>
      </c>
      <c r="DH165" s="228">
        <v>-0.06</v>
      </c>
      <c r="DI165" s="228">
        <v>30.2</v>
      </c>
      <c r="DJ165" s="228">
        <v>27.36</v>
      </c>
      <c r="DK165" s="228">
        <v>2.84</v>
      </c>
      <c r="DL165" s="228">
        <v>2.84</v>
      </c>
      <c r="DM165" s="228">
        <v>28.51</v>
      </c>
      <c r="DN165" s="228">
        <v>27.34</v>
      </c>
      <c r="DO165" s="228">
        <v>1.17</v>
      </c>
      <c r="DP165" s="228">
        <v>1.17</v>
      </c>
      <c r="DQ165" s="228">
        <v>0.79</v>
      </c>
      <c r="DR165" s="228">
        <v>0.88</v>
      </c>
      <c r="DS165" s="228">
        <v>-0.09</v>
      </c>
      <c r="DT165" s="229">
        <v>-0.1023</v>
      </c>
      <c r="DU165" s="228">
        <v>410</v>
      </c>
      <c r="DV165" s="228">
        <v>410</v>
      </c>
      <c r="DW165" s="228">
        <v>0.55000000000000004</v>
      </c>
      <c r="DX165" s="228">
        <v>0.5</v>
      </c>
      <c r="DY165" s="228">
        <v>0.05</v>
      </c>
      <c r="DZ165" s="229">
        <v>0.1</v>
      </c>
      <c r="EA165" s="229">
        <v>0.1905</v>
      </c>
      <c r="EB165" s="230">
        <v>9874800</v>
      </c>
      <c r="EC165" s="229">
        <v>5.8999999999999999E-3</v>
      </c>
      <c r="ED165" s="229">
        <v>0.1905</v>
      </c>
      <c r="EE165" s="228">
        <v>2.39</v>
      </c>
      <c r="EF165" s="229">
        <v>5.8999999999999999E-3</v>
      </c>
      <c r="EG165" s="230">
        <v>4479173</v>
      </c>
      <c r="EH165" s="230">
        <v>2856137</v>
      </c>
      <c r="EI165" s="229">
        <v>0.56830000000000003</v>
      </c>
      <c r="EJ165" s="229">
        <v>0.57609999999999995</v>
      </c>
      <c r="EK165" s="231">
        <v>1358.74</v>
      </c>
      <c r="EL165" s="228">
        <v>730.51</v>
      </c>
      <c r="EM165" s="228">
        <v>594.29999999999995</v>
      </c>
      <c r="EN165" s="228">
        <v>0</v>
      </c>
      <c r="EO165" s="231">
        <v>2683.55</v>
      </c>
      <c r="EP165" s="231">
        <v>1828.89</v>
      </c>
      <c r="EQ165" s="228">
        <v>854.65</v>
      </c>
      <c r="ER165" s="229">
        <v>0.46729999999999999</v>
      </c>
      <c r="ES165" s="231">
        <v>1117.43</v>
      </c>
      <c r="ET165" s="228">
        <v>844.58</v>
      </c>
      <c r="EU165" s="231">
        <v>2237.1999999999998</v>
      </c>
      <c r="EV165" s="231">
        <v>290447407</v>
      </c>
      <c r="EW165" s="231">
        <v>4199.2</v>
      </c>
      <c r="EX165" s="231">
        <v>3972.11</v>
      </c>
      <c r="EY165" s="228">
        <v>227.09</v>
      </c>
      <c r="EZ165" s="229">
        <v>5.7200000000000001E-2</v>
      </c>
      <c r="FA165" s="229">
        <v>0.35239999999999999</v>
      </c>
      <c r="FB165" s="227" t="s">
        <v>568</v>
      </c>
      <c r="FC165">
        <f t="shared" si="3"/>
        <v>0</v>
      </c>
    </row>
    <row r="166" spans="1:159" ht="17.25" thickBot="1" x14ac:dyDescent="0.3">
      <c r="A166" s="226">
        <v>45889</v>
      </c>
      <c r="B166" s="227" t="s">
        <v>184</v>
      </c>
      <c r="C166" s="227" t="s">
        <v>682</v>
      </c>
      <c r="D166" s="228">
        <v>700</v>
      </c>
      <c r="E166" s="228">
        <v>8</v>
      </c>
      <c r="F166" s="228">
        <v>536.70000000000005</v>
      </c>
      <c r="G166" s="228">
        <v>542.04999999999995</v>
      </c>
      <c r="H166" s="228">
        <v>-5.35</v>
      </c>
      <c r="I166" s="229">
        <v>-9.9000000000000008E-3</v>
      </c>
      <c r="J166" s="228">
        <v>536.6</v>
      </c>
      <c r="K166" s="228">
        <v>540.29999999999995</v>
      </c>
      <c r="L166" s="228">
        <v>-3.7</v>
      </c>
      <c r="M166" s="229">
        <v>-6.7999999999999996E-3</v>
      </c>
      <c r="N166" s="228">
        <v>536.70000000000005</v>
      </c>
      <c r="O166" s="228">
        <v>542.04999999999995</v>
      </c>
      <c r="P166" s="228">
        <v>-5.35</v>
      </c>
      <c r="Q166" s="229">
        <v>-9.9000000000000008E-3</v>
      </c>
      <c r="R166" s="228">
        <v>539.54999999999995</v>
      </c>
      <c r="S166" s="228">
        <v>544.1</v>
      </c>
      <c r="T166" s="228">
        <v>-4.55</v>
      </c>
      <c r="U166" s="229">
        <v>-8.3999999999999995E-3</v>
      </c>
      <c r="V166" s="228">
        <v>542.54999999999995</v>
      </c>
      <c r="W166" s="228">
        <v>542.35</v>
      </c>
      <c r="X166" s="228">
        <v>0.2</v>
      </c>
      <c r="Y166" s="229">
        <v>4.0000000000000002E-4</v>
      </c>
      <c r="Z166" s="228">
        <v>0.1</v>
      </c>
      <c r="AA166" s="228">
        <v>1.75</v>
      </c>
      <c r="AB166" s="228">
        <v>-1.65</v>
      </c>
      <c r="AC166" s="229">
        <v>2.0000000000000001E-4</v>
      </c>
      <c r="AD166" s="228">
        <v>0.1</v>
      </c>
      <c r="AE166" s="228">
        <v>1.75</v>
      </c>
      <c r="AF166" s="228">
        <v>-1.65</v>
      </c>
      <c r="AG166" s="229">
        <v>2.0000000000000001E-4</v>
      </c>
      <c r="AH166" s="228">
        <v>2.95</v>
      </c>
      <c r="AI166" s="228">
        <v>3.8</v>
      </c>
      <c r="AJ166" s="228">
        <v>-0.85</v>
      </c>
      <c r="AK166" s="229">
        <v>5.4999999999999997E-3</v>
      </c>
      <c r="AL166" s="228">
        <v>5.95</v>
      </c>
      <c r="AM166" s="228">
        <v>2.0499999999999998</v>
      </c>
      <c r="AN166" s="228">
        <v>3.9</v>
      </c>
      <c r="AO166" s="229">
        <v>1.11E-2</v>
      </c>
      <c r="AP166" s="228">
        <v>553.01</v>
      </c>
      <c r="AQ166" s="228">
        <v>553.11</v>
      </c>
      <c r="AR166" s="228">
        <v>0</v>
      </c>
      <c r="AS166" s="228">
        <v>961</v>
      </c>
      <c r="AT166" s="228">
        <v>38</v>
      </c>
      <c r="AU166" s="228">
        <v>923</v>
      </c>
      <c r="AV166" s="229">
        <v>24.1021</v>
      </c>
      <c r="AW166" s="228">
        <v>761</v>
      </c>
      <c r="AX166" s="228">
        <v>34</v>
      </c>
      <c r="AY166" s="228">
        <v>727</v>
      </c>
      <c r="AZ166" s="229">
        <v>21.393799999999999</v>
      </c>
      <c r="BA166" s="228">
        <v>194</v>
      </c>
      <c r="BB166" s="228">
        <v>4</v>
      </c>
      <c r="BC166" s="228">
        <v>190</v>
      </c>
      <c r="BD166" s="229">
        <v>45.972700000000003</v>
      </c>
      <c r="BE166" s="228">
        <v>6</v>
      </c>
      <c r="BF166" s="228">
        <v>0</v>
      </c>
      <c r="BG166" s="228">
        <v>6</v>
      </c>
      <c r="BH166" s="229">
        <v>32.6</v>
      </c>
      <c r="BI166" s="230">
        <v>4429</v>
      </c>
      <c r="BJ166" s="228">
        <v>62</v>
      </c>
      <c r="BK166" s="230">
        <v>4367</v>
      </c>
      <c r="BL166" s="229">
        <v>70.488200000000006</v>
      </c>
      <c r="BM166" s="230">
        <v>1806</v>
      </c>
      <c r="BN166" s="228">
        <v>26</v>
      </c>
      <c r="BO166" s="230">
        <v>1781</v>
      </c>
      <c r="BP166" s="229">
        <v>69.813000000000002</v>
      </c>
      <c r="BQ166" s="230">
        <v>7196</v>
      </c>
      <c r="BR166" s="228">
        <v>126</v>
      </c>
      <c r="BS166" s="230">
        <v>7070</v>
      </c>
      <c r="BT166" s="229">
        <v>56.228900000000003</v>
      </c>
      <c r="BU166" s="230">
        <v>18010269</v>
      </c>
      <c r="BV166" s="230">
        <v>6707009</v>
      </c>
      <c r="BW166" s="230">
        <v>11303260</v>
      </c>
      <c r="BX166" s="229">
        <v>1.6853</v>
      </c>
      <c r="BY166" s="228">
        <v>744</v>
      </c>
      <c r="BZ166" s="228">
        <v>644</v>
      </c>
      <c r="CA166" s="228">
        <v>100</v>
      </c>
      <c r="CB166" s="229">
        <v>0.15540000000000001</v>
      </c>
      <c r="CC166" s="228">
        <v>539</v>
      </c>
      <c r="CD166" s="228">
        <v>497</v>
      </c>
      <c r="CE166" s="228">
        <v>41</v>
      </c>
      <c r="CF166" s="229">
        <v>8.3199999999999996E-2</v>
      </c>
      <c r="CG166" s="228">
        <v>193</v>
      </c>
      <c r="CH166" s="228">
        <v>137</v>
      </c>
      <c r="CI166" s="228">
        <v>56</v>
      </c>
      <c r="CJ166" s="229">
        <v>0.41049999999999998</v>
      </c>
      <c r="CK166" s="228">
        <v>12</v>
      </c>
      <c r="CL166" s="228">
        <v>10</v>
      </c>
      <c r="CM166" s="228">
        <v>3</v>
      </c>
      <c r="CN166" s="229">
        <v>0.2646</v>
      </c>
      <c r="CO166" s="228">
        <v>779</v>
      </c>
      <c r="CP166" s="228">
        <v>477</v>
      </c>
      <c r="CQ166" s="228">
        <v>302</v>
      </c>
      <c r="CR166" s="229">
        <v>0.63270000000000004</v>
      </c>
      <c r="CS166" s="228">
        <v>358</v>
      </c>
      <c r="CT166" s="228">
        <v>218</v>
      </c>
      <c r="CU166" s="228">
        <v>141</v>
      </c>
      <c r="CV166" s="229">
        <v>0.64649999999999996</v>
      </c>
      <c r="CW166" s="230">
        <v>1881</v>
      </c>
      <c r="CX166" s="230">
        <v>1339</v>
      </c>
      <c r="CY166" s="228">
        <v>543</v>
      </c>
      <c r="CZ166" s="229">
        <v>0.40550000000000003</v>
      </c>
      <c r="DA166" s="228">
        <v>62.29</v>
      </c>
      <c r="DB166" s="228">
        <v>61.9</v>
      </c>
      <c r="DC166" s="228">
        <v>0.39</v>
      </c>
      <c r="DD166" s="228">
        <v>0.39</v>
      </c>
      <c r="DE166" s="228">
        <v>73.930000000000007</v>
      </c>
      <c r="DF166" s="228">
        <v>74.11</v>
      </c>
      <c r="DG166" s="228">
        <v>-11.64</v>
      </c>
      <c r="DH166" s="228">
        <v>-0.18</v>
      </c>
      <c r="DI166" s="228">
        <v>62.91</v>
      </c>
      <c r="DJ166" s="228">
        <v>60.07</v>
      </c>
      <c r="DK166" s="228">
        <v>2.84</v>
      </c>
      <c r="DL166" s="228">
        <v>2.84</v>
      </c>
      <c r="DM166" s="228">
        <v>60.76</v>
      </c>
      <c r="DN166" s="228">
        <v>66.349999999999994</v>
      </c>
      <c r="DO166" s="228">
        <v>-5.59</v>
      </c>
      <c r="DP166" s="228">
        <v>-5.59</v>
      </c>
      <c r="DQ166" s="228">
        <v>0.46</v>
      </c>
      <c r="DR166" s="228">
        <v>0.46</v>
      </c>
      <c r="DS166" s="228">
        <v>0</v>
      </c>
      <c r="DT166" s="229">
        <v>0</v>
      </c>
      <c r="DU166" s="228">
        <v>600</v>
      </c>
      <c r="DV166" s="228">
        <v>540</v>
      </c>
      <c r="DW166" s="228">
        <v>0.41</v>
      </c>
      <c r="DX166" s="228">
        <v>0.41</v>
      </c>
      <c r="DY166" s="228">
        <v>0</v>
      </c>
      <c r="DZ166" s="229">
        <v>0</v>
      </c>
      <c r="EA166" s="229">
        <v>0.27560000000000001</v>
      </c>
      <c r="EB166" s="230">
        <v>2725800</v>
      </c>
      <c r="EC166" s="229">
        <v>5.3E-3</v>
      </c>
      <c r="ED166" s="229">
        <v>0.27560000000000001</v>
      </c>
      <c r="EE166" s="228">
        <v>0.1</v>
      </c>
      <c r="EF166" s="229">
        <v>2.0000000000000001E-4</v>
      </c>
      <c r="EG166" s="230">
        <v>4045591</v>
      </c>
      <c r="EH166" s="230">
        <v>2150806</v>
      </c>
      <c r="EI166" s="229">
        <v>0.88100000000000001</v>
      </c>
      <c r="EJ166" s="229">
        <v>0.22459999999999999</v>
      </c>
      <c r="EK166" s="231">
        <v>4952.1400000000003</v>
      </c>
      <c r="EL166" s="231">
        <v>1827.72</v>
      </c>
      <c r="EM166" s="228">
        <v>990.25</v>
      </c>
      <c r="EN166" s="228">
        <v>0</v>
      </c>
      <c r="EO166" s="231">
        <v>7770.11</v>
      </c>
      <c r="EP166" s="228">
        <v>133.63999999999999</v>
      </c>
      <c r="EQ166" s="231">
        <v>7636.46</v>
      </c>
      <c r="ER166" s="229">
        <v>57.141199999999998</v>
      </c>
      <c r="ES166" s="228">
        <v>914.09</v>
      </c>
      <c r="ET166" s="228">
        <v>372.29</v>
      </c>
      <c r="EU166" s="228">
        <v>744.8</v>
      </c>
      <c r="EV166" s="231">
        <v>31863579</v>
      </c>
      <c r="EW166" s="231">
        <v>2031.18</v>
      </c>
      <c r="EX166" s="231">
        <v>1475.78</v>
      </c>
      <c r="EY166" s="228">
        <v>555.4</v>
      </c>
      <c r="EZ166" s="229">
        <v>0.37630000000000002</v>
      </c>
      <c r="FA166" s="229">
        <v>1.1001000000000001</v>
      </c>
      <c r="FB166" s="227" t="s">
        <v>567</v>
      </c>
      <c r="FC166">
        <f t="shared" si="3"/>
        <v>0</v>
      </c>
    </row>
    <row r="167" spans="1:159" ht="17.25" thickBot="1" x14ac:dyDescent="0.3">
      <c r="A167" s="226">
        <v>45889</v>
      </c>
      <c r="B167" s="227" t="s">
        <v>206</v>
      </c>
      <c r="C167" s="227" t="s">
        <v>646</v>
      </c>
      <c r="D167" s="228">
        <v>350</v>
      </c>
      <c r="E167" s="228">
        <v>8</v>
      </c>
      <c r="F167" s="231">
        <v>1563.5</v>
      </c>
      <c r="G167" s="231">
        <v>1505.2</v>
      </c>
      <c r="H167" s="228">
        <v>58.3</v>
      </c>
      <c r="I167" s="229">
        <v>3.8699999999999998E-2</v>
      </c>
      <c r="J167" s="231">
        <v>1563.5</v>
      </c>
      <c r="K167" s="231">
        <v>1503.3</v>
      </c>
      <c r="L167" s="228">
        <v>60.2</v>
      </c>
      <c r="M167" s="229">
        <v>0.04</v>
      </c>
      <c r="N167" s="231">
        <v>1563.5</v>
      </c>
      <c r="O167" s="231">
        <v>1505.2</v>
      </c>
      <c r="P167" s="228">
        <v>58.3</v>
      </c>
      <c r="Q167" s="229">
        <v>3.8699999999999998E-2</v>
      </c>
      <c r="R167" s="231">
        <v>1568.9</v>
      </c>
      <c r="S167" s="231">
        <v>1512.5</v>
      </c>
      <c r="T167" s="228">
        <v>56.4</v>
      </c>
      <c r="U167" s="229">
        <v>3.73E-2</v>
      </c>
      <c r="V167" s="231">
        <v>1561</v>
      </c>
      <c r="W167" s="231">
        <v>1520</v>
      </c>
      <c r="X167" s="228">
        <v>41</v>
      </c>
      <c r="Y167" s="229">
        <v>2.7E-2</v>
      </c>
      <c r="Z167" s="228">
        <v>0</v>
      </c>
      <c r="AA167" s="228">
        <v>1.9</v>
      </c>
      <c r="AB167" s="228">
        <v>-1.9</v>
      </c>
      <c r="AC167" s="229">
        <v>0</v>
      </c>
      <c r="AD167" s="228">
        <v>0</v>
      </c>
      <c r="AE167" s="228">
        <v>1.9</v>
      </c>
      <c r="AF167" s="228">
        <v>-1.9</v>
      </c>
      <c r="AG167" s="229">
        <v>0</v>
      </c>
      <c r="AH167" s="228">
        <v>5.4</v>
      </c>
      <c r="AI167" s="228">
        <v>9.1999999999999993</v>
      </c>
      <c r="AJ167" s="228">
        <v>-3.8</v>
      </c>
      <c r="AK167" s="229">
        <v>3.5000000000000001E-3</v>
      </c>
      <c r="AL167" s="228">
        <v>-2.5</v>
      </c>
      <c r="AM167" s="228">
        <v>16.7</v>
      </c>
      <c r="AN167" s="228">
        <v>-19.2</v>
      </c>
      <c r="AO167" s="229">
        <v>-1.6000000000000001E-3</v>
      </c>
      <c r="AP167" s="231">
        <v>1545.75</v>
      </c>
      <c r="AQ167" s="231">
        <v>1542.85</v>
      </c>
      <c r="AR167" s="228">
        <v>0</v>
      </c>
      <c r="AS167" s="228">
        <v>245</v>
      </c>
      <c r="AT167" s="228">
        <v>93</v>
      </c>
      <c r="AU167" s="228">
        <v>152</v>
      </c>
      <c r="AV167" s="229">
        <v>1.6415</v>
      </c>
      <c r="AW167" s="228">
        <v>201</v>
      </c>
      <c r="AX167" s="228">
        <v>81</v>
      </c>
      <c r="AY167" s="228">
        <v>120</v>
      </c>
      <c r="AZ167" s="229">
        <v>1.4924999999999999</v>
      </c>
      <c r="BA167" s="228">
        <v>43</v>
      </c>
      <c r="BB167" s="228">
        <v>12</v>
      </c>
      <c r="BC167" s="228">
        <v>31</v>
      </c>
      <c r="BD167" s="229">
        <v>2.633</v>
      </c>
      <c r="BE167" s="228">
        <v>1</v>
      </c>
      <c r="BF167" s="228">
        <v>0</v>
      </c>
      <c r="BG167" s="228">
        <v>1</v>
      </c>
      <c r="BH167" s="229">
        <v>2.5</v>
      </c>
      <c r="BI167" s="228">
        <v>757</v>
      </c>
      <c r="BJ167" s="228">
        <v>169</v>
      </c>
      <c r="BK167" s="228">
        <v>588</v>
      </c>
      <c r="BL167" s="229">
        <v>3.4847999999999999</v>
      </c>
      <c r="BM167" s="228">
        <v>237</v>
      </c>
      <c r="BN167" s="228">
        <v>71</v>
      </c>
      <c r="BO167" s="228">
        <v>165</v>
      </c>
      <c r="BP167" s="229">
        <v>2.3138999999999998</v>
      </c>
      <c r="BQ167" s="230">
        <v>1239</v>
      </c>
      <c r="BR167" s="228">
        <v>333</v>
      </c>
      <c r="BS167" s="228">
        <v>906</v>
      </c>
      <c r="BT167" s="229">
        <v>2.7198000000000002</v>
      </c>
      <c r="BU167" s="230">
        <v>1099865</v>
      </c>
      <c r="BV167" s="230">
        <v>660822</v>
      </c>
      <c r="BW167" s="230">
        <v>439043</v>
      </c>
      <c r="BX167" s="229">
        <v>0.66439999999999999</v>
      </c>
      <c r="BY167" s="228">
        <v>688</v>
      </c>
      <c r="BZ167" s="228">
        <v>691</v>
      </c>
      <c r="CA167" s="228">
        <v>-3</v>
      </c>
      <c r="CB167" s="229">
        <v>-3.8E-3</v>
      </c>
      <c r="CC167" s="228">
        <v>653</v>
      </c>
      <c r="CD167" s="228">
        <v>674</v>
      </c>
      <c r="CE167" s="228">
        <v>-21</v>
      </c>
      <c r="CF167" s="229">
        <v>-3.1800000000000002E-2</v>
      </c>
      <c r="CG167" s="228">
        <v>35</v>
      </c>
      <c r="CH167" s="228">
        <v>17</v>
      </c>
      <c r="CI167" s="228">
        <v>19</v>
      </c>
      <c r="CJ167" s="229">
        <v>1.1246</v>
      </c>
      <c r="CK167" s="228">
        <v>0</v>
      </c>
      <c r="CL167" s="228">
        <v>0</v>
      </c>
      <c r="CM167" s="228">
        <v>0</v>
      </c>
      <c r="CN167" s="229">
        <v>0.1429</v>
      </c>
      <c r="CO167" s="228">
        <v>138</v>
      </c>
      <c r="CP167" s="228">
        <v>129</v>
      </c>
      <c r="CQ167" s="228">
        <v>9</v>
      </c>
      <c r="CR167" s="229">
        <v>7.2999999999999995E-2</v>
      </c>
      <c r="CS167" s="228">
        <v>89</v>
      </c>
      <c r="CT167" s="228">
        <v>73</v>
      </c>
      <c r="CU167" s="228">
        <v>16</v>
      </c>
      <c r="CV167" s="229">
        <v>0.2172</v>
      </c>
      <c r="CW167" s="228">
        <v>916</v>
      </c>
      <c r="CX167" s="228">
        <v>893</v>
      </c>
      <c r="CY167" s="228">
        <v>23</v>
      </c>
      <c r="CZ167" s="229">
        <v>2.5399999999999999E-2</v>
      </c>
      <c r="DA167" s="228">
        <v>29.61</v>
      </c>
      <c r="DB167" s="228">
        <v>30.57</v>
      </c>
      <c r="DC167" s="228">
        <v>-0.96</v>
      </c>
      <c r="DD167" s="228">
        <v>-0.96</v>
      </c>
      <c r="DE167" s="228">
        <v>47.31</v>
      </c>
      <c r="DF167" s="228">
        <v>47.15</v>
      </c>
      <c r="DG167" s="228">
        <v>-17.7</v>
      </c>
      <c r="DH167" s="228">
        <v>0.16</v>
      </c>
      <c r="DI167" s="228">
        <v>28.74</v>
      </c>
      <c r="DJ167" s="228">
        <v>29.19</v>
      </c>
      <c r="DK167" s="228">
        <v>-0.45</v>
      </c>
      <c r="DL167" s="228">
        <v>-0.45</v>
      </c>
      <c r="DM167" s="228">
        <v>32.4</v>
      </c>
      <c r="DN167" s="228">
        <v>33.840000000000003</v>
      </c>
      <c r="DO167" s="228">
        <v>-1.44</v>
      </c>
      <c r="DP167" s="228">
        <v>-1.44</v>
      </c>
      <c r="DQ167" s="228">
        <v>0.65</v>
      </c>
      <c r="DR167" s="228">
        <v>0.56999999999999995</v>
      </c>
      <c r="DS167" s="228">
        <v>0.08</v>
      </c>
      <c r="DT167" s="229">
        <v>0.1404</v>
      </c>
      <c r="DU167" s="231">
        <v>1560</v>
      </c>
      <c r="DV167" s="231">
        <v>1500</v>
      </c>
      <c r="DW167" s="228">
        <v>0.31</v>
      </c>
      <c r="DX167" s="228">
        <v>0.42</v>
      </c>
      <c r="DY167" s="228">
        <v>-0.11</v>
      </c>
      <c r="DZ167" s="229">
        <v>-0.26190000000000002</v>
      </c>
      <c r="EA167" s="229">
        <v>5.21E-2</v>
      </c>
      <c r="EB167" s="230">
        <v>109200</v>
      </c>
      <c r="EC167" s="229">
        <v>3.5000000000000001E-3</v>
      </c>
      <c r="ED167" s="229">
        <v>5.21E-2</v>
      </c>
      <c r="EE167" s="228">
        <v>-2.9</v>
      </c>
      <c r="EF167" s="229">
        <v>-1.9E-3</v>
      </c>
      <c r="EG167" s="230">
        <v>583353</v>
      </c>
      <c r="EH167" s="230">
        <v>425164</v>
      </c>
      <c r="EI167" s="229">
        <v>0.37209999999999999</v>
      </c>
      <c r="EJ167" s="229">
        <v>0.53039999999999998</v>
      </c>
      <c r="EK167" s="228">
        <v>768.7</v>
      </c>
      <c r="EL167" s="228">
        <v>223.99</v>
      </c>
      <c r="EM167" s="228">
        <v>242.29</v>
      </c>
      <c r="EN167" s="228">
        <v>0</v>
      </c>
      <c r="EO167" s="231">
        <v>1234.98</v>
      </c>
      <c r="EP167" s="228">
        <v>323.02999999999997</v>
      </c>
      <c r="EQ167" s="228">
        <v>911.95</v>
      </c>
      <c r="ER167" s="229">
        <v>2.8231000000000002</v>
      </c>
      <c r="ES167" s="228">
        <v>138.75</v>
      </c>
      <c r="ET167" s="228">
        <v>81.75</v>
      </c>
      <c r="EU167" s="228">
        <v>688.53</v>
      </c>
      <c r="EV167" s="231">
        <v>37710874</v>
      </c>
      <c r="EW167" s="228">
        <v>909.04</v>
      </c>
      <c r="EX167" s="228">
        <v>859.37</v>
      </c>
      <c r="EY167" s="228">
        <v>49.67</v>
      </c>
      <c r="EZ167" s="229">
        <v>5.7799999999999997E-2</v>
      </c>
      <c r="FA167" s="229">
        <v>0.15540000000000001</v>
      </c>
      <c r="FB167" s="227" t="s">
        <v>556</v>
      </c>
      <c r="FC167">
        <f t="shared" si="3"/>
        <v>0</v>
      </c>
    </row>
    <row r="168" spans="1:159" ht="17.25" thickBot="1" x14ac:dyDescent="0.3">
      <c r="A168" s="226">
        <v>45889</v>
      </c>
      <c r="B168" s="227" t="s">
        <v>168</v>
      </c>
      <c r="C168" s="227" t="s">
        <v>274</v>
      </c>
      <c r="D168" s="228">
        <v>250</v>
      </c>
      <c r="E168" s="228">
        <v>8</v>
      </c>
      <c r="F168" s="231">
        <v>3090.4</v>
      </c>
      <c r="G168" s="231">
        <v>3101.7</v>
      </c>
      <c r="H168" s="228">
        <v>-11.3</v>
      </c>
      <c r="I168" s="229">
        <v>-3.5999999999999999E-3</v>
      </c>
      <c r="J168" s="231">
        <v>3084.6</v>
      </c>
      <c r="K168" s="231">
        <v>3095.2</v>
      </c>
      <c r="L168" s="228">
        <v>-10.6</v>
      </c>
      <c r="M168" s="229">
        <v>-3.3999999999999998E-3</v>
      </c>
      <c r="N168" s="231">
        <v>3090.4</v>
      </c>
      <c r="O168" s="231">
        <v>3101.7</v>
      </c>
      <c r="P168" s="228">
        <v>-11.3</v>
      </c>
      <c r="Q168" s="229">
        <v>-3.5999999999999999E-3</v>
      </c>
      <c r="R168" s="231">
        <v>3110.3</v>
      </c>
      <c r="S168" s="231">
        <v>3120.6</v>
      </c>
      <c r="T168" s="228">
        <v>-10.3</v>
      </c>
      <c r="U168" s="229">
        <v>-3.3E-3</v>
      </c>
      <c r="V168" s="231">
        <v>3126</v>
      </c>
      <c r="W168" s="231">
        <v>3135</v>
      </c>
      <c r="X168" s="228">
        <v>-9</v>
      </c>
      <c r="Y168" s="229">
        <v>-2.8999999999999998E-3</v>
      </c>
      <c r="Z168" s="228">
        <v>5.8</v>
      </c>
      <c r="AA168" s="228">
        <v>6.5</v>
      </c>
      <c r="AB168" s="228">
        <v>-0.7</v>
      </c>
      <c r="AC168" s="229">
        <v>1.9E-3</v>
      </c>
      <c r="AD168" s="228">
        <v>5.8</v>
      </c>
      <c r="AE168" s="228">
        <v>6.5</v>
      </c>
      <c r="AF168" s="228">
        <v>-0.7</v>
      </c>
      <c r="AG168" s="229">
        <v>1.9E-3</v>
      </c>
      <c r="AH168" s="228">
        <v>25.7</v>
      </c>
      <c r="AI168" s="228">
        <v>25.4</v>
      </c>
      <c r="AJ168" s="228">
        <v>0.3</v>
      </c>
      <c r="AK168" s="229">
        <v>8.3000000000000001E-3</v>
      </c>
      <c r="AL168" s="228">
        <v>41.4</v>
      </c>
      <c r="AM168" s="228">
        <v>39.799999999999997</v>
      </c>
      <c r="AN168" s="228">
        <v>1.6</v>
      </c>
      <c r="AO168" s="229">
        <v>1.34E-2</v>
      </c>
      <c r="AP168" s="231">
        <v>3098</v>
      </c>
      <c r="AQ168" s="231">
        <v>3116.47</v>
      </c>
      <c r="AR168" s="228">
        <v>0</v>
      </c>
      <c r="AS168" s="228">
        <v>78</v>
      </c>
      <c r="AT168" s="228">
        <v>123</v>
      </c>
      <c r="AU168" s="228">
        <v>-44</v>
      </c>
      <c r="AV168" s="229">
        <v>-0.36130000000000001</v>
      </c>
      <c r="AW168" s="228">
        <v>69</v>
      </c>
      <c r="AX168" s="228">
        <v>113</v>
      </c>
      <c r="AY168" s="228">
        <v>-44</v>
      </c>
      <c r="AZ168" s="229">
        <v>-0.39040000000000002</v>
      </c>
      <c r="BA168" s="228">
        <v>9</v>
      </c>
      <c r="BB168" s="228">
        <v>9</v>
      </c>
      <c r="BC168" s="228">
        <v>0</v>
      </c>
      <c r="BD168" s="229">
        <v>-4.3099999999999999E-2</v>
      </c>
      <c r="BE168" s="228">
        <v>1</v>
      </c>
      <c r="BF168" s="228">
        <v>0</v>
      </c>
      <c r="BG168" s="228">
        <v>0</v>
      </c>
      <c r="BH168" s="229">
        <v>0.8</v>
      </c>
      <c r="BI168" s="228">
        <v>194</v>
      </c>
      <c r="BJ168" s="228">
        <v>402</v>
      </c>
      <c r="BK168" s="228">
        <v>-208</v>
      </c>
      <c r="BL168" s="229">
        <v>-0.51629999999999998</v>
      </c>
      <c r="BM168" s="228">
        <v>57</v>
      </c>
      <c r="BN168" s="228">
        <v>144</v>
      </c>
      <c r="BO168" s="228">
        <v>-87</v>
      </c>
      <c r="BP168" s="229">
        <v>-0.6048</v>
      </c>
      <c r="BQ168" s="228">
        <v>330</v>
      </c>
      <c r="BR168" s="228">
        <v>669</v>
      </c>
      <c r="BS168" s="228">
        <v>-339</v>
      </c>
      <c r="BT168" s="229">
        <v>-0.50700000000000001</v>
      </c>
      <c r="BU168" s="230">
        <v>83238</v>
      </c>
      <c r="BV168" s="230">
        <v>295010</v>
      </c>
      <c r="BW168" s="230">
        <v>-211772</v>
      </c>
      <c r="BX168" s="229">
        <v>-0.71779999999999999</v>
      </c>
      <c r="BY168" s="230">
        <v>1210</v>
      </c>
      <c r="BZ168" s="230">
        <v>1209</v>
      </c>
      <c r="CA168" s="228">
        <v>2</v>
      </c>
      <c r="CB168" s="229">
        <v>1.2999999999999999E-3</v>
      </c>
      <c r="CC168" s="230">
        <v>1166</v>
      </c>
      <c r="CD168" s="230">
        <v>1167</v>
      </c>
      <c r="CE168" s="228">
        <v>-1</v>
      </c>
      <c r="CF168" s="229">
        <v>-1.1000000000000001E-3</v>
      </c>
      <c r="CG168" s="228">
        <v>40</v>
      </c>
      <c r="CH168" s="228">
        <v>37</v>
      </c>
      <c r="CI168" s="228">
        <v>3</v>
      </c>
      <c r="CJ168" s="229">
        <v>8.3699999999999997E-2</v>
      </c>
      <c r="CK168" s="228">
        <v>4</v>
      </c>
      <c r="CL168" s="228">
        <v>4</v>
      </c>
      <c r="CM168" s="228">
        <v>0</v>
      </c>
      <c r="CN168" s="229">
        <v>-3.4500000000000003E-2</v>
      </c>
      <c r="CO168" s="228">
        <v>311</v>
      </c>
      <c r="CP168" s="228">
        <v>318</v>
      </c>
      <c r="CQ168" s="228">
        <v>-7</v>
      </c>
      <c r="CR168" s="229">
        <v>-2.1100000000000001E-2</v>
      </c>
      <c r="CS168" s="228">
        <v>240</v>
      </c>
      <c r="CT168" s="228">
        <v>244</v>
      </c>
      <c r="CU168" s="228">
        <v>-3</v>
      </c>
      <c r="CV168" s="229">
        <v>-1.3299999999999999E-2</v>
      </c>
      <c r="CW168" s="230">
        <v>1762</v>
      </c>
      <c r="CX168" s="230">
        <v>1770</v>
      </c>
      <c r="CY168" s="228">
        <v>-8</v>
      </c>
      <c r="CZ168" s="229">
        <v>-4.7000000000000002E-3</v>
      </c>
      <c r="DA168" s="228">
        <v>18.88</v>
      </c>
      <c r="DB168" s="228">
        <v>18.7</v>
      </c>
      <c r="DC168" s="228">
        <v>0.18</v>
      </c>
      <c r="DD168" s="228">
        <v>0.18</v>
      </c>
      <c r="DE168" s="228">
        <v>22.93</v>
      </c>
      <c r="DF168" s="228">
        <v>22.98</v>
      </c>
      <c r="DG168" s="228">
        <v>-4.05</v>
      </c>
      <c r="DH168" s="228">
        <v>-0.05</v>
      </c>
      <c r="DI168" s="228">
        <v>18.54</v>
      </c>
      <c r="DJ168" s="228">
        <v>18.239999999999998</v>
      </c>
      <c r="DK168" s="228">
        <v>0.3</v>
      </c>
      <c r="DL168" s="228">
        <v>0.3</v>
      </c>
      <c r="DM168" s="228">
        <v>20.02</v>
      </c>
      <c r="DN168" s="228">
        <v>19.98</v>
      </c>
      <c r="DO168" s="228">
        <v>0.04</v>
      </c>
      <c r="DP168" s="228">
        <v>0.04</v>
      </c>
      <c r="DQ168" s="228">
        <v>0.77</v>
      </c>
      <c r="DR168" s="228">
        <v>0.77</v>
      </c>
      <c r="DS168" s="228">
        <v>0</v>
      </c>
      <c r="DT168" s="229">
        <v>0</v>
      </c>
      <c r="DU168" s="231">
        <v>3100</v>
      </c>
      <c r="DV168" s="231">
        <v>3100</v>
      </c>
      <c r="DW168" s="228">
        <v>0.28999999999999998</v>
      </c>
      <c r="DX168" s="228">
        <v>0.36</v>
      </c>
      <c r="DY168" s="228">
        <v>-7.0000000000000007E-2</v>
      </c>
      <c r="DZ168" s="229">
        <v>-0.19439999999999999</v>
      </c>
      <c r="EA168" s="229">
        <v>3.6600000000000001E-2</v>
      </c>
      <c r="EB168" s="230">
        <v>134000</v>
      </c>
      <c r="EC168" s="229">
        <v>6.4000000000000003E-3</v>
      </c>
      <c r="ED168" s="229">
        <v>3.6600000000000001E-2</v>
      </c>
      <c r="EE168" s="228">
        <v>18.47</v>
      </c>
      <c r="EF168" s="229">
        <v>6.0000000000000001E-3</v>
      </c>
      <c r="EG168" s="230">
        <v>40404</v>
      </c>
      <c r="EH168" s="230">
        <v>202422</v>
      </c>
      <c r="EI168" s="229">
        <v>-0.8004</v>
      </c>
      <c r="EJ168" s="229">
        <v>0.4854</v>
      </c>
      <c r="EK168" s="228">
        <v>198.71</v>
      </c>
      <c r="EL168" s="228">
        <v>54.9</v>
      </c>
      <c r="EM168" s="228">
        <v>78.52</v>
      </c>
      <c r="EN168" s="228">
        <v>0</v>
      </c>
      <c r="EO168" s="228">
        <v>332.13</v>
      </c>
      <c r="EP168" s="228">
        <v>675.55</v>
      </c>
      <c r="EQ168" s="228">
        <v>-343.43</v>
      </c>
      <c r="ER168" s="229">
        <v>-0.50839999999999996</v>
      </c>
      <c r="ES168" s="228">
        <v>315.18</v>
      </c>
      <c r="ET168" s="228">
        <v>228.95</v>
      </c>
      <c r="EU168" s="231">
        <v>1210.6600000000001</v>
      </c>
      <c r="EV168" s="231">
        <v>31170515</v>
      </c>
      <c r="EW168" s="231">
        <v>1754.79</v>
      </c>
      <c r="EX168" s="231">
        <v>1767.6</v>
      </c>
      <c r="EY168" s="228">
        <v>-12.81</v>
      </c>
      <c r="EZ168" s="229">
        <v>-7.1999999999999998E-3</v>
      </c>
      <c r="FA168" s="229">
        <v>0.18290000000000001</v>
      </c>
      <c r="FB168" s="227" t="s">
        <v>567</v>
      </c>
      <c r="FC168">
        <f t="shared" si="3"/>
        <v>0</v>
      </c>
    </row>
    <row r="169" spans="1:159" ht="17.25" thickBot="1" x14ac:dyDescent="0.3">
      <c r="A169" s="226">
        <v>45889</v>
      </c>
      <c r="B169" s="227" t="s">
        <v>498</v>
      </c>
      <c r="C169" s="227" t="s">
        <v>483</v>
      </c>
      <c r="D169" s="228">
        <v>175</v>
      </c>
      <c r="E169" s="228">
        <v>8</v>
      </c>
      <c r="F169" s="231">
        <v>3808.8</v>
      </c>
      <c r="G169" s="231">
        <v>3781.5</v>
      </c>
      <c r="H169" s="228">
        <v>27.3</v>
      </c>
      <c r="I169" s="229">
        <v>7.1999999999999998E-3</v>
      </c>
      <c r="J169" s="231">
        <v>3796.8</v>
      </c>
      <c r="K169" s="231">
        <v>3765</v>
      </c>
      <c r="L169" s="228">
        <v>31.8</v>
      </c>
      <c r="M169" s="229">
        <v>8.3999999999999995E-3</v>
      </c>
      <c r="N169" s="231">
        <v>3808.8</v>
      </c>
      <c r="O169" s="231">
        <v>3781.5</v>
      </c>
      <c r="P169" s="228">
        <v>27.3</v>
      </c>
      <c r="Q169" s="229">
        <v>7.1999999999999998E-3</v>
      </c>
      <c r="R169" s="231">
        <v>3827.9</v>
      </c>
      <c r="S169" s="231">
        <v>3794.5</v>
      </c>
      <c r="T169" s="228">
        <v>33.4</v>
      </c>
      <c r="U169" s="229">
        <v>8.8000000000000005E-3</v>
      </c>
      <c r="V169" s="231">
        <v>3846.5</v>
      </c>
      <c r="W169" s="231">
        <v>3797.4</v>
      </c>
      <c r="X169" s="228">
        <v>49.1</v>
      </c>
      <c r="Y169" s="229">
        <v>1.29E-2</v>
      </c>
      <c r="Z169" s="228">
        <v>12</v>
      </c>
      <c r="AA169" s="228">
        <v>16.5</v>
      </c>
      <c r="AB169" s="228">
        <v>-4.5</v>
      </c>
      <c r="AC169" s="229">
        <v>3.2000000000000002E-3</v>
      </c>
      <c r="AD169" s="228">
        <v>12</v>
      </c>
      <c r="AE169" s="228">
        <v>16.5</v>
      </c>
      <c r="AF169" s="228">
        <v>-4.5</v>
      </c>
      <c r="AG169" s="229">
        <v>3.2000000000000002E-3</v>
      </c>
      <c r="AH169" s="228">
        <v>31.1</v>
      </c>
      <c r="AI169" s="228">
        <v>29.5</v>
      </c>
      <c r="AJ169" s="228">
        <v>1.6</v>
      </c>
      <c r="AK169" s="229">
        <v>8.2000000000000007E-3</v>
      </c>
      <c r="AL169" s="228">
        <v>49.7</v>
      </c>
      <c r="AM169" s="228">
        <v>32.4</v>
      </c>
      <c r="AN169" s="228">
        <v>17.3</v>
      </c>
      <c r="AO169" s="229">
        <v>1.3100000000000001E-2</v>
      </c>
      <c r="AP169" s="231">
        <v>3805.29</v>
      </c>
      <c r="AQ169" s="231">
        <v>3824.35</v>
      </c>
      <c r="AR169" s="228">
        <v>0</v>
      </c>
      <c r="AS169" s="228">
        <v>147</v>
      </c>
      <c r="AT169" s="228">
        <v>94</v>
      </c>
      <c r="AU169" s="228">
        <v>53</v>
      </c>
      <c r="AV169" s="229">
        <v>0.56000000000000005</v>
      </c>
      <c r="AW169" s="228">
        <v>118</v>
      </c>
      <c r="AX169" s="228">
        <v>74</v>
      </c>
      <c r="AY169" s="228">
        <v>44</v>
      </c>
      <c r="AZ169" s="229">
        <v>0.59389999999999998</v>
      </c>
      <c r="BA169" s="228">
        <v>28</v>
      </c>
      <c r="BB169" s="228">
        <v>20</v>
      </c>
      <c r="BC169" s="228">
        <v>8</v>
      </c>
      <c r="BD169" s="229">
        <v>0.4</v>
      </c>
      <c r="BE169" s="228">
        <v>1</v>
      </c>
      <c r="BF169" s="228">
        <v>0</v>
      </c>
      <c r="BG169" s="228">
        <v>1</v>
      </c>
      <c r="BH169" s="229">
        <v>10</v>
      </c>
      <c r="BI169" s="228">
        <v>413</v>
      </c>
      <c r="BJ169" s="228">
        <v>292</v>
      </c>
      <c r="BK169" s="228">
        <v>121</v>
      </c>
      <c r="BL169" s="229">
        <v>0.41510000000000002</v>
      </c>
      <c r="BM169" s="228">
        <v>114</v>
      </c>
      <c r="BN169" s="228">
        <v>135</v>
      </c>
      <c r="BO169" s="228">
        <v>-21</v>
      </c>
      <c r="BP169" s="229">
        <v>-0.15379999999999999</v>
      </c>
      <c r="BQ169" s="228">
        <v>674</v>
      </c>
      <c r="BR169" s="228">
        <v>521</v>
      </c>
      <c r="BS169" s="228">
        <v>153</v>
      </c>
      <c r="BT169" s="229">
        <v>0.29360000000000003</v>
      </c>
      <c r="BU169" s="230">
        <v>70117</v>
      </c>
      <c r="BV169" s="230">
        <v>148399</v>
      </c>
      <c r="BW169" s="230">
        <v>-78282</v>
      </c>
      <c r="BX169" s="229">
        <v>-0.52749999999999997</v>
      </c>
      <c r="BY169" s="228">
        <v>785</v>
      </c>
      <c r="BZ169" s="228">
        <v>780</v>
      </c>
      <c r="CA169" s="228">
        <v>5</v>
      </c>
      <c r="CB169" s="229">
        <v>6.1000000000000004E-3</v>
      </c>
      <c r="CC169" s="228">
        <v>722</v>
      </c>
      <c r="CD169" s="228">
        <v>734</v>
      </c>
      <c r="CE169" s="228">
        <v>-12</v>
      </c>
      <c r="CF169" s="229">
        <v>-1.5699999999999999E-2</v>
      </c>
      <c r="CG169" s="228">
        <v>61</v>
      </c>
      <c r="CH169" s="228">
        <v>45</v>
      </c>
      <c r="CI169" s="228">
        <v>16</v>
      </c>
      <c r="CJ169" s="229">
        <v>0.35770000000000002</v>
      </c>
      <c r="CK169" s="228">
        <v>2</v>
      </c>
      <c r="CL169" s="228">
        <v>1</v>
      </c>
      <c r="CM169" s="228">
        <v>0</v>
      </c>
      <c r="CN169" s="229">
        <v>0.1905</v>
      </c>
      <c r="CO169" s="228">
        <v>359</v>
      </c>
      <c r="CP169" s="228">
        <v>404</v>
      </c>
      <c r="CQ169" s="228">
        <v>-45</v>
      </c>
      <c r="CR169" s="229">
        <v>-0.11070000000000001</v>
      </c>
      <c r="CS169" s="228">
        <v>235</v>
      </c>
      <c r="CT169" s="228">
        <v>254</v>
      </c>
      <c r="CU169" s="228">
        <v>-19</v>
      </c>
      <c r="CV169" s="229">
        <v>-7.4200000000000002E-2</v>
      </c>
      <c r="CW169" s="230">
        <v>1379</v>
      </c>
      <c r="CX169" s="230">
        <v>1438</v>
      </c>
      <c r="CY169" s="228">
        <v>-59</v>
      </c>
      <c r="CZ169" s="229">
        <v>-4.0899999999999999E-2</v>
      </c>
      <c r="DA169" s="228">
        <v>26.15</v>
      </c>
      <c r="DB169" s="228">
        <v>28.27</v>
      </c>
      <c r="DC169" s="228">
        <v>-2.12</v>
      </c>
      <c r="DD169" s="228">
        <v>-2.12</v>
      </c>
      <c r="DE169" s="228">
        <v>31.37</v>
      </c>
      <c r="DF169" s="228">
        <v>31.43</v>
      </c>
      <c r="DG169" s="228">
        <v>-5.22</v>
      </c>
      <c r="DH169" s="228">
        <v>-0.06</v>
      </c>
      <c r="DI169" s="228">
        <v>26.3</v>
      </c>
      <c r="DJ169" s="228">
        <v>28.7</v>
      </c>
      <c r="DK169" s="228">
        <v>-2.4</v>
      </c>
      <c r="DL169" s="228">
        <v>-2.4</v>
      </c>
      <c r="DM169" s="228">
        <v>25.62</v>
      </c>
      <c r="DN169" s="228">
        <v>27.36</v>
      </c>
      <c r="DO169" s="228">
        <v>-1.74</v>
      </c>
      <c r="DP169" s="228">
        <v>-1.74</v>
      </c>
      <c r="DQ169" s="228">
        <v>0.66</v>
      </c>
      <c r="DR169" s="228">
        <v>0.63</v>
      </c>
      <c r="DS169" s="228">
        <v>0.03</v>
      </c>
      <c r="DT169" s="229">
        <v>4.7600000000000003E-2</v>
      </c>
      <c r="DU169" s="231">
        <v>4300</v>
      </c>
      <c r="DV169" s="231">
        <v>3600</v>
      </c>
      <c r="DW169" s="228">
        <v>0.28000000000000003</v>
      </c>
      <c r="DX169" s="228">
        <v>0.46</v>
      </c>
      <c r="DY169" s="228">
        <v>-0.18</v>
      </c>
      <c r="DZ169" s="229">
        <v>-0.39129999999999998</v>
      </c>
      <c r="EA169" s="229">
        <v>7.9500000000000001E-2</v>
      </c>
      <c r="EB169" s="230">
        <v>121100</v>
      </c>
      <c r="EC169" s="229">
        <v>5.0000000000000001E-3</v>
      </c>
      <c r="ED169" s="229">
        <v>7.9500000000000001E-2</v>
      </c>
      <c r="EE169" s="228">
        <v>19.059999999999999</v>
      </c>
      <c r="EF169" s="229">
        <v>5.0000000000000001E-3</v>
      </c>
      <c r="EG169" s="230">
        <v>22713</v>
      </c>
      <c r="EH169" s="230">
        <v>90876</v>
      </c>
      <c r="EI169" s="229">
        <v>-0.75009999999999999</v>
      </c>
      <c r="EJ169" s="229">
        <v>0.32390000000000002</v>
      </c>
      <c r="EK169" s="228">
        <v>425</v>
      </c>
      <c r="EL169" s="228">
        <v>113.19</v>
      </c>
      <c r="EM169" s="228">
        <v>146.51</v>
      </c>
      <c r="EN169" s="228">
        <v>0</v>
      </c>
      <c r="EO169" s="228">
        <v>684.71</v>
      </c>
      <c r="EP169" s="228">
        <v>527.05999999999995</v>
      </c>
      <c r="EQ169" s="228">
        <v>157.65</v>
      </c>
      <c r="ER169" s="229">
        <v>0.29909999999999998</v>
      </c>
      <c r="ES169" s="228">
        <v>387.26</v>
      </c>
      <c r="ET169" s="228">
        <v>233.94</v>
      </c>
      <c r="EU169" s="228">
        <v>785.11</v>
      </c>
      <c r="EV169" s="231">
        <v>16356551</v>
      </c>
      <c r="EW169" s="231">
        <v>1406.3</v>
      </c>
      <c r="EX169" s="231">
        <v>1459.62</v>
      </c>
      <c r="EY169" s="228">
        <v>-53.32</v>
      </c>
      <c r="EZ169" s="229">
        <v>-3.6499999999999998E-2</v>
      </c>
      <c r="FA169" s="229">
        <v>0.22140000000000001</v>
      </c>
      <c r="FB169" s="227" t="s">
        <v>555</v>
      </c>
      <c r="FC169">
        <f t="shared" si="3"/>
        <v>0</v>
      </c>
    </row>
    <row r="170" spans="1:159" ht="17.25" thickBot="1" x14ac:dyDescent="0.3">
      <c r="A170" s="226">
        <v>45889</v>
      </c>
      <c r="B170" s="227" t="s">
        <v>172</v>
      </c>
      <c r="C170" s="227" t="s">
        <v>275</v>
      </c>
      <c r="D170" s="228">
        <v>8000</v>
      </c>
      <c r="E170" s="228">
        <v>8</v>
      </c>
      <c r="F170" s="228">
        <v>107.25</v>
      </c>
      <c r="G170" s="228">
        <v>108.14</v>
      </c>
      <c r="H170" s="228">
        <v>-0.89</v>
      </c>
      <c r="I170" s="229">
        <v>-8.2000000000000007E-3</v>
      </c>
      <c r="J170" s="228">
        <v>107.11</v>
      </c>
      <c r="K170" s="228">
        <v>107.9</v>
      </c>
      <c r="L170" s="228">
        <v>-0.79</v>
      </c>
      <c r="M170" s="229">
        <v>-7.3000000000000001E-3</v>
      </c>
      <c r="N170" s="228">
        <v>107.25</v>
      </c>
      <c r="O170" s="228">
        <v>108.14</v>
      </c>
      <c r="P170" s="228">
        <v>-0.89</v>
      </c>
      <c r="Q170" s="229">
        <v>-8.2000000000000007E-3</v>
      </c>
      <c r="R170" s="228">
        <v>107.88</v>
      </c>
      <c r="S170" s="228">
        <v>108.79</v>
      </c>
      <c r="T170" s="228">
        <v>-0.91</v>
      </c>
      <c r="U170" s="229">
        <v>-8.3999999999999995E-3</v>
      </c>
      <c r="V170" s="228">
        <v>108.49</v>
      </c>
      <c r="W170" s="228">
        <v>109.3</v>
      </c>
      <c r="X170" s="228">
        <v>-0.81</v>
      </c>
      <c r="Y170" s="229">
        <v>-7.4000000000000003E-3</v>
      </c>
      <c r="Z170" s="228">
        <v>0.14000000000000001</v>
      </c>
      <c r="AA170" s="228">
        <v>0.24</v>
      </c>
      <c r="AB170" s="228">
        <v>-0.1</v>
      </c>
      <c r="AC170" s="229">
        <v>1.2999999999999999E-3</v>
      </c>
      <c r="AD170" s="228">
        <v>0.14000000000000001</v>
      </c>
      <c r="AE170" s="228">
        <v>0.24</v>
      </c>
      <c r="AF170" s="228">
        <v>-0.1</v>
      </c>
      <c r="AG170" s="229">
        <v>1.2999999999999999E-3</v>
      </c>
      <c r="AH170" s="228">
        <v>0.77</v>
      </c>
      <c r="AI170" s="228">
        <v>0.89</v>
      </c>
      <c r="AJ170" s="228">
        <v>-0.12</v>
      </c>
      <c r="AK170" s="229">
        <v>7.1999999999999998E-3</v>
      </c>
      <c r="AL170" s="228">
        <v>1.38</v>
      </c>
      <c r="AM170" s="228">
        <v>1.4</v>
      </c>
      <c r="AN170" s="228">
        <v>-0.02</v>
      </c>
      <c r="AO170" s="229">
        <v>1.29E-2</v>
      </c>
      <c r="AP170" s="228">
        <v>107.6</v>
      </c>
      <c r="AQ170" s="228">
        <v>108.2</v>
      </c>
      <c r="AR170" s="228">
        <v>0</v>
      </c>
      <c r="AS170" s="228">
        <v>394</v>
      </c>
      <c r="AT170" s="228">
        <v>441</v>
      </c>
      <c r="AU170" s="228">
        <v>-48</v>
      </c>
      <c r="AV170" s="229">
        <v>-0.10829999999999999</v>
      </c>
      <c r="AW170" s="228">
        <v>302</v>
      </c>
      <c r="AX170" s="228">
        <v>335</v>
      </c>
      <c r="AY170" s="228">
        <v>-33</v>
      </c>
      <c r="AZ170" s="229">
        <v>-9.7900000000000001E-2</v>
      </c>
      <c r="BA170" s="228">
        <v>87</v>
      </c>
      <c r="BB170" s="228">
        <v>97</v>
      </c>
      <c r="BC170" s="228">
        <v>-10</v>
      </c>
      <c r="BD170" s="229">
        <v>-0.1022</v>
      </c>
      <c r="BE170" s="228">
        <v>4</v>
      </c>
      <c r="BF170" s="228">
        <v>9</v>
      </c>
      <c r="BG170" s="228">
        <v>-5</v>
      </c>
      <c r="BH170" s="229">
        <v>-0.5514</v>
      </c>
      <c r="BI170" s="228">
        <v>947</v>
      </c>
      <c r="BJ170" s="230">
        <v>1062</v>
      </c>
      <c r="BK170" s="228">
        <v>-116</v>
      </c>
      <c r="BL170" s="229">
        <v>-0.1089</v>
      </c>
      <c r="BM170" s="228">
        <v>553</v>
      </c>
      <c r="BN170" s="228">
        <v>613</v>
      </c>
      <c r="BO170" s="228">
        <v>-59</v>
      </c>
      <c r="BP170" s="229">
        <v>-9.6699999999999994E-2</v>
      </c>
      <c r="BQ170" s="230">
        <v>1894</v>
      </c>
      <c r="BR170" s="230">
        <v>2116</v>
      </c>
      <c r="BS170" s="228">
        <v>-223</v>
      </c>
      <c r="BT170" s="229">
        <v>-0.1052</v>
      </c>
      <c r="BU170" s="230">
        <v>9092432</v>
      </c>
      <c r="BV170" s="230">
        <v>9221985</v>
      </c>
      <c r="BW170" s="230">
        <v>-129553</v>
      </c>
      <c r="BX170" s="229">
        <v>-1.4E-2</v>
      </c>
      <c r="BY170" s="230">
        <v>2853</v>
      </c>
      <c r="BZ170" s="230">
        <v>2788</v>
      </c>
      <c r="CA170" s="228">
        <v>65</v>
      </c>
      <c r="CB170" s="229">
        <v>2.3300000000000001E-2</v>
      </c>
      <c r="CC170" s="230">
        <v>2555</v>
      </c>
      <c r="CD170" s="230">
        <v>2548</v>
      </c>
      <c r="CE170" s="228">
        <v>7</v>
      </c>
      <c r="CF170" s="229">
        <v>2.5999999999999999E-3</v>
      </c>
      <c r="CG170" s="228">
        <v>281</v>
      </c>
      <c r="CH170" s="228">
        <v>226</v>
      </c>
      <c r="CI170" s="228">
        <v>56</v>
      </c>
      <c r="CJ170" s="229">
        <v>0.24629999999999999</v>
      </c>
      <c r="CK170" s="228">
        <v>17</v>
      </c>
      <c r="CL170" s="228">
        <v>15</v>
      </c>
      <c r="CM170" s="228">
        <v>3</v>
      </c>
      <c r="CN170" s="229">
        <v>0.17749999999999999</v>
      </c>
      <c r="CO170" s="230">
        <v>1376</v>
      </c>
      <c r="CP170" s="230">
        <v>1308</v>
      </c>
      <c r="CQ170" s="228">
        <v>68</v>
      </c>
      <c r="CR170" s="229">
        <v>5.1999999999999998E-2</v>
      </c>
      <c r="CS170" s="228">
        <v>824</v>
      </c>
      <c r="CT170" s="228">
        <v>821</v>
      </c>
      <c r="CU170" s="228">
        <v>3</v>
      </c>
      <c r="CV170" s="229">
        <v>3.0999999999999999E-3</v>
      </c>
      <c r="CW170" s="230">
        <v>5053</v>
      </c>
      <c r="CX170" s="230">
        <v>4918</v>
      </c>
      <c r="CY170" s="228">
        <v>135</v>
      </c>
      <c r="CZ170" s="229">
        <v>2.75E-2</v>
      </c>
      <c r="DA170" s="228">
        <v>24.89</v>
      </c>
      <c r="DB170" s="228">
        <v>24.45</v>
      </c>
      <c r="DC170" s="228">
        <v>0.44</v>
      </c>
      <c r="DD170" s="228">
        <v>0.44</v>
      </c>
      <c r="DE170" s="228">
        <v>38.9</v>
      </c>
      <c r="DF170" s="228">
        <v>38.979999999999997</v>
      </c>
      <c r="DG170" s="228">
        <v>-14.01</v>
      </c>
      <c r="DH170" s="228">
        <v>-0.08</v>
      </c>
      <c r="DI170" s="228">
        <v>25.4</v>
      </c>
      <c r="DJ170" s="228">
        <v>24.39</v>
      </c>
      <c r="DK170" s="228">
        <v>1.01</v>
      </c>
      <c r="DL170" s="228">
        <v>1.01</v>
      </c>
      <c r="DM170" s="228">
        <v>24.03</v>
      </c>
      <c r="DN170" s="228">
        <v>24.55</v>
      </c>
      <c r="DO170" s="228">
        <v>-0.52</v>
      </c>
      <c r="DP170" s="228">
        <v>-0.52</v>
      </c>
      <c r="DQ170" s="228">
        <v>0.6</v>
      </c>
      <c r="DR170" s="228">
        <v>0.63</v>
      </c>
      <c r="DS170" s="228">
        <v>-0.03</v>
      </c>
      <c r="DT170" s="229">
        <v>-4.7600000000000003E-2</v>
      </c>
      <c r="DU170" s="228">
        <v>110</v>
      </c>
      <c r="DV170" s="228">
        <v>110</v>
      </c>
      <c r="DW170" s="228">
        <v>0.57999999999999996</v>
      </c>
      <c r="DX170" s="228">
        <v>0.57999999999999996</v>
      </c>
      <c r="DY170" s="228">
        <v>0</v>
      </c>
      <c r="DZ170" s="229">
        <v>0</v>
      </c>
      <c r="EA170" s="229">
        <v>0.1046</v>
      </c>
      <c r="EB170" s="230">
        <v>22400000</v>
      </c>
      <c r="EC170" s="229">
        <v>5.8999999999999999E-3</v>
      </c>
      <c r="ED170" s="229">
        <v>0.1046</v>
      </c>
      <c r="EE170" s="228">
        <v>0.6</v>
      </c>
      <c r="EF170" s="229">
        <v>5.5999999999999999E-3</v>
      </c>
      <c r="EG170" s="230">
        <v>3664759</v>
      </c>
      <c r="EH170" s="230">
        <v>3905073</v>
      </c>
      <c r="EI170" s="229">
        <v>-6.1499999999999999E-2</v>
      </c>
      <c r="EJ170" s="229">
        <v>0.40310000000000001</v>
      </c>
      <c r="EK170" s="228">
        <v>977.45</v>
      </c>
      <c r="EL170" s="228">
        <v>557.73</v>
      </c>
      <c r="EM170" s="228">
        <v>395.47</v>
      </c>
      <c r="EN170" s="228">
        <v>0</v>
      </c>
      <c r="EO170" s="231">
        <v>1930.66</v>
      </c>
      <c r="EP170" s="231">
        <v>2151.0100000000002</v>
      </c>
      <c r="EQ170" s="228">
        <v>-220.36</v>
      </c>
      <c r="ER170" s="229">
        <v>-0.1024</v>
      </c>
      <c r="ES170" s="231">
        <v>1437.66</v>
      </c>
      <c r="ET170" s="228">
        <v>807.96</v>
      </c>
      <c r="EU170" s="231">
        <v>2855.04</v>
      </c>
      <c r="EV170" s="231">
        <v>687763516</v>
      </c>
      <c r="EW170" s="231">
        <v>5100.66</v>
      </c>
      <c r="EX170" s="231">
        <v>4984.6499999999996</v>
      </c>
      <c r="EY170" s="228">
        <v>116.01</v>
      </c>
      <c r="EZ170" s="229">
        <v>2.3300000000000001E-2</v>
      </c>
      <c r="FA170" s="229">
        <v>0.68500000000000005</v>
      </c>
      <c r="FB170" s="227" t="s">
        <v>567</v>
      </c>
      <c r="FC170">
        <f t="shared" si="3"/>
        <v>0</v>
      </c>
    </row>
    <row r="171" spans="1:159" ht="17.25" thickBot="1" x14ac:dyDescent="0.3">
      <c r="A171" s="226">
        <v>45889</v>
      </c>
      <c r="B171" s="227" t="s">
        <v>175</v>
      </c>
      <c r="C171" s="227" t="s">
        <v>672</v>
      </c>
      <c r="D171" s="228">
        <v>650</v>
      </c>
      <c r="E171" s="228">
        <v>8</v>
      </c>
      <c r="F171" s="228">
        <v>811.85</v>
      </c>
      <c r="G171" s="228">
        <v>820.85</v>
      </c>
      <c r="H171" s="228">
        <v>-9</v>
      </c>
      <c r="I171" s="229">
        <v>-1.0999999999999999E-2</v>
      </c>
      <c r="J171" s="228">
        <v>808.45</v>
      </c>
      <c r="K171" s="228">
        <v>817.7</v>
      </c>
      <c r="L171" s="228">
        <v>-9.25</v>
      </c>
      <c r="M171" s="229">
        <v>-1.1299999999999999E-2</v>
      </c>
      <c r="N171" s="228">
        <v>811.85</v>
      </c>
      <c r="O171" s="228">
        <v>820.85</v>
      </c>
      <c r="P171" s="228">
        <v>-9</v>
      </c>
      <c r="Q171" s="229">
        <v>-1.0999999999999999E-2</v>
      </c>
      <c r="R171" s="228">
        <v>815.6</v>
      </c>
      <c r="S171" s="228">
        <v>825.5</v>
      </c>
      <c r="T171" s="228">
        <v>-9.9</v>
      </c>
      <c r="U171" s="229">
        <v>-1.2E-2</v>
      </c>
      <c r="V171" s="228">
        <v>820.3</v>
      </c>
      <c r="W171" s="228">
        <v>829.3</v>
      </c>
      <c r="X171" s="228">
        <v>-9</v>
      </c>
      <c r="Y171" s="229">
        <v>-1.09E-2</v>
      </c>
      <c r="Z171" s="228">
        <v>3.4</v>
      </c>
      <c r="AA171" s="228">
        <v>3.15</v>
      </c>
      <c r="AB171" s="228">
        <v>0.25</v>
      </c>
      <c r="AC171" s="229">
        <v>4.1999999999999997E-3</v>
      </c>
      <c r="AD171" s="228">
        <v>3.4</v>
      </c>
      <c r="AE171" s="228">
        <v>3.15</v>
      </c>
      <c r="AF171" s="228">
        <v>0.25</v>
      </c>
      <c r="AG171" s="229">
        <v>4.1999999999999997E-3</v>
      </c>
      <c r="AH171" s="228">
        <v>7.15</v>
      </c>
      <c r="AI171" s="228">
        <v>7.8</v>
      </c>
      <c r="AJ171" s="228">
        <v>-0.65</v>
      </c>
      <c r="AK171" s="229">
        <v>8.8000000000000005E-3</v>
      </c>
      <c r="AL171" s="228">
        <v>11.85</v>
      </c>
      <c r="AM171" s="228">
        <v>11.6</v>
      </c>
      <c r="AN171" s="228">
        <v>0.25</v>
      </c>
      <c r="AO171" s="229">
        <v>1.47E-2</v>
      </c>
      <c r="AP171" s="228">
        <v>813.11</v>
      </c>
      <c r="AQ171" s="228">
        <v>817.2</v>
      </c>
      <c r="AR171" s="228">
        <v>0</v>
      </c>
      <c r="AS171" s="228">
        <v>289</v>
      </c>
      <c r="AT171" s="228">
        <v>952</v>
      </c>
      <c r="AU171" s="228">
        <v>-663</v>
      </c>
      <c r="AV171" s="229">
        <v>-0.69650000000000001</v>
      </c>
      <c r="AW171" s="228">
        <v>197</v>
      </c>
      <c r="AX171" s="228">
        <v>719</v>
      </c>
      <c r="AY171" s="228">
        <v>-522</v>
      </c>
      <c r="AZ171" s="229">
        <v>-0.72570000000000001</v>
      </c>
      <c r="BA171" s="228">
        <v>86</v>
      </c>
      <c r="BB171" s="228">
        <v>224</v>
      </c>
      <c r="BC171" s="228">
        <v>-138</v>
      </c>
      <c r="BD171" s="229">
        <v>-0.6159</v>
      </c>
      <c r="BE171" s="228">
        <v>6</v>
      </c>
      <c r="BF171" s="228">
        <v>9</v>
      </c>
      <c r="BG171" s="228">
        <v>-4</v>
      </c>
      <c r="BH171" s="229">
        <v>-0.3785</v>
      </c>
      <c r="BI171" s="228">
        <v>883</v>
      </c>
      <c r="BJ171" s="230">
        <v>3250</v>
      </c>
      <c r="BK171" s="230">
        <v>-2367</v>
      </c>
      <c r="BL171" s="229">
        <v>-0.72850000000000004</v>
      </c>
      <c r="BM171" s="228">
        <v>334</v>
      </c>
      <c r="BN171" s="230">
        <v>1144</v>
      </c>
      <c r="BO171" s="228">
        <v>-809</v>
      </c>
      <c r="BP171" s="229">
        <v>-0.70760000000000001</v>
      </c>
      <c r="BQ171" s="230">
        <v>1506</v>
      </c>
      <c r="BR171" s="230">
        <v>5346</v>
      </c>
      <c r="BS171" s="230">
        <v>-3840</v>
      </c>
      <c r="BT171" s="229">
        <v>-0.71830000000000005</v>
      </c>
      <c r="BU171" s="230">
        <v>2828679</v>
      </c>
      <c r="BV171" s="230">
        <v>10472792</v>
      </c>
      <c r="BW171" s="230">
        <v>-7644113</v>
      </c>
      <c r="BX171" s="229">
        <v>-0.72989999999999999</v>
      </c>
      <c r="BY171" s="230">
        <v>1313</v>
      </c>
      <c r="BZ171" s="230">
        <v>1255</v>
      </c>
      <c r="CA171" s="228">
        <v>58</v>
      </c>
      <c r="CB171" s="229">
        <v>4.5900000000000003E-2</v>
      </c>
      <c r="CC171" s="230">
        <v>1117</v>
      </c>
      <c r="CD171" s="230">
        <v>1102</v>
      </c>
      <c r="CE171" s="228">
        <v>15</v>
      </c>
      <c r="CF171" s="229">
        <v>1.34E-2</v>
      </c>
      <c r="CG171" s="228">
        <v>183</v>
      </c>
      <c r="CH171" s="228">
        <v>142</v>
      </c>
      <c r="CI171" s="228">
        <v>41</v>
      </c>
      <c r="CJ171" s="229">
        <v>0.28799999999999998</v>
      </c>
      <c r="CK171" s="228">
        <v>13</v>
      </c>
      <c r="CL171" s="228">
        <v>11</v>
      </c>
      <c r="CM171" s="228">
        <v>2</v>
      </c>
      <c r="CN171" s="229">
        <v>0.16669999999999999</v>
      </c>
      <c r="CO171" s="228">
        <v>978</v>
      </c>
      <c r="CP171" s="228">
        <v>918</v>
      </c>
      <c r="CQ171" s="228">
        <v>60</v>
      </c>
      <c r="CR171" s="229">
        <v>6.5299999999999997E-2</v>
      </c>
      <c r="CS171" s="228">
        <v>405</v>
      </c>
      <c r="CT171" s="228">
        <v>373</v>
      </c>
      <c r="CU171" s="228">
        <v>32</v>
      </c>
      <c r="CV171" s="229">
        <v>8.6800000000000002E-2</v>
      </c>
      <c r="CW171" s="230">
        <v>2696</v>
      </c>
      <c r="CX171" s="230">
        <v>2547</v>
      </c>
      <c r="CY171" s="228">
        <v>150</v>
      </c>
      <c r="CZ171" s="229">
        <v>5.8900000000000001E-2</v>
      </c>
      <c r="DA171" s="228">
        <v>36.950000000000003</v>
      </c>
      <c r="DB171" s="228">
        <v>38.79</v>
      </c>
      <c r="DC171" s="228">
        <v>-1.84</v>
      </c>
      <c r="DD171" s="228">
        <v>-1.84</v>
      </c>
      <c r="DE171" s="228">
        <v>52.08</v>
      </c>
      <c r="DF171" s="228">
        <v>52.19</v>
      </c>
      <c r="DG171" s="228">
        <v>-15.13</v>
      </c>
      <c r="DH171" s="228">
        <v>-0.11</v>
      </c>
      <c r="DI171" s="228">
        <v>37.96</v>
      </c>
      <c r="DJ171" s="228">
        <v>39.049999999999997</v>
      </c>
      <c r="DK171" s="228">
        <v>-1.0900000000000001</v>
      </c>
      <c r="DL171" s="228">
        <v>-1.0900000000000001</v>
      </c>
      <c r="DM171" s="228">
        <v>34.29</v>
      </c>
      <c r="DN171" s="228">
        <v>38.049999999999997</v>
      </c>
      <c r="DO171" s="228">
        <v>-3.76</v>
      </c>
      <c r="DP171" s="228">
        <v>-3.76</v>
      </c>
      <c r="DQ171" s="228">
        <v>0.41</v>
      </c>
      <c r="DR171" s="228">
        <v>0.41</v>
      </c>
      <c r="DS171" s="228">
        <v>0</v>
      </c>
      <c r="DT171" s="229">
        <v>0</v>
      </c>
      <c r="DU171" s="228">
        <v>900</v>
      </c>
      <c r="DV171" s="228">
        <v>800</v>
      </c>
      <c r="DW171" s="228">
        <v>0.38</v>
      </c>
      <c r="DX171" s="228">
        <v>0.35</v>
      </c>
      <c r="DY171" s="228">
        <v>0.03</v>
      </c>
      <c r="DZ171" s="229">
        <v>8.5699999999999998E-2</v>
      </c>
      <c r="EA171" s="229">
        <v>0.14960000000000001</v>
      </c>
      <c r="EB171" s="230">
        <v>1891500</v>
      </c>
      <c r="EC171" s="229">
        <v>4.5999999999999999E-3</v>
      </c>
      <c r="ED171" s="229">
        <v>0.14960000000000001</v>
      </c>
      <c r="EE171" s="228">
        <v>4.09</v>
      </c>
      <c r="EF171" s="229">
        <v>5.0000000000000001E-3</v>
      </c>
      <c r="EG171" s="230">
        <v>1481726</v>
      </c>
      <c r="EH171" s="230">
        <v>5047369</v>
      </c>
      <c r="EI171" s="229">
        <v>-0.70640000000000003</v>
      </c>
      <c r="EJ171" s="229">
        <v>0.52380000000000004</v>
      </c>
      <c r="EK171" s="228">
        <v>932.22</v>
      </c>
      <c r="EL171" s="228">
        <v>335.37</v>
      </c>
      <c r="EM171" s="228">
        <v>289.95999999999998</v>
      </c>
      <c r="EN171" s="228">
        <v>0</v>
      </c>
      <c r="EO171" s="231">
        <v>1557.55</v>
      </c>
      <c r="EP171" s="231">
        <v>5555.79</v>
      </c>
      <c r="EQ171" s="231">
        <v>-3998.25</v>
      </c>
      <c r="ER171" s="229">
        <v>-0.71970000000000001</v>
      </c>
      <c r="ES171" s="231">
        <v>1077.68</v>
      </c>
      <c r="ET171" s="228">
        <v>411.67</v>
      </c>
      <c r="EU171" s="231">
        <v>1313.91</v>
      </c>
      <c r="EV171" s="231">
        <v>37416542</v>
      </c>
      <c r="EW171" s="231">
        <v>2803.26</v>
      </c>
      <c r="EX171" s="231">
        <v>2668.47</v>
      </c>
      <c r="EY171" s="228">
        <v>134.79</v>
      </c>
      <c r="EZ171" s="229">
        <v>5.0500000000000003E-2</v>
      </c>
      <c r="FA171" s="229">
        <v>0.88770000000000004</v>
      </c>
      <c r="FB171" s="227" t="s">
        <v>567</v>
      </c>
      <c r="FC171">
        <f t="shared" si="3"/>
        <v>0</v>
      </c>
    </row>
    <row r="172" spans="1:159" ht="17.25" thickBot="1" x14ac:dyDescent="0.3">
      <c r="A172" s="226">
        <v>45889</v>
      </c>
      <c r="B172" s="227" t="s">
        <v>616</v>
      </c>
      <c r="C172" s="227" t="s">
        <v>574</v>
      </c>
      <c r="D172" s="228">
        <v>350</v>
      </c>
      <c r="E172" s="228">
        <v>8</v>
      </c>
      <c r="F172" s="231">
        <v>1921.4</v>
      </c>
      <c r="G172" s="231">
        <v>1914.6</v>
      </c>
      <c r="H172" s="228">
        <v>6.8</v>
      </c>
      <c r="I172" s="229">
        <v>3.5999999999999999E-3</v>
      </c>
      <c r="J172" s="231">
        <v>1921.8</v>
      </c>
      <c r="K172" s="231">
        <v>1913.9</v>
      </c>
      <c r="L172" s="228">
        <v>7.9</v>
      </c>
      <c r="M172" s="229">
        <v>4.1000000000000003E-3</v>
      </c>
      <c r="N172" s="231">
        <v>1921.4</v>
      </c>
      <c r="O172" s="231">
        <v>1914.6</v>
      </c>
      <c r="P172" s="228">
        <v>6.8</v>
      </c>
      <c r="Q172" s="229">
        <v>3.5999999999999999E-3</v>
      </c>
      <c r="R172" s="231">
        <v>1931.2</v>
      </c>
      <c r="S172" s="231">
        <v>1923.3</v>
      </c>
      <c r="T172" s="228">
        <v>7.9</v>
      </c>
      <c r="U172" s="229">
        <v>4.1000000000000003E-3</v>
      </c>
      <c r="V172" s="231">
        <v>1939.2</v>
      </c>
      <c r="W172" s="231">
        <v>1927.5</v>
      </c>
      <c r="X172" s="228">
        <v>11.7</v>
      </c>
      <c r="Y172" s="229">
        <v>6.1000000000000004E-3</v>
      </c>
      <c r="Z172" s="228">
        <v>-0.4</v>
      </c>
      <c r="AA172" s="228">
        <v>0.7</v>
      </c>
      <c r="AB172" s="228">
        <v>-1.1000000000000001</v>
      </c>
      <c r="AC172" s="229">
        <v>-2.0000000000000001E-4</v>
      </c>
      <c r="AD172" s="228">
        <v>-0.4</v>
      </c>
      <c r="AE172" s="228">
        <v>0.7</v>
      </c>
      <c r="AF172" s="228">
        <v>-1.1000000000000001</v>
      </c>
      <c r="AG172" s="229">
        <v>-2.0000000000000001E-4</v>
      </c>
      <c r="AH172" s="228">
        <v>9.4</v>
      </c>
      <c r="AI172" s="228">
        <v>9.4</v>
      </c>
      <c r="AJ172" s="228">
        <v>0</v>
      </c>
      <c r="AK172" s="229">
        <v>4.8999999999999998E-3</v>
      </c>
      <c r="AL172" s="228">
        <v>17.399999999999999</v>
      </c>
      <c r="AM172" s="228">
        <v>13.6</v>
      </c>
      <c r="AN172" s="228">
        <v>3.8</v>
      </c>
      <c r="AO172" s="229">
        <v>9.1000000000000004E-3</v>
      </c>
      <c r="AP172" s="231">
        <v>1920.89</v>
      </c>
      <c r="AQ172" s="231">
        <v>1932.76</v>
      </c>
      <c r="AR172" s="228">
        <v>0</v>
      </c>
      <c r="AS172" s="228">
        <v>199</v>
      </c>
      <c r="AT172" s="228">
        <v>220</v>
      </c>
      <c r="AU172" s="228">
        <v>-22</v>
      </c>
      <c r="AV172" s="229">
        <v>-9.7699999999999995E-2</v>
      </c>
      <c r="AW172" s="228">
        <v>161</v>
      </c>
      <c r="AX172" s="228">
        <v>199</v>
      </c>
      <c r="AY172" s="228">
        <v>-39</v>
      </c>
      <c r="AZ172" s="229">
        <v>-0.19450000000000001</v>
      </c>
      <c r="BA172" s="228">
        <v>37</v>
      </c>
      <c r="BB172" s="228">
        <v>19</v>
      </c>
      <c r="BC172" s="228">
        <v>17</v>
      </c>
      <c r="BD172" s="229">
        <v>0.89970000000000006</v>
      </c>
      <c r="BE172" s="228">
        <v>1</v>
      </c>
      <c r="BF172" s="228">
        <v>1</v>
      </c>
      <c r="BG172" s="228">
        <v>0</v>
      </c>
      <c r="BH172" s="229">
        <v>-0.15790000000000001</v>
      </c>
      <c r="BI172" s="228">
        <v>440</v>
      </c>
      <c r="BJ172" s="228">
        <v>495</v>
      </c>
      <c r="BK172" s="228">
        <v>-55</v>
      </c>
      <c r="BL172" s="229">
        <v>-0.11020000000000001</v>
      </c>
      <c r="BM172" s="228">
        <v>151</v>
      </c>
      <c r="BN172" s="228">
        <v>168</v>
      </c>
      <c r="BO172" s="228">
        <v>-16</v>
      </c>
      <c r="BP172" s="229">
        <v>-9.7900000000000001E-2</v>
      </c>
      <c r="BQ172" s="228">
        <v>790</v>
      </c>
      <c r="BR172" s="228">
        <v>883</v>
      </c>
      <c r="BS172" s="228">
        <v>-92</v>
      </c>
      <c r="BT172" s="229">
        <v>-0.1047</v>
      </c>
      <c r="BU172" s="230">
        <v>574242</v>
      </c>
      <c r="BV172" s="230">
        <v>661879</v>
      </c>
      <c r="BW172" s="230">
        <v>-87637</v>
      </c>
      <c r="BX172" s="229">
        <v>-0.13239999999999999</v>
      </c>
      <c r="BY172" s="230">
        <v>1442</v>
      </c>
      <c r="BZ172" s="230">
        <v>1460</v>
      </c>
      <c r="CA172" s="228">
        <v>-18</v>
      </c>
      <c r="CB172" s="229">
        <v>-1.21E-2</v>
      </c>
      <c r="CC172" s="230">
        <v>1343</v>
      </c>
      <c r="CD172" s="230">
        <v>1377</v>
      </c>
      <c r="CE172" s="228">
        <v>-34</v>
      </c>
      <c r="CF172" s="229">
        <v>-2.5000000000000001E-2</v>
      </c>
      <c r="CG172" s="228">
        <v>96</v>
      </c>
      <c r="CH172" s="228">
        <v>79</v>
      </c>
      <c r="CI172" s="228">
        <v>17</v>
      </c>
      <c r="CJ172" s="229">
        <v>0.21049999999999999</v>
      </c>
      <c r="CK172" s="228">
        <v>3</v>
      </c>
      <c r="CL172" s="228">
        <v>3</v>
      </c>
      <c r="CM172" s="228">
        <v>0</v>
      </c>
      <c r="CN172" s="229">
        <v>1.9599999999999999E-2</v>
      </c>
      <c r="CO172" s="228">
        <v>188</v>
      </c>
      <c r="CP172" s="228">
        <v>187</v>
      </c>
      <c r="CQ172" s="228">
        <v>1</v>
      </c>
      <c r="CR172" s="229">
        <v>4.0000000000000001E-3</v>
      </c>
      <c r="CS172" s="228">
        <v>165</v>
      </c>
      <c r="CT172" s="228">
        <v>164</v>
      </c>
      <c r="CU172" s="228">
        <v>1</v>
      </c>
      <c r="CV172" s="229">
        <v>6.1000000000000004E-3</v>
      </c>
      <c r="CW172" s="230">
        <v>1795</v>
      </c>
      <c r="CX172" s="230">
        <v>1811</v>
      </c>
      <c r="CY172" s="228">
        <v>-16</v>
      </c>
      <c r="CZ172" s="229">
        <v>-8.8000000000000005E-3</v>
      </c>
      <c r="DA172" s="228">
        <v>33.67</v>
      </c>
      <c r="DB172" s="228">
        <v>35.94</v>
      </c>
      <c r="DC172" s="228">
        <v>-2.27</v>
      </c>
      <c r="DD172" s="228">
        <v>-2.27</v>
      </c>
      <c r="DE172" s="228">
        <v>50.33</v>
      </c>
      <c r="DF172" s="228">
        <v>50.45</v>
      </c>
      <c r="DG172" s="228">
        <v>-16.66</v>
      </c>
      <c r="DH172" s="228">
        <v>-0.12</v>
      </c>
      <c r="DI172" s="228">
        <v>33.01</v>
      </c>
      <c r="DJ172" s="228">
        <v>35.32</v>
      </c>
      <c r="DK172" s="228">
        <v>-2.31</v>
      </c>
      <c r="DL172" s="228">
        <v>-2.31</v>
      </c>
      <c r="DM172" s="228">
        <v>35.6</v>
      </c>
      <c r="DN172" s="228">
        <v>37.78</v>
      </c>
      <c r="DO172" s="228">
        <v>-2.1800000000000002</v>
      </c>
      <c r="DP172" s="228">
        <v>-2.1800000000000002</v>
      </c>
      <c r="DQ172" s="228">
        <v>0.88</v>
      </c>
      <c r="DR172" s="228">
        <v>0.88</v>
      </c>
      <c r="DS172" s="228">
        <v>0</v>
      </c>
      <c r="DT172" s="229">
        <v>0</v>
      </c>
      <c r="DU172" s="231">
        <v>1950</v>
      </c>
      <c r="DV172" s="231">
        <v>1700</v>
      </c>
      <c r="DW172" s="228">
        <v>0.34</v>
      </c>
      <c r="DX172" s="228">
        <v>0.34</v>
      </c>
      <c r="DY172" s="228">
        <v>0</v>
      </c>
      <c r="DZ172" s="229">
        <v>0</v>
      </c>
      <c r="EA172" s="229">
        <v>6.8900000000000003E-2</v>
      </c>
      <c r="EB172" s="230">
        <v>430150</v>
      </c>
      <c r="EC172" s="229">
        <v>5.1000000000000004E-3</v>
      </c>
      <c r="ED172" s="229">
        <v>6.8900000000000003E-2</v>
      </c>
      <c r="EE172" s="228">
        <v>11.87</v>
      </c>
      <c r="EF172" s="229">
        <v>6.1999999999999998E-3</v>
      </c>
      <c r="EG172" s="230">
        <v>293310</v>
      </c>
      <c r="EH172" s="230">
        <v>312843</v>
      </c>
      <c r="EI172" s="229">
        <v>-6.2399999999999997E-2</v>
      </c>
      <c r="EJ172" s="229">
        <v>0.51080000000000003</v>
      </c>
      <c r="EK172" s="228">
        <v>454.75</v>
      </c>
      <c r="EL172" s="228">
        <v>146.84</v>
      </c>
      <c r="EM172" s="228">
        <v>198.84</v>
      </c>
      <c r="EN172" s="228">
        <v>0</v>
      </c>
      <c r="EO172" s="228">
        <v>800.42</v>
      </c>
      <c r="EP172" s="228">
        <v>886.94</v>
      </c>
      <c r="EQ172" s="228">
        <v>-86.52</v>
      </c>
      <c r="ER172" s="229">
        <v>-9.7500000000000003E-2</v>
      </c>
      <c r="ES172" s="228">
        <v>189.39</v>
      </c>
      <c r="ET172" s="228">
        <v>149.80000000000001</v>
      </c>
      <c r="EU172" s="231">
        <v>1442.68</v>
      </c>
      <c r="EV172" s="231">
        <v>91593795</v>
      </c>
      <c r="EW172" s="231">
        <v>1781.86</v>
      </c>
      <c r="EX172" s="231">
        <v>1792.12</v>
      </c>
      <c r="EY172" s="228">
        <v>-10.26</v>
      </c>
      <c r="EZ172" s="229">
        <v>-5.7000000000000002E-3</v>
      </c>
      <c r="FA172" s="229">
        <v>0.10199999999999999</v>
      </c>
      <c r="FB172" s="227" t="s">
        <v>556</v>
      </c>
      <c r="FC172">
        <f t="shared" si="3"/>
        <v>0</v>
      </c>
    </row>
    <row r="173" spans="1:159" ht="17.25" thickBot="1" x14ac:dyDescent="0.3">
      <c r="A173" s="226">
        <v>45889</v>
      </c>
      <c r="B173" s="227" t="s">
        <v>184</v>
      </c>
      <c r="C173" s="227" t="s">
        <v>519</v>
      </c>
      <c r="D173" s="228">
        <v>125</v>
      </c>
      <c r="E173" s="228">
        <v>8</v>
      </c>
      <c r="F173" s="231">
        <v>7166.5</v>
      </c>
      <c r="G173" s="231">
        <v>7132</v>
      </c>
      <c r="H173" s="228">
        <v>34.5</v>
      </c>
      <c r="I173" s="229">
        <v>4.7999999999999996E-3</v>
      </c>
      <c r="J173" s="231">
        <v>7158</v>
      </c>
      <c r="K173" s="231">
        <v>7117</v>
      </c>
      <c r="L173" s="228">
        <v>41</v>
      </c>
      <c r="M173" s="229">
        <v>5.7999999999999996E-3</v>
      </c>
      <c r="N173" s="231">
        <v>7166.5</v>
      </c>
      <c r="O173" s="231">
        <v>7132</v>
      </c>
      <c r="P173" s="228">
        <v>34.5</v>
      </c>
      <c r="Q173" s="229">
        <v>4.7999999999999996E-3</v>
      </c>
      <c r="R173" s="231">
        <v>7210</v>
      </c>
      <c r="S173" s="231">
        <v>7170</v>
      </c>
      <c r="T173" s="228">
        <v>40</v>
      </c>
      <c r="U173" s="229">
        <v>5.5999999999999999E-3</v>
      </c>
      <c r="V173" s="231">
        <v>7230.5</v>
      </c>
      <c r="W173" s="231">
        <v>7204.5</v>
      </c>
      <c r="X173" s="228">
        <v>26</v>
      </c>
      <c r="Y173" s="229">
        <v>3.5999999999999999E-3</v>
      </c>
      <c r="Z173" s="228">
        <v>8.5</v>
      </c>
      <c r="AA173" s="228">
        <v>15</v>
      </c>
      <c r="AB173" s="228">
        <v>-6.5</v>
      </c>
      <c r="AC173" s="229">
        <v>1.1999999999999999E-3</v>
      </c>
      <c r="AD173" s="228">
        <v>8.5</v>
      </c>
      <c r="AE173" s="228">
        <v>15</v>
      </c>
      <c r="AF173" s="228">
        <v>-6.5</v>
      </c>
      <c r="AG173" s="229">
        <v>1.1999999999999999E-3</v>
      </c>
      <c r="AH173" s="228">
        <v>52</v>
      </c>
      <c r="AI173" s="228">
        <v>53</v>
      </c>
      <c r="AJ173" s="228">
        <v>-1</v>
      </c>
      <c r="AK173" s="229">
        <v>7.3000000000000001E-3</v>
      </c>
      <c r="AL173" s="228">
        <v>72.5</v>
      </c>
      <c r="AM173" s="228">
        <v>87.5</v>
      </c>
      <c r="AN173" s="228">
        <v>-15</v>
      </c>
      <c r="AO173" s="229">
        <v>1.01E-2</v>
      </c>
      <c r="AP173" s="231">
        <v>7179.16</v>
      </c>
      <c r="AQ173" s="231">
        <v>7218.01</v>
      </c>
      <c r="AR173" s="228">
        <v>0</v>
      </c>
      <c r="AS173" s="228">
        <v>264</v>
      </c>
      <c r="AT173" s="228">
        <v>191</v>
      </c>
      <c r="AU173" s="228">
        <v>73</v>
      </c>
      <c r="AV173" s="229">
        <v>0.38390000000000002</v>
      </c>
      <c r="AW173" s="228">
        <v>227</v>
      </c>
      <c r="AX173" s="228">
        <v>170</v>
      </c>
      <c r="AY173" s="228">
        <v>58</v>
      </c>
      <c r="AZ173" s="229">
        <v>0.33929999999999999</v>
      </c>
      <c r="BA173" s="228">
        <v>35</v>
      </c>
      <c r="BB173" s="228">
        <v>20</v>
      </c>
      <c r="BC173" s="228">
        <v>14</v>
      </c>
      <c r="BD173" s="229">
        <v>0.70799999999999996</v>
      </c>
      <c r="BE173" s="228">
        <v>2</v>
      </c>
      <c r="BF173" s="228">
        <v>1</v>
      </c>
      <c r="BG173" s="228">
        <v>1</v>
      </c>
      <c r="BH173" s="229">
        <v>1.5</v>
      </c>
      <c r="BI173" s="230">
        <v>1595</v>
      </c>
      <c r="BJ173" s="228">
        <v>816</v>
      </c>
      <c r="BK173" s="228">
        <v>779</v>
      </c>
      <c r="BL173" s="229">
        <v>0.95399999999999996</v>
      </c>
      <c r="BM173" s="228">
        <v>599</v>
      </c>
      <c r="BN173" s="228">
        <v>426</v>
      </c>
      <c r="BO173" s="228">
        <v>174</v>
      </c>
      <c r="BP173" s="229">
        <v>0.40820000000000001</v>
      </c>
      <c r="BQ173" s="230">
        <v>2459</v>
      </c>
      <c r="BR173" s="230">
        <v>1433</v>
      </c>
      <c r="BS173" s="230">
        <v>1026</v>
      </c>
      <c r="BT173" s="229">
        <v>0.71589999999999998</v>
      </c>
      <c r="BU173" s="230">
        <v>223176</v>
      </c>
      <c r="BV173" s="230">
        <v>192640</v>
      </c>
      <c r="BW173" s="230">
        <v>30536</v>
      </c>
      <c r="BX173" s="229">
        <v>0.1585</v>
      </c>
      <c r="BY173" s="230">
        <v>1204</v>
      </c>
      <c r="BZ173" s="230">
        <v>1226</v>
      </c>
      <c r="CA173" s="228">
        <v>-22</v>
      </c>
      <c r="CB173" s="229">
        <v>-1.8200000000000001E-2</v>
      </c>
      <c r="CC173" s="230">
        <v>1144</v>
      </c>
      <c r="CD173" s="230">
        <v>1167</v>
      </c>
      <c r="CE173" s="228">
        <v>-23</v>
      </c>
      <c r="CF173" s="229">
        <v>-1.9699999999999999E-2</v>
      </c>
      <c r="CG173" s="228">
        <v>54</v>
      </c>
      <c r="CH173" s="228">
        <v>53</v>
      </c>
      <c r="CI173" s="228">
        <v>1</v>
      </c>
      <c r="CJ173" s="229">
        <v>1.7000000000000001E-2</v>
      </c>
      <c r="CK173" s="228">
        <v>6</v>
      </c>
      <c r="CL173" s="228">
        <v>6</v>
      </c>
      <c r="CM173" s="228">
        <v>0</v>
      </c>
      <c r="CN173" s="229">
        <v>-4.2299999999999997E-2</v>
      </c>
      <c r="CO173" s="228">
        <v>612</v>
      </c>
      <c r="CP173" s="228">
        <v>610</v>
      </c>
      <c r="CQ173" s="228">
        <v>2</v>
      </c>
      <c r="CR173" s="229">
        <v>2.8E-3</v>
      </c>
      <c r="CS173" s="228">
        <v>481</v>
      </c>
      <c r="CT173" s="228">
        <v>455</v>
      </c>
      <c r="CU173" s="228">
        <v>26</v>
      </c>
      <c r="CV173" s="229">
        <v>5.7700000000000001E-2</v>
      </c>
      <c r="CW173" s="230">
        <v>2297</v>
      </c>
      <c r="CX173" s="230">
        <v>2291</v>
      </c>
      <c r="CY173" s="228">
        <v>6</v>
      </c>
      <c r="CZ173" s="229">
        <v>2.5000000000000001E-3</v>
      </c>
      <c r="DA173" s="228">
        <v>25.68</v>
      </c>
      <c r="DB173" s="228">
        <v>27.31</v>
      </c>
      <c r="DC173" s="228">
        <v>-1.63</v>
      </c>
      <c r="DD173" s="228">
        <v>-1.63</v>
      </c>
      <c r="DE173" s="228">
        <v>44.09</v>
      </c>
      <c r="DF173" s="228">
        <v>44.19</v>
      </c>
      <c r="DG173" s="228">
        <v>-18.41</v>
      </c>
      <c r="DH173" s="228">
        <v>-0.1</v>
      </c>
      <c r="DI173" s="228">
        <v>25.08</v>
      </c>
      <c r="DJ173" s="228">
        <v>26.33</v>
      </c>
      <c r="DK173" s="228">
        <v>-1.25</v>
      </c>
      <c r="DL173" s="228">
        <v>-1.25</v>
      </c>
      <c r="DM173" s="228">
        <v>27.28</v>
      </c>
      <c r="DN173" s="228">
        <v>29.19</v>
      </c>
      <c r="DO173" s="228">
        <v>-1.91</v>
      </c>
      <c r="DP173" s="228">
        <v>-1.91</v>
      </c>
      <c r="DQ173" s="228">
        <v>0.79</v>
      </c>
      <c r="DR173" s="228">
        <v>0.75</v>
      </c>
      <c r="DS173" s="228">
        <v>0.04</v>
      </c>
      <c r="DT173" s="229">
        <v>5.33E-2</v>
      </c>
      <c r="DU173" s="231">
        <v>7200</v>
      </c>
      <c r="DV173" s="231">
        <v>7000</v>
      </c>
      <c r="DW173" s="228">
        <v>0.38</v>
      </c>
      <c r="DX173" s="228">
        <v>0.52</v>
      </c>
      <c r="DY173" s="228">
        <v>-0.14000000000000001</v>
      </c>
      <c r="DZ173" s="229">
        <v>-0.26919999999999999</v>
      </c>
      <c r="EA173" s="229">
        <v>4.9599999999999998E-2</v>
      </c>
      <c r="EB173" s="230">
        <v>82375</v>
      </c>
      <c r="EC173" s="229">
        <v>6.1000000000000004E-3</v>
      </c>
      <c r="ED173" s="229">
        <v>4.9599999999999998E-2</v>
      </c>
      <c r="EE173" s="228">
        <v>38.85</v>
      </c>
      <c r="EF173" s="229">
        <v>5.4000000000000003E-3</v>
      </c>
      <c r="EG173" s="230">
        <v>99214</v>
      </c>
      <c r="EH173" s="230">
        <v>100793</v>
      </c>
      <c r="EI173" s="229">
        <v>-1.5699999999999999E-2</v>
      </c>
      <c r="EJ173" s="229">
        <v>0.4446</v>
      </c>
      <c r="EK173" s="231">
        <v>1631.4</v>
      </c>
      <c r="EL173" s="228">
        <v>587.20000000000005</v>
      </c>
      <c r="EM173" s="228">
        <v>264.85000000000002</v>
      </c>
      <c r="EN173" s="228">
        <v>0</v>
      </c>
      <c r="EO173" s="231">
        <v>2483.44</v>
      </c>
      <c r="EP173" s="231">
        <v>1430.39</v>
      </c>
      <c r="EQ173" s="231">
        <v>1053.06</v>
      </c>
      <c r="ER173" s="229">
        <v>0.73619999999999997</v>
      </c>
      <c r="ES173" s="228">
        <v>605.92999999999995</v>
      </c>
      <c r="ET173" s="228">
        <v>451.39</v>
      </c>
      <c r="EU173" s="231">
        <v>1204.08</v>
      </c>
      <c r="EV173" s="231">
        <v>11134251</v>
      </c>
      <c r="EW173" s="231">
        <v>2261.4</v>
      </c>
      <c r="EX173" s="231">
        <v>2246.09</v>
      </c>
      <c r="EY173" s="228">
        <v>15.31</v>
      </c>
      <c r="EZ173" s="229">
        <v>6.7999999999999996E-3</v>
      </c>
      <c r="FA173" s="229">
        <v>0.2878</v>
      </c>
      <c r="FB173" s="227" t="s">
        <v>556</v>
      </c>
      <c r="FC173">
        <f t="shared" si="3"/>
        <v>0</v>
      </c>
    </row>
    <row r="174" spans="1:159" ht="17.25" thickBot="1" x14ac:dyDescent="0.3">
      <c r="A174" s="226">
        <v>45889</v>
      </c>
      <c r="B174" s="227" t="s">
        <v>175</v>
      </c>
      <c r="C174" s="227" t="s">
        <v>597</v>
      </c>
      <c r="D174" s="228">
        <v>1700</v>
      </c>
      <c r="E174" s="228">
        <v>8</v>
      </c>
      <c r="F174" s="228">
        <v>464.8</v>
      </c>
      <c r="G174" s="228">
        <v>471.35</v>
      </c>
      <c r="H174" s="228">
        <v>-6.55</v>
      </c>
      <c r="I174" s="229">
        <v>-1.3899999999999999E-2</v>
      </c>
      <c r="J174" s="228">
        <v>462.8</v>
      </c>
      <c r="K174" s="228">
        <v>469.75</v>
      </c>
      <c r="L174" s="228">
        <v>-6.95</v>
      </c>
      <c r="M174" s="229">
        <v>-1.4800000000000001E-2</v>
      </c>
      <c r="N174" s="228">
        <v>464.8</v>
      </c>
      <c r="O174" s="228">
        <v>471.35</v>
      </c>
      <c r="P174" s="228">
        <v>-6.55</v>
      </c>
      <c r="Q174" s="229">
        <v>-1.3899999999999999E-2</v>
      </c>
      <c r="R174" s="228">
        <v>0</v>
      </c>
      <c r="S174" s="228">
        <v>0</v>
      </c>
      <c r="T174" s="228">
        <v>0</v>
      </c>
      <c r="U174" s="229">
        <v>0</v>
      </c>
      <c r="V174" s="228">
        <v>0</v>
      </c>
      <c r="W174" s="228">
        <v>0</v>
      </c>
      <c r="X174" s="228">
        <v>0</v>
      </c>
      <c r="Y174" s="229">
        <v>0</v>
      </c>
      <c r="Z174" s="228">
        <v>2</v>
      </c>
      <c r="AA174" s="228">
        <v>1.6</v>
      </c>
      <c r="AB174" s="228">
        <v>0.4</v>
      </c>
      <c r="AC174" s="229">
        <v>4.3E-3</v>
      </c>
      <c r="AD174" s="228">
        <v>2</v>
      </c>
      <c r="AE174" s="228">
        <v>1.6</v>
      </c>
      <c r="AF174" s="228">
        <v>0.4</v>
      </c>
      <c r="AG174" s="229">
        <v>4.3E-3</v>
      </c>
      <c r="AH174" s="228">
        <v>0</v>
      </c>
      <c r="AI174" s="228">
        <v>0</v>
      </c>
      <c r="AJ174" s="228">
        <v>0</v>
      </c>
      <c r="AK174" s="229">
        <v>0</v>
      </c>
      <c r="AL174" s="228">
        <v>0</v>
      </c>
      <c r="AM174" s="228">
        <v>0</v>
      </c>
      <c r="AN174" s="228">
        <v>0</v>
      </c>
      <c r="AO174" s="229">
        <v>0</v>
      </c>
      <c r="AP174" s="228">
        <v>466.59</v>
      </c>
      <c r="AQ174" s="228">
        <v>0</v>
      </c>
      <c r="AR174" s="228">
        <v>0</v>
      </c>
      <c r="AS174" s="228">
        <v>36</v>
      </c>
      <c r="AT174" s="228">
        <v>65</v>
      </c>
      <c r="AU174" s="228">
        <v>-29</v>
      </c>
      <c r="AV174" s="229">
        <v>-0.44209999999999999</v>
      </c>
      <c r="AW174" s="228">
        <v>36</v>
      </c>
      <c r="AX174" s="228">
        <v>65</v>
      </c>
      <c r="AY174" s="228">
        <v>-29</v>
      </c>
      <c r="AZ174" s="229">
        <v>-0.44209999999999999</v>
      </c>
      <c r="BA174" s="228">
        <v>0</v>
      </c>
      <c r="BB174" s="228">
        <v>0</v>
      </c>
      <c r="BC174" s="228">
        <v>0</v>
      </c>
      <c r="BD174" s="229">
        <v>0</v>
      </c>
      <c r="BE174" s="228">
        <v>0</v>
      </c>
      <c r="BF174" s="228">
        <v>0</v>
      </c>
      <c r="BG174" s="228">
        <v>0</v>
      </c>
      <c r="BH174" s="229">
        <v>0</v>
      </c>
      <c r="BI174" s="228">
        <v>66</v>
      </c>
      <c r="BJ174" s="228">
        <v>96</v>
      </c>
      <c r="BK174" s="228">
        <v>-31</v>
      </c>
      <c r="BL174" s="229">
        <v>-0.31669999999999998</v>
      </c>
      <c r="BM174" s="228">
        <v>47</v>
      </c>
      <c r="BN174" s="228">
        <v>44</v>
      </c>
      <c r="BO174" s="228">
        <v>2</v>
      </c>
      <c r="BP174" s="229">
        <v>4.99E-2</v>
      </c>
      <c r="BQ174" s="228">
        <v>149</v>
      </c>
      <c r="BR174" s="228">
        <v>206</v>
      </c>
      <c r="BS174" s="228">
        <v>-57</v>
      </c>
      <c r="BT174" s="229">
        <v>-0.2772</v>
      </c>
      <c r="BU174" s="230">
        <v>503408</v>
      </c>
      <c r="BV174" s="230">
        <v>789600</v>
      </c>
      <c r="BW174" s="230">
        <v>-286192</v>
      </c>
      <c r="BX174" s="229">
        <v>-0.36249999999999999</v>
      </c>
      <c r="BY174" s="228">
        <v>427</v>
      </c>
      <c r="BZ174" s="228">
        <v>431</v>
      </c>
      <c r="CA174" s="228">
        <v>-4</v>
      </c>
      <c r="CB174" s="229">
        <v>-8.6E-3</v>
      </c>
      <c r="CC174" s="228">
        <v>427</v>
      </c>
      <c r="CD174" s="228">
        <v>431</v>
      </c>
      <c r="CE174" s="228">
        <v>-4</v>
      </c>
      <c r="CF174" s="229">
        <v>-8.6E-3</v>
      </c>
      <c r="CG174" s="228">
        <v>0</v>
      </c>
      <c r="CH174" s="228">
        <v>0</v>
      </c>
      <c r="CI174" s="228">
        <v>0</v>
      </c>
      <c r="CJ174" s="229">
        <v>0</v>
      </c>
      <c r="CK174" s="228">
        <v>0</v>
      </c>
      <c r="CL174" s="228">
        <v>0</v>
      </c>
      <c r="CM174" s="228">
        <v>0</v>
      </c>
      <c r="CN174" s="229">
        <v>0</v>
      </c>
      <c r="CO174" s="228">
        <v>126</v>
      </c>
      <c r="CP174" s="228">
        <v>126</v>
      </c>
      <c r="CQ174" s="228">
        <v>0</v>
      </c>
      <c r="CR174" s="229">
        <v>-5.9999999999999995E-4</v>
      </c>
      <c r="CS174" s="228">
        <v>103</v>
      </c>
      <c r="CT174" s="228">
        <v>107</v>
      </c>
      <c r="CU174" s="228">
        <v>-3</v>
      </c>
      <c r="CV174" s="229">
        <v>-3.1099999999999999E-2</v>
      </c>
      <c r="CW174" s="228">
        <v>657</v>
      </c>
      <c r="CX174" s="228">
        <v>664</v>
      </c>
      <c r="CY174" s="228">
        <v>-7</v>
      </c>
      <c r="CZ174" s="229">
        <v>-1.0699999999999999E-2</v>
      </c>
      <c r="DA174" s="228">
        <v>31.34</v>
      </c>
      <c r="DB174" s="228">
        <v>30.21</v>
      </c>
      <c r="DC174" s="228">
        <v>1.1299999999999999</v>
      </c>
      <c r="DD174" s="228">
        <v>1.1299999999999999</v>
      </c>
      <c r="DE174" s="228">
        <v>44.22</v>
      </c>
      <c r="DF174" s="228">
        <v>44.29</v>
      </c>
      <c r="DG174" s="228">
        <v>-12.88</v>
      </c>
      <c r="DH174" s="228">
        <v>-7.0000000000000007E-2</v>
      </c>
      <c r="DI174" s="228">
        <v>30</v>
      </c>
      <c r="DJ174" s="228">
        <v>29.24</v>
      </c>
      <c r="DK174" s="228">
        <v>0.76</v>
      </c>
      <c r="DL174" s="228">
        <v>0.76</v>
      </c>
      <c r="DM174" s="228">
        <v>33.229999999999997</v>
      </c>
      <c r="DN174" s="228">
        <v>32.31</v>
      </c>
      <c r="DO174" s="228">
        <v>0.92</v>
      </c>
      <c r="DP174" s="228">
        <v>0.92</v>
      </c>
      <c r="DQ174" s="228">
        <v>0.82</v>
      </c>
      <c r="DR174" s="228">
        <v>0.85</v>
      </c>
      <c r="DS174" s="228">
        <v>-0.03</v>
      </c>
      <c r="DT174" s="229">
        <v>-3.5299999999999998E-2</v>
      </c>
      <c r="DU174" s="228">
        <v>470</v>
      </c>
      <c r="DV174" s="228">
        <v>470</v>
      </c>
      <c r="DW174" s="228">
        <v>0.71</v>
      </c>
      <c r="DX174" s="228">
        <v>0.46</v>
      </c>
      <c r="DY174" s="228">
        <v>0.25</v>
      </c>
      <c r="DZ174" s="229">
        <v>0.54349999999999998</v>
      </c>
      <c r="EA174" s="229">
        <v>0</v>
      </c>
      <c r="EB174" s="228">
        <v>0</v>
      </c>
      <c r="EC174" s="229">
        <v>0</v>
      </c>
      <c r="ED174" s="229">
        <v>0</v>
      </c>
      <c r="EE174" s="228">
        <v>0</v>
      </c>
      <c r="EF174" s="229">
        <v>0</v>
      </c>
      <c r="EG174" s="230">
        <v>254279</v>
      </c>
      <c r="EH174" s="230">
        <v>314492</v>
      </c>
      <c r="EI174" s="229">
        <v>-0.1915</v>
      </c>
      <c r="EJ174" s="229">
        <v>0.50509999999999999</v>
      </c>
      <c r="EK174" s="228">
        <v>68.28</v>
      </c>
      <c r="EL174" s="228">
        <v>44.65</v>
      </c>
      <c r="EM174" s="228">
        <v>36.33</v>
      </c>
      <c r="EN174" s="228">
        <v>0</v>
      </c>
      <c r="EO174" s="228">
        <v>149.26</v>
      </c>
      <c r="EP174" s="228">
        <v>209.34</v>
      </c>
      <c r="EQ174" s="228">
        <v>-60.08</v>
      </c>
      <c r="ER174" s="229">
        <v>-0.28699999999999998</v>
      </c>
      <c r="ES174" s="228">
        <v>125.75</v>
      </c>
      <c r="ET174" s="228">
        <v>94.24</v>
      </c>
      <c r="EU174" s="228">
        <v>427.16</v>
      </c>
      <c r="EV174" s="231">
        <v>57468540</v>
      </c>
      <c r="EW174" s="228">
        <v>647.15</v>
      </c>
      <c r="EX174" s="228">
        <v>660</v>
      </c>
      <c r="EY174" s="228">
        <v>-12.85</v>
      </c>
      <c r="EZ174" s="229">
        <v>-1.95E-2</v>
      </c>
      <c r="FA174" s="229">
        <v>0.24590000000000001</v>
      </c>
      <c r="FB174" s="227" t="s">
        <v>568</v>
      </c>
      <c r="FC174">
        <f t="shared" si="3"/>
        <v>0</v>
      </c>
    </row>
    <row r="175" spans="1:159" ht="17.25" thickBot="1" x14ac:dyDescent="0.3">
      <c r="A175" s="226">
        <v>45889</v>
      </c>
      <c r="B175" s="227" t="s">
        <v>161</v>
      </c>
      <c r="C175" s="227" t="s">
        <v>276</v>
      </c>
      <c r="D175" s="228">
        <v>1900</v>
      </c>
      <c r="E175" s="228">
        <v>8</v>
      </c>
      <c r="F175" s="228">
        <v>288.60000000000002</v>
      </c>
      <c r="G175" s="228">
        <v>288.45</v>
      </c>
      <c r="H175" s="228">
        <v>0.15</v>
      </c>
      <c r="I175" s="229">
        <v>5.0000000000000001E-4</v>
      </c>
      <c r="J175" s="228">
        <v>288.39999999999998</v>
      </c>
      <c r="K175" s="228">
        <v>288</v>
      </c>
      <c r="L175" s="228">
        <v>0.4</v>
      </c>
      <c r="M175" s="229">
        <v>1.4E-3</v>
      </c>
      <c r="N175" s="228">
        <v>288.60000000000002</v>
      </c>
      <c r="O175" s="228">
        <v>288.45</v>
      </c>
      <c r="P175" s="228">
        <v>0.15</v>
      </c>
      <c r="Q175" s="229">
        <v>5.0000000000000001E-4</v>
      </c>
      <c r="R175" s="228">
        <v>290.3</v>
      </c>
      <c r="S175" s="228">
        <v>290.10000000000002</v>
      </c>
      <c r="T175" s="228">
        <v>0.2</v>
      </c>
      <c r="U175" s="229">
        <v>6.9999999999999999E-4</v>
      </c>
      <c r="V175" s="228">
        <v>291.45</v>
      </c>
      <c r="W175" s="228">
        <v>291.8</v>
      </c>
      <c r="X175" s="228">
        <v>-0.35</v>
      </c>
      <c r="Y175" s="229">
        <v>-1.1999999999999999E-3</v>
      </c>
      <c r="Z175" s="228">
        <v>0.2</v>
      </c>
      <c r="AA175" s="228">
        <v>0.45</v>
      </c>
      <c r="AB175" s="228">
        <v>-0.25</v>
      </c>
      <c r="AC175" s="229">
        <v>6.9999999999999999E-4</v>
      </c>
      <c r="AD175" s="228">
        <v>0.2</v>
      </c>
      <c r="AE175" s="228">
        <v>0.45</v>
      </c>
      <c r="AF175" s="228">
        <v>-0.25</v>
      </c>
      <c r="AG175" s="229">
        <v>6.9999999999999999E-4</v>
      </c>
      <c r="AH175" s="228">
        <v>1.9</v>
      </c>
      <c r="AI175" s="228">
        <v>2.1</v>
      </c>
      <c r="AJ175" s="228">
        <v>-0.2</v>
      </c>
      <c r="AK175" s="229">
        <v>6.6E-3</v>
      </c>
      <c r="AL175" s="228">
        <v>3.05</v>
      </c>
      <c r="AM175" s="228">
        <v>3.8</v>
      </c>
      <c r="AN175" s="228">
        <v>-0.75</v>
      </c>
      <c r="AO175" s="229">
        <v>1.06E-2</v>
      </c>
      <c r="AP175" s="228">
        <v>288.25</v>
      </c>
      <c r="AQ175" s="228">
        <v>290.2</v>
      </c>
      <c r="AR175" s="228">
        <v>0</v>
      </c>
      <c r="AS175" s="228">
        <v>155</v>
      </c>
      <c r="AT175" s="228">
        <v>143</v>
      </c>
      <c r="AU175" s="228">
        <v>12</v>
      </c>
      <c r="AV175" s="229">
        <v>8.5099999999999995E-2</v>
      </c>
      <c r="AW175" s="228">
        <v>113</v>
      </c>
      <c r="AX175" s="228">
        <v>123</v>
      </c>
      <c r="AY175" s="228">
        <v>-10</v>
      </c>
      <c r="AZ175" s="229">
        <v>-8.0600000000000005E-2</v>
      </c>
      <c r="BA175" s="228">
        <v>38</v>
      </c>
      <c r="BB175" s="228">
        <v>16</v>
      </c>
      <c r="BC175" s="228">
        <v>22</v>
      </c>
      <c r="BD175" s="229">
        <v>1.3254999999999999</v>
      </c>
      <c r="BE175" s="228">
        <v>4</v>
      </c>
      <c r="BF175" s="228">
        <v>4</v>
      </c>
      <c r="BG175" s="228">
        <v>0</v>
      </c>
      <c r="BH175" s="229">
        <v>0.1212</v>
      </c>
      <c r="BI175" s="228">
        <v>316</v>
      </c>
      <c r="BJ175" s="228">
        <v>402</v>
      </c>
      <c r="BK175" s="228">
        <v>-86</v>
      </c>
      <c r="BL175" s="229">
        <v>-0.21490000000000001</v>
      </c>
      <c r="BM175" s="228">
        <v>121</v>
      </c>
      <c r="BN175" s="228">
        <v>180</v>
      </c>
      <c r="BO175" s="228">
        <v>-60</v>
      </c>
      <c r="BP175" s="229">
        <v>-0.33179999999999998</v>
      </c>
      <c r="BQ175" s="228">
        <v>591</v>
      </c>
      <c r="BR175" s="228">
        <v>725</v>
      </c>
      <c r="BS175" s="228">
        <v>-134</v>
      </c>
      <c r="BT175" s="229">
        <v>-0.18479999999999999</v>
      </c>
      <c r="BU175" s="230">
        <v>3208939</v>
      </c>
      <c r="BV175" s="230">
        <v>7439962</v>
      </c>
      <c r="BW175" s="230">
        <v>-4231023</v>
      </c>
      <c r="BX175" s="229">
        <v>-0.56869999999999998</v>
      </c>
      <c r="BY175" s="230">
        <v>2153</v>
      </c>
      <c r="BZ175" s="230">
        <v>2155</v>
      </c>
      <c r="CA175" s="228">
        <v>-2</v>
      </c>
      <c r="CB175" s="229">
        <v>-8.9999999999999998E-4</v>
      </c>
      <c r="CC175" s="230">
        <v>2018</v>
      </c>
      <c r="CD175" s="230">
        <v>2049</v>
      </c>
      <c r="CE175" s="228">
        <v>-30</v>
      </c>
      <c r="CF175" s="229">
        <v>-1.49E-2</v>
      </c>
      <c r="CG175" s="228">
        <v>128</v>
      </c>
      <c r="CH175" s="228">
        <v>101</v>
      </c>
      <c r="CI175" s="228">
        <v>28</v>
      </c>
      <c r="CJ175" s="229">
        <v>0.2752</v>
      </c>
      <c r="CK175" s="228">
        <v>7</v>
      </c>
      <c r="CL175" s="228">
        <v>6</v>
      </c>
      <c r="CM175" s="228">
        <v>1</v>
      </c>
      <c r="CN175" s="229">
        <v>0.14419999999999999</v>
      </c>
      <c r="CO175" s="228">
        <v>624</v>
      </c>
      <c r="CP175" s="228">
        <v>626</v>
      </c>
      <c r="CQ175" s="228">
        <v>-2</v>
      </c>
      <c r="CR175" s="229">
        <v>-3.2000000000000002E-3</v>
      </c>
      <c r="CS175" s="228">
        <v>325</v>
      </c>
      <c r="CT175" s="228">
        <v>314</v>
      </c>
      <c r="CU175" s="228">
        <v>10</v>
      </c>
      <c r="CV175" s="229">
        <v>3.3000000000000002E-2</v>
      </c>
      <c r="CW175" s="230">
        <v>3102</v>
      </c>
      <c r="CX175" s="230">
        <v>3096</v>
      </c>
      <c r="CY175" s="228">
        <v>6</v>
      </c>
      <c r="CZ175" s="229">
        <v>2.0999999999999999E-3</v>
      </c>
      <c r="DA175" s="228">
        <v>18.079999999999998</v>
      </c>
      <c r="DB175" s="228">
        <v>18.72</v>
      </c>
      <c r="DC175" s="228">
        <v>-0.64</v>
      </c>
      <c r="DD175" s="228">
        <v>-0.64</v>
      </c>
      <c r="DE175" s="228">
        <v>30.58</v>
      </c>
      <c r="DF175" s="228">
        <v>30.65</v>
      </c>
      <c r="DG175" s="228">
        <v>-12.5</v>
      </c>
      <c r="DH175" s="228">
        <v>-7.0000000000000007E-2</v>
      </c>
      <c r="DI175" s="228">
        <v>18.3</v>
      </c>
      <c r="DJ175" s="228">
        <v>18.899999999999999</v>
      </c>
      <c r="DK175" s="228">
        <v>-0.6</v>
      </c>
      <c r="DL175" s="228">
        <v>-0.6</v>
      </c>
      <c r="DM175" s="228">
        <v>17.510000000000002</v>
      </c>
      <c r="DN175" s="228">
        <v>18.309999999999999</v>
      </c>
      <c r="DO175" s="228">
        <v>-0.8</v>
      </c>
      <c r="DP175" s="228">
        <v>-0.8</v>
      </c>
      <c r="DQ175" s="228">
        <v>0.52</v>
      </c>
      <c r="DR175" s="228">
        <v>0.5</v>
      </c>
      <c r="DS175" s="228">
        <v>0.02</v>
      </c>
      <c r="DT175" s="229">
        <v>0.04</v>
      </c>
      <c r="DU175" s="228">
        <v>300</v>
      </c>
      <c r="DV175" s="228">
        <v>280</v>
      </c>
      <c r="DW175" s="228">
        <v>0.38</v>
      </c>
      <c r="DX175" s="228">
        <v>0.45</v>
      </c>
      <c r="DY175" s="228">
        <v>-7.0000000000000007E-2</v>
      </c>
      <c r="DZ175" s="229">
        <v>-0.15559999999999999</v>
      </c>
      <c r="EA175" s="229">
        <v>6.2600000000000003E-2</v>
      </c>
      <c r="EB175" s="230">
        <v>3684100</v>
      </c>
      <c r="EC175" s="229">
        <v>5.8999999999999999E-3</v>
      </c>
      <c r="ED175" s="229">
        <v>6.2600000000000003E-2</v>
      </c>
      <c r="EE175" s="228">
        <v>1.95</v>
      </c>
      <c r="EF175" s="229">
        <v>6.7999999999999996E-3</v>
      </c>
      <c r="EG175" s="230">
        <v>1812195</v>
      </c>
      <c r="EH175" s="230">
        <v>5560406</v>
      </c>
      <c r="EI175" s="229">
        <v>-0.67410000000000003</v>
      </c>
      <c r="EJ175" s="229">
        <v>0.56469999999999998</v>
      </c>
      <c r="EK175" s="228">
        <v>322.74</v>
      </c>
      <c r="EL175" s="228">
        <v>120.32</v>
      </c>
      <c r="EM175" s="228">
        <v>155.34</v>
      </c>
      <c r="EN175" s="228">
        <v>0</v>
      </c>
      <c r="EO175" s="228">
        <v>598.4</v>
      </c>
      <c r="EP175" s="228">
        <v>738.02</v>
      </c>
      <c r="EQ175" s="228">
        <v>-139.62</v>
      </c>
      <c r="ER175" s="229">
        <v>-0.18920000000000001</v>
      </c>
      <c r="ES175" s="228">
        <v>648.21</v>
      </c>
      <c r="ET175" s="228">
        <v>326.33999999999997</v>
      </c>
      <c r="EU175" s="231">
        <v>2154.1</v>
      </c>
      <c r="EV175" s="231">
        <v>905143907</v>
      </c>
      <c r="EW175" s="231">
        <v>3128.65</v>
      </c>
      <c r="EX175" s="231">
        <v>3121.54</v>
      </c>
      <c r="EY175" s="228">
        <v>7.11</v>
      </c>
      <c r="EZ175" s="229">
        <v>2.3E-3</v>
      </c>
      <c r="FA175" s="229">
        <v>0.1188</v>
      </c>
      <c r="FB175" s="227" t="s">
        <v>556</v>
      </c>
      <c r="FC175">
        <f t="shared" si="3"/>
        <v>0</v>
      </c>
    </row>
    <row r="176" spans="1:159" ht="17.25" thickBot="1" x14ac:dyDescent="0.3">
      <c r="A176" s="226">
        <v>45889</v>
      </c>
      <c r="B176" s="227" t="s">
        <v>170</v>
      </c>
      <c r="C176" s="227" t="s">
        <v>680</v>
      </c>
      <c r="D176" s="228">
        <v>2500</v>
      </c>
      <c r="E176" s="228">
        <v>8</v>
      </c>
      <c r="F176" s="228">
        <v>192.09</v>
      </c>
      <c r="G176" s="228">
        <v>195.1</v>
      </c>
      <c r="H176" s="228">
        <v>-3.01</v>
      </c>
      <c r="I176" s="229">
        <v>-1.54E-2</v>
      </c>
      <c r="J176" s="228">
        <v>191.79</v>
      </c>
      <c r="K176" s="228">
        <v>194.21</v>
      </c>
      <c r="L176" s="228">
        <v>-2.42</v>
      </c>
      <c r="M176" s="229">
        <v>-1.2500000000000001E-2</v>
      </c>
      <c r="N176" s="228">
        <v>192.09</v>
      </c>
      <c r="O176" s="228">
        <v>195.1</v>
      </c>
      <c r="P176" s="228">
        <v>-3.01</v>
      </c>
      <c r="Q176" s="229">
        <v>-1.54E-2</v>
      </c>
      <c r="R176" s="228">
        <v>193.29</v>
      </c>
      <c r="S176" s="228">
        <v>195.94</v>
      </c>
      <c r="T176" s="228">
        <v>-2.65</v>
      </c>
      <c r="U176" s="229">
        <v>-1.35E-2</v>
      </c>
      <c r="V176" s="228">
        <v>194.32</v>
      </c>
      <c r="W176" s="228">
        <v>197.94</v>
      </c>
      <c r="X176" s="228">
        <v>-3.62</v>
      </c>
      <c r="Y176" s="229">
        <v>-1.83E-2</v>
      </c>
      <c r="Z176" s="228">
        <v>0.3</v>
      </c>
      <c r="AA176" s="228">
        <v>0.89</v>
      </c>
      <c r="AB176" s="228">
        <v>-0.59</v>
      </c>
      <c r="AC176" s="229">
        <v>1.6000000000000001E-3</v>
      </c>
      <c r="AD176" s="228">
        <v>0.3</v>
      </c>
      <c r="AE176" s="228">
        <v>0.89</v>
      </c>
      <c r="AF176" s="228">
        <v>-0.59</v>
      </c>
      <c r="AG176" s="229">
        <v>1.6000000000000001E-3</v>
      </c>
      <c r="AH176" s="228">
        <v>1.5</v>
      </c>
      <c r="AI176" s="228">
        <v>1.73</v>
      </c>
      <c r="AJ176" s="228">
        <v>-0.23</v>
      </c>
      <c r="AK176" s="229">
        <v>7.7999999999999996E-3</v>
      </c>
      <c r="AL176" s="228">
        <v>2.5299999999999998</v>
      </c>
      <c r="AM176" s="228">
        <v>3.73</v>
      </c>
      <c r="AN176" s="228">
        <v>-1.2</v>
      </c>
      <c r="AO176" s="229">
        <v>1.32E-2</v>
      </c>
      <c r="AP176" s="228">
        <v>192.68</v>
      </c>
      <c r="AQ176" s="228">
        <v>193.82</v>
      </c>
      <c r="AR176" s="228">
        <v>0</v>
      </c>
      <c r="AS176" s="228">
        <v>50</v>
      </c>
      <c r="AT176" s="228">
        <v>56</v>
      </c>
      <c r="AU176" s="228">
        <v>-6</v>
      </c>
      <c r="AV176" s="229">
        <v>-0.1072</v>
      </c>
      <c r="AW176" s="228">
        <v>41</v>
      </c>
      <c r="AX176" s="228">
        <v>46</v>
      </c>
      <c r="AY176" s="228">
        <v>-5</v>
      </c>
      <c r="AZ176" s="229">
        <v>-0.1176</v>
      </c>
      <c r="BA176" s="228">
        <v>9</v>
      </c>
      <c r="BB176" s="228">
        <v>10</v>
      </c>
      <c r="BC176" s="228">
        <v>-1</v>
      </c>
      <c r="BD176" s="229">
        <v>-0.10050000000000001</v>
      </c>
      <c r="BE176" s="228">
        <v>1</v>
      </c>
      <c r="BF176" s="228">
        <v>0</v>
      </c>
      <c r="BG176" s="228">
        <v>0</v>
      </c>
      <c r="BH176" s="229">
        <v>1.3332999999999999</v>
      </c>
      <c r="BI176" s="228">
        <v>84</v>
      </c>
      <c r="BJ176" s="228">
        <v>136</v>
      </c>
      <c r="BK176" s="228">
        <v>-53</v>
      </c>
      <c r="BL176" s="229">
        <v>-0.38719999999999999</v>
      </c>
      <c r="BM176" s="228">
        <v>47</v>
      </c>
      <c r="BN176" s="228">
        <v>46</v>
      </c>
      <c r="BO176" s="228">
        <v>1</v>
      </c>
      <c r="BP176" s="229">
        <v>2.4899999999999999E-2</v>
      </c>
      <c r="BQ176" s="228">
        <v>181</v>
      </c>
      <c r="BR176" s="228">
        <v>239</v>
      </c>
      <c r="BS176" s="228">
        <v>-58</v>
      </c>
      <c r="BT176" s="229">
        <v>-0.24160000000000001</v>
      </c>
      <c r="BU176" s="230">
        <v>1825052</v>
      </c>
      <c r="BV176" s="230">
        <v>2018424</v>
      </c>
      <c r="BW176" s="230">
        <v>-193372</v>
      </c>
      <c r="BX176" s="229">
        <v>-9.5799999999999996E-2</v>
      </c>
      <c r="BY176" s="228">
        <v>248</v>
      </c>
      <c r="BZ176" s="228">
        <v>247</v>
      </c>
      <c r="CA176" s="228">
        <v>1</v>
      </c>
      <c r="CB176" s="229">
        <v>4.1000000000000003E-3</v>
      </c>
      <c r="CC176" s="228">
        <v>224</v>
      </c>
      <c r="CD176" s="228">
        <v>227</v>
      </c>
      <c r="CE176" s="228">
        <v>-3</v>
      </c>
      <c r="CF176" s="229">
        <v>-1.12E-2</v>
      </c>
      <c r="CG176" s="228">
        <v>21</v>
      </c>
      <c r="CH176" s="228">
        <v>18</v>
      </c>
      <c r="CI176" s="228">
        <v>3</v>
      </c>
      <c r="CJ176" s="229">
        <v>0.1774</v>
      </c>
      <c r="CK176" s="228">
        <v>2</v>
      </c>
      <c r="CL176" s="228">
        <v>2</v>
      </c>
      <c r="CM176" s="228">
        <v>0</v>
      </c>
      <c r="CN176" s="229">
        <v>0.186</v>
      </c>
      <c r="CO176" s="228">
        <v>146</v>
      </c>
      <c r="CP176" s="228">
        <v>147</v>
      </c>
      <c r="CQ176" s="228">
        <v>-1</v>
      </c>
      <c r="CR176" s="229">
        <v>-8.8000000000000005E-3</v>
      </c>
      <c r="CS176" s="228">
        <v>88</v>
      </c>
      <c r="CT176" s="228">
        <v>85</v>
      </c>
      <c r="CU176" s="228">
        <v>3</v>
      </c>
      <c r="CV176" s="229">
        <v>3.4500000000000003E-2</v>
      </c>
      <c r="CW176" s="228">
        <v>481</v>
      </c>
      <c r="CX176" s="228">
        <v>478</v>
      </c>
      <c r="CY176" s="228">
        <v>3</v>
      </c>
      <c r="CZ176" s="229">
        <v>5.4999999999999997E-3</v>
      </c>
      <c r="DA176" s="228">
        <v>36.79</v>
      </c>
      <c r="DB176" s="228">
        <v>36.25</v>
      </c>
      <c r="DC176" s="228">
        <v>0.54</v>
      </c>
      <c r="DD176" s="228">
        <v>0.54</v>
      </c>
      <c r="DE176" s="228">
        <v>48.61</v>
      </c>
      <c r="DF176" s="228">
        <v>48.68</v>
      </c>
      <c r="DG176" s="228">
        <v>-11.82</v>
      </c>
      <c r="DH176" s="228">
        <v>-7.0000000000000007E-2</v>
      </c>
      <c r="DI176" s="228">
        <v>38.25</v>
      </c>
      <c r="DJ176" s="228">
        <v>36.08</v>
      </c>
      <c r="DK176" s="228">
        <v>2.17</v>
      </c>
      <c r="DL176" s="228">
        <v>2.17</v>
      </c>
      <c r="DM176" s="228">
        <v>34.21</v>
      </c>
      <c r="DN176" s="228">
        <v>36.75</v>
      </c>
      <c r="DO176" s="228">
        <v>-2.54</v>
      </c>
      <c r="DP176" s="228">
        <v>-2.54</v>
      </c>
      <c r="DQ176" s="228">
        <v>0.6</v>
      </c>
      <c r="DR176" s="228">
        <v>0.57999999999999996</v>
      </c>
      <c r="DS176" s="228">
        <v>0.02</v>
      </c>
      <c r="DT176" s="229">
        <v>3.4500000000000003E-2</v>
      </c>
      <c r="DU176" s="228">
        <v>200</v>
      </c>
      <c r="DV176" s="228">
        <v>190</v>
      </c>
      <c r="DW176" s="228">
        <v>0.56999999999999995</v>
      </c>
      <c r="DX176" s="228">
        <v>0.34</v>
      </c>
      <c r="DY176" s="228">
        <v>0.23</v>
      </c>
      <c r="DZ176" s="229">
        <v>0.67649999999999999</v>
      </c>
      <c r="EA176" s="229">
        <v>9.4799999999999995E-2</v>
      </c>
      <c r="EB176" s="230">
        <v>1037500</v>
      </c>
      <c r="EC176" s="229">
        <v>6.1999999999999998E-3</v>
      </c>
      <c r="ED176" s="229">
        <v>9.4799999999999995E-2</v>
      </c>
      <c r="EE176" s="228">
        <v>1.1399999999999999</v>
      </c>
      <c r="EF176" s="229">
        <v>5.8999999999999999E-3</v>
      </c>
      <c r="EG176" s="230">
        <v>846713</v>
      </c>
      <c r="EH176" s="230">
        <v>959866</v>
      </c>
      <c r="EI176" s="229">
        <v>-0.1179</v>
      </c>
      <c r="EJ176" s="229">
        <v>0.46389999999999998</v>
      </c>
      <c r="EK176" s="228">
        <v>88.21</v>
      </c>
      <c r="EL176" s="228">
        <v>48.69</v>
      </c>
      <c r="EM176" s="228">
        <v>50.2</v>
      </c>
      <c r="EN176" s="228">
        <v>0</v>
      </c>
      <c r="EO176" s="228">
        <v>187.1</v>
      </c>
      <c r="EP176" s="228">
        <v>247.72</v>
      </c>
      <c r="EQ176" s="228">
        <v>-60.63</v>
      </c>
      <c r="ER176" s="229">
        <v>-0.2447</v>
      </c>
      <c r="ES176" s="228">
        <v>156.91999999999999</v>
      </c>
      <c r="ET176" s="228">
        <v>87.48</v>
      </c>
      <c r="EU176" s="228">
        <v>247.76</v>
      </c>
      <c r="EV176" s="231">
        <v>171670855</v>
      </c>
      <c r="EW176" s="228">
        <v>492.16</v>
      </c>
      <c r="EX176" s="228">
        <v>494.55</v>
      </c>
      <c r="EY176" s="228">
        <v>-2.39</v>
      </c>
      <c r="EZ176" s="229">
        <v>-4.7999999999999996E-3</v>
      </c>
      <c r="FA176" s="229">
        <v>0.1459</v>
      </c>
      <c r="FB176" s="227" t="s">
        <v>567</v>
      </c>
      <c r="FC176">
        <f t="shared" si="3"/>
        <v>0</v>
      </c>
    </row>
    <row r="177" spans="1:159" ht="17.25" thickBot="1" x14ac:dyDescent="0.3">
      <c r="A177" s="226">
        <v>45889</v>
      </c>
      <c r="B177" s="227" t="s">
        <v>206</v>
      </c>
      <c r="C177" s="227" t="s">
        <v>606</v>
      </c>
      <c r="D177" s="228">
        <v>450</v>
      </c>
      <c r="E177" s="228">
        <v>8</v>
      </c>
      <c r="F177" s="231">
        <v>1632.7</v>
      </c>
      <c r="G177" s="231">
        <v>1637.6</v>
      </c>
      <c r="H177" s="228">
        <v>-4.9000000000000004</v>
      </c>
      <c r="I177" s="229">
        <v>-3.0000000000000001E-3</v>
      </c>
      <c r="J177" s="231">
        <v>1626.6</v>
      </c>
      <c r="K177" s="231">
        <v>1636.4</v>
      </c>
      <c r="L177" s="228">
        <v>-9.8000000000000007</v>
      </c>
      <c r="M177" s="229">
        <v>-6.0000000000000001E-3</v>
      </c>
      <c r="N177" s="231">
        <v>1632.7</v>
      </c>
      <c r="O177" s="231">
        <v>1637.6</v>
      </c>
      <c r="P177" s="228">
        <v>-4.9000000000000004</v>
      </c>
      <c r="Q177" s="229">
        <v>-3.0000000000000001E-3</v>
      </c>
      <c r="R177" s="231">
        <v>1639.5</v>
      </c>
      <c r="S177" s="231">
        <v>1646.8</v>
      </c>
      <c r="T177" s="228">
        <v>-7.3</v>
      </c>
      <c r="U177" s="229">
        <v>-4.4000000000000003E-3</v>
      </c>
      <c r="V177" s="231">
        <v>1646</v>
      </c>
      <c r="W177" s="231">
        <v>1651.6</v>
      </c>
      <c r="X177" s="228">
        <v>-5.6</v>
      </c>
      <c r="Y177" s="229">
        <v>-3.3999999999999998E-3</v>
      </c>
      <c r="Z177" s="228">
        <v>6.1</v>
      </c>
      <c r="AA177" s="228">
        <v>1.2</v>
      </c>
      <c r="AB177" s="228">
        <v>4.9000000000000004</v>
      </c>
      <c r="AC177" s="229">
        <v>3.8E-3</v>
      </c>
      <c r="AD177" s="228">
        <v>6.1</v>
      </c>
      <c r="AE177" s="228">
        <v>1.2</v>
      </c>
      <c r="AF177" s="228">
        <v>4.9000000000000004</v>
      </c>
      <c r="AG177" s="229">
        <v>3.8E-3</v>
      </c>
      <c r="AH177" s="228">
        <v>12.9</v>
      </c>
      <c r="AI177" s="228">
        <v>10.4</v>
      </c>
      <c r="AJ177" s="228">
        <v>2.5</v>
      </c>
      <c r="AK177" s="229">
        <v>7.9000000000000008E-3</v>
      </c>
      <c r="AL177" s="228">
        <v>19.399999999999999</v>
      </c>
      <c r="AM177" s="228">
        <v>15.2</v>
      </c>
      <c r="AN177" s="228">
        <v>4.2</v>
      </c>
      <c r="AO177" s="229">
        <v>1.1900000000000001E-2</v>
      </c>
      <c r="AP177" s="231">
        <v>1628.57</v>
      </c>
      <c r="AQ177" s="231">
        <v>1636.58</v>
      </c>
      <c r="AR177" s="228">
        <v>0</v>
      </c>
      <c r="AS177" s="228">
        <v>144</v>
      </c>
      <c r="AT177" s="228">
        <v>135</v>
      </c>
      <c r="AU177" s="228">
        <v>8</v>
      </c>
      <c r="AV177" s="229">
        <v>6.25E-2</v>
      </c>
      <c r="AW177" s="228">
        <v>118</v>
      </c>
      <c r="AX177" s="228">
        <v>126</v>
      </c>
      <c r="AY177" s="228">
        <v>-8</v>
      </c>
      <c r="AZ177" s="229">
        <v>-6.4799999999999996E-2</v>
      </c>
      <c r="BA177" s="228">
        <v>26</v>
      </c>
      <c r="BB177" s="228">
        <v>9</v>
      </c>
      <c r="BC177" s="228">
        <v>17</v>
      </c>
      <c r="BD177" s="229">
        <v>1.7937000000000001</v>
      </c>
      <c r="BE177" s="228">
        <v>0</v>
      </c>
      <c r="BF177" s="228">
        <v>0</v>
      </c>
      <c r="BG177" s="228">
        <v>0</v>
      </c>
      <c r="BH177" s="229">
        <v>0</v>
      </c>
      <c r="BI177" s="228">
        <v>229</v>
      </c>
      <c r="BJ177" s="228">
        <v>267</v>
      </c>
      <c r="BK177" s="228">
        <v>-38</v>
      </c>
      <c r="BL177" s="229">
        <v>-0.1416</v>
      </c>
      <c r="BM177" s="228">
        <v>64</v>
      </c>
      <c r="BN177" s="228">
        <v>251</v>
      </c>
      <c r="BO177" s="228">
        <v>-186</v>
      </c>
      <c r="BP177" s="229">
        <v>-0.74329999999999996</v>
      </c>
      <c r="BQ177" s="228">
        <v>437</v>
      </c>
      <c r="BR177" s="228">
        <v>653</v>
      </c>
      <c r="BS177" s="228">
        <v>-216</v>
      </c>
      <c r="BT177" s="229">
        <v>-0.33029999999999998</v>
      </c>
      <c r="BU177" s="230">
        <v>632458</v>
      </c>
      <c r="BV177" s="230">
        <v>258061</v>
      </c>
      <c r="BW177" s="230">
        <v>374397</v>
      </c>
      <c r="BX177" s="229">
        <v>1.4508000000000001</v>
      </c>
      <c r="BY177" s="228">
        <v>852</v>
      </c>
      <c r="BZ177" s="228">
        <v>832</v>
      </c>
      <c r="CA177" s="228">
        <v>20</v>
      </c>
      <c r="CB177" s="229">
        <v>2.3800000000000002E-2</v>
      </c>
      <c r="CC177" s="228">
        <v>821</v>
      </c>
      <c r="CD177" s="228">
        <v>812</v>
      </c>
      <c r="CE177" s="228">
        <v>9</v>
      </c>
      <c r="CF177" s="229">
        <v>1.12E-2</v>
      </c>
      <c r="CG177" s="228">
        <v>30</v>
      </c>
      <c r="CH177" s="228">
        <v>20</v>
      </c>
      <c r="CI177" s="228">
        <v>11</v>
      </c>
      <c r="CJ177" s="229">
        <v>0.54890000000000005</v>
      </c>
      <c r="CK177" s="228">
        <v>1</v>
      </c>
      <c r="CL177" s="228">
        <v>1</v>
      </c>
      <c r="CM177" s="228">
        <v>0</v>
      </c>
      <c r="CN177" s="229">
        <v>0</v>
      </c>
      <c r="CO177" s="228">
        <v>340</v>
      </c>
      <c r="CP177" s="228">
        <v>337</v>
      </c>
      <c r="CQ177" s="228">
        <v>3</v>
      </c>
      <c r="CR177" s="229">
        <v>8.0999999999999996E-3</v>
      </c>
      <c r="CS177" s="228">
        <v>150</v>
      </c>
      <c r="CT177" s="228">
        <v>152</v>
      </c>
      <c r="CU177" s="228">
        <v>-3</v>
      </c>
      <c r="CV177" s="229">
        <v>-1.8800000000000001E-2</v>
      </c>
      <c r="CW177" s="230">
        <v>1341</v>
      </c>
      <c r="CX177" s="230">
        <v>1322</v>
      </c>
      <c r="CY177" s="228">
        <v>20</v>
      </c>
      <c r="CZ177" s="229">
        <v>1.49E-2</v>
      </c>
      <c r="DA177" s="228">
        <v>33.82</v>
      </c>
      <c r="DB177" s="228">
        <v>33.5</v>
      </c>
      <c r="DC177" s="228">
        <v>0.32</v>
      </c>
      <c r="DD177" s="228">
        <v>0.32</v>
      </c>
      <c r="DE177" s="228">
        <v>49.75</v>
      </c>
      <c r="DF177" s="228">
        <v>49.87</v>
      </c>
      <c r="DG177" s="228">
        <v>-15.93</v>
      </c>
      <c r="DH177" s="228">
        <v>-0.12</v>
      </c>
      <c r="DI177" s="228">
        <v>33.630000000000003</v>
      </c>
      <c r="DJ177" s="228">
        <v>34.299999999999997</v>
      </c>
      <c r="DK177" s="228">
        <v>-0.67</v>
      </c>
      <c r="DL177" s="228">
        <v>-0.67</v>
      </c>
      <c r="DM177" s="228">
        <v>34.51</v>
      </c>
      <c r="DN177" s="228">
        <v>32.65</v>
      </c>
      <c r="DO177" s="228">
        <v>1.86</v>
      </c>
      <c r="DP177" s="228">
        <v>1.86</v>
      </c>
      <c r="DQ177" s="228">
        <v>0.44</v>
      </c>
      <c r="DR177" s="228">
        <v>0.45</v>
      </c>
      <c r="DS177" s="228">
        <v>-0.01</v>
      </c>
      <c r="DT177" s="229">
        <v>-2.2200000000000001E-2</v>
      </c>
      <c r="DU177" s="231">
        <v>1800</v>
      </c>
      <c r="DV177" s="231">
        <v>1600</v>
      </c>
      <c r="DW177" s="228">
        <v>0.28000000000000003</v>
      </c>
      <c r="DX177" s="228">
        <v>0.94</v>
      </c>
      <c r="DY177" s="228">
        <v>-0.66</v>
      </c>
      <c r="DZ177" s="229">
        <v>-0.70209999999999995</v>
      </c>
      <c r="EA177" s="229">
        <v>3.6200000000000003E-2</v>
      </c>
      <c r="EB177" s="230">
        <v>123300</v>
      </c>
      <c r="EC177" s="229">
        <v>4.1999999999999997E-3</v>
      </c>
      <c r="ED177" s="229">
        <v>3.6200000000000003E-2</v>
      </c>
      <c r="EE177" s="228">
        <v>8.01</v>
      </c>
      <c r="EF177" s="229">
        <v>4.8999999999999998E-3</v>
      </c>
      <c r="EG177" s="230">
        <v>385154</v>
      </c>
      <c r="EH177" s="230">
        <v>81656</v>
      </c>
      <c r="EI177" s="229">
        <v>3.7168000000000001</v>
      </c>
      <c r="EJ177" s="229">
        <v>0.60899999999999999</v>
      </c>
      <c r="EK177" s="228">
        <v>238.91</v>
      </c>
      <c r="EL177" s="228">
        <v>62.55</v>
      </c>
      <c r="EM177" s="228">
        <v>143.4</v>
      </c>
      <c r="EN177" s="228">
        <v>0</v>
      </c>
      <c r="EO177" s="228">
        <v>444.86</v>
      </c>
      <c r="EP177" s="228">
        <v>663.92</v>
      </c>
      <c r="EQ177" s="228">
        <v>-219.05</v>
      </c>
      <c r="ER177" s="229">
        <v>-0.32990000000000003</v>
      </c>
      <c r="ES177" s="228">
        <v>369.88</v>
      </c>
      <c r="ET177" s="228">
        <v>145.36000000000001</v>
      </c>
      <c r="EU177" s="228">
        <v>851.74</v>
      </c>
      <c r="EV177" s="231">
        <v>33646046</v>
      </c>
      <c r="EW177" s="231">
        <v>1366.98</v>
      </c>
      <c r="EX177" s="231">
        <v>1349.38</v>
      </c>
      <c r="EY177" s="228">
        <v>17.600000000000001</v>
      </c>
      <c r="EZ177" s="229">
        <v>1.2999999999999999E-2</v>
      </c>
      <c r="FA177" s="229">
        <v>0.2442</v>
      </c>
      <c r="FB177" s="227" t="s">
        <v>567</v>
      </c>
      <c r="FC177">
        <f t="shared" si="3"/>
        <v>0</v>
      </c>
    </row>
    <row r="178" spans="1:159" ht="17.25" thickBot="1" x14ac:dyDescent="0.3">
      <c r="A178" s="226">
        <v>45889</v>
      </c>
      <c r="B178" s="227" t="s">
        <v>172</v>
      </c>
      <c r="C178" s="227" t="s">
        <v>279</v>
      </c>
      <c r="D178" s="228">
        <v>3175</v>
      </c>
      <c r="E178" s="228">
        <v>8</v>
      </c>
      <c r="F178" s="228">
        <v>256.85000000000002</v>
      </c>
      <c r="G178" s="228">
        <v>261.95</v>
      </c>
      <c r="H178" s="228">
        <v>-5.0999999999999996</v>
      </c>
      <c r="I178" s="229">
        <v>-1.95E-2</v>
      </c>
      <c r="J178" s="228">
        <v>256.60000000000002</v>
      </c>
      <c r="K178" s="228">
        <v>261.75</v>
      </c>
      <c r="L178" s="228">
        <v>-5.15</v>
      </c>
      <c r="M178" s="229">
        <v>-1.9699999999999999E-2</v>
      </c>
      <c r="N178" s="228">
        <v>256.85000000000002</v>
      </c>
      <c r="O178" s="228">
        <v>261.95</v>
      </c>
      <c r="P178" s="228">
        <v>-5.0999999999999996</v>
      </c>
      <c r="Q178" s="229">
        <v>-1.95E-2</v>
      </c>
      <c r="R178" s="228">
        <v>256.35000000000002</v>
      </c>
      <c r="S178" s="228">
        <v>262.60000000000002</v>
      </c>
      <c r="T178" s="228">
        <v>-6.25</v>
      </c>
      <c r="U178" s="229">
        <v>-2.3800000000000002E-2</v>
      </c>
      <c r="V178" s="228">
        <v>256.45</v>
      </c>
      <c r="W178" s="228">
        <v>256.45</v>
      </c>
      <c r="X178" s="228">
        <v>0</v>
      </c>
      <c r="Y178" s="229">
        <v>0</v>
      </c>
      <c r="Z178" s="228">
        <v>0.25</v>
      </c>
      <c r="AA178" s="228">
        <v>0.2</v>
      </c>
      <c r="AB178" s="228">
        <v>0.05</v>
      </c>
      <c r="AC178" s="229">
        <v>1E-3</v>
      </c>
      <c r="AD178" s="228">
        <v>0.25</v>
      </c>
      <c r="AE178" s="228">
        <v>0.2</v>
      </c>
      <c r="AF178" s="228">
        <v>0.05</v>
      </c>
      <c r="AG178" s="229">
        <v>1E-3</v>
      </c>
      <c r="AH178" s="228">
        <v>-0.25</v>
      </c>
      <c r="AI178" s="228">
        <v>0.85</v>
      </c>
      <c r="AJ178" s="228">
        <v>-1.1000000000000001</v>
      </c>
      <c r="AK178" s="229">
        <v>-1E-3</v>
      </c>
      <c r="AL178" s="228">
        <v>-0.15</v>
      </c>
      <c r="AM178" s="228">
        <v>-5.3</v>
      </c>
      <c r="AN178" s="228">
        <v>5.15</v>
      </c>
      <c r="AO178" s="229">
        <v>-5.9999999999999995E-4</v>
      </c>
      <c r="AP178" s="228">
        <v>257.17</v>
      </c>
      <c r="AQ178" s="228">
        <v>258.70999999999998</v>
      </c>
      <c r="AR178" s="228">
        <v>0</v>
      </c>
      <c r="AS178" s="228">
        <v>26</v>
      </c>
      <c r="AT178" s="228">
        <v>27</v>
      </c>
      <c r="AU178" s="228">
        <v>-2</v>
      </c>
      <c r="AV178" s="229">
        <v>-6.5699999999999995E-2</v>
      </c>
      <c r="AW178" s="228">
        <v>24</v>
      </c>
      <c r="AX178" s="228">
        <v>23</v>
      </c>
      <c r="AY178" s="228">
        <v>1</v>
      </c>
      <c r="AZ178" s="229">
        <v>3.56E-2</v>
      </c>
      <c r="BA178" s="228">
        <v>2</v>
      </c>
      <c r="BB178" s="228">
        <v>4</v>
      </c>
      <c r="BC178" s="228">
        <v>-3</v>
      </c>
      <c r="BD178" s="229">
        <v>-0.59260000000000002</v>
      </c>
      <c r="BE178" s="228">
        <v>0</v>
      </c>
      <c r="BF178" s="228">
        <v>0</v>
      </c>
      <c r="BG178" s="228">
        <v>0</v>
      </c>
      <c r="BH178" s="229">
        <v>0</v>
      </c>
      <c r="BI178" s="228">
        <v>11</v>
      </c>
      <c r="BJ178" s="228">
        <v>9</v>
      </c>
      <c r="BK178" s="228">
        <v>3</v>
      </c>
      <c r="BL178" s="229">
        <v>0.3019</v>
      </c>
      <c r="BM178" s="228">
        <v>2</v>
      </c>
      <c r="BN178" s="228">
        <v>2</v>
      </c>
      <c r="BO178" s="228">
        <v>0</v>
      </c>
      <c r="BP178" s="229">
        <v>-0.1071</v>
      </c>
      <c r="BQ178" s="228">
        <v>39</v>
      </c>
      <c r="BR178" s="228">
        <v>38</v>
      </c>
      <c r="BS178" s="228">
        <v>1</v>
      </c>
      <c r="BT178" s="229">
        <v>1.49E-2</v>
      </c>
      <c r="BU178" s="230">
        <v>3851864</v>
      </c>
      <c r="BV178" s="230">
        <v>4878376</v>
      </c>
      <c r="BW178" s="230">
        <v>-1026512</v>
      </c>
      <c r="BX178" s="229">
        <v>-0.2104</v>
      </c>
      <c r="BY178" s="230">
        <v>2317</v>
      </c>
      <c r="BZ178" s="230">
        <v>2342</v>
      </c>
      <c r="CA178" s="228">
        <v>-26</v>
      </c>
      <c r="CB178" s="229">
        <v>-1.09E-2</v>
      </c>
      <c r="CC178" s="230">
        <v>2180</v>
      </c>
      <c r="CD178" s="230">
        <v>2204</v>
      </c>
      <c r="CE178" s="228">
        <v>-24</v>
      </c>
      <c r="CF178" s="229">
        <v>-1.0800000000000001E-2</v>
      </c>
      <c r="CG178" s="228">
        <v>133</v>
      </c>
      <c r="CH178" s="228">
        <v>135</v>
      </c>
      <c r="CI178" s="228">
        <v>-2</v>
      </c>
      <c r="CJ178" s="229">
        <v>-1.3299999999999999E-2</v>
      </c>
      <c r="CK178" s="228">
        <v>3</v>
      </c>
      <c r="CL178" s="228">
        <v>3</v>
      </c>
      <c r="CM178" s="228">
        <v>0</v>
      </c>
      <c r="CN178" s="229">
        <v>0</v>
      </c>
      <c r="CO178" s="228">
        <v>481</v>
      </c>
      <c r="CP178" s="228">
        <v>492</v>
      </c>
      <c r="CQ178" s="228">
        <v>-11</v>
      </c>
      <c r="CR178" s="229">
        <v>-2.29E-2</v>
      </c>
      <c r="CS178" s="228">
        <v>263</v>
      </c>
      <c r="CT178" s="228">
        <v>265</v>
      </c>
      <c r="CU178" s="228">
        <v>-2</v>
      </c>
      <c r="CV178" s="229">
        <v>-7.7000000000000002E-3</v>
      </c>
      <c r="CW178" s="230">
        <v>3061</v>
      </c>
      <c r="CX178" s="230">
        <v>3100</v>
      </c>
      <c r="CY178" s="228">
        <v>-39</v>
      </c>
      <c r="CZ178" s="229">
        <v>-1.2500000000000001E-2</v>
      </c>
      <c r="DA178" s="228">
        <v>57.21</v>
      </c>
      <c r="DB178" s="228">
        <v>47.7</v>
      </c>
      <c r="DC178" s="228">
        <v>9.51</v>
      </c>
      <c r="DD178" s="228">
        <v>9.51</v>
      </c>
      <c r="DE178" s="228">
        <v>49.6</v>
      </c>
      <c r="DF178" s="228">
        <v>49.65</v>
      </c>
      <c r="DG178" s="228">
        <v>7.61</v>
      </c>
      <c r="DH178" s="228">
        <v>-0.05</v>
      </c>
      <c r="DI178" s="228">
        <v>57.87</v>
      </c>
      <c r="DJ178" s="228">
        <v>47.67</v>
      </c>
      <c r="DK178" s="228">
        <v>10.199999999999999</v>
      </c>
      <c r="DL178" s="228">
        <v>10.199999999999999</v>
      </c>
      <c r="DM178" s="228">
        <v>53.54</v>
      </c>
      <c r="DN178" s="228">
        <v>47.78</v>
      </c>
      <c r="DO178" s="228">
        <v>5.76</v>
      </c>
      <c r="DP178" s="228">
        <v>5.76</v>
      </c>
      <c r="DQ178" s="228">
        <v>0.55000000000000004</v>
      </c>
      <c r="DR178" s="228">
        <v>0.54</v>
      </c>
      <c r="DS178" s="228">
        <v>0.01</v>
      </c>
      <c r="DT178" s="229">
        <v>1.8499999999999999E-2</v>
      </c>
      <c r="DU178" s="228">
        <v>300</v>
      </c>
      <c r="DV178" s="228">
        <v>260</v>
      </c>
      <c r="DW178" s="228">
        <v>0.18</v>
      </c>
      <c r="DX178" s="228">
        <v>0.26</v>
      </c>
      <c r="DY178" s="228">
        <v>-0.08</v>
      </c>
      <c r="DZ178" s="229">
        <v>-0.30769999999999997</v>
      </c>
      <c r="EA178" s="229">
        <v>5.8799999999999998E-2</v>
      </c>
      <c r="EB178" s="230">
        <v>5375275</v>
      </c>
      <c r="EC178" s="229">
        <v>-1.9E-3</v>
      </c>
      <c r="ED178" s="229">
        <v>5.8799999999999998E-2</v>
      </c>
      <c r="EE178" s="228">
        <v>1.54</v>
      </c>
      <c r="EF178" s="229">
        <v>6.0000000000000001E-3</v>
      </c>
      <c r="EG178" s="230">
        <v>1479795</v>
      </c>
      <c r="EH178" s="230">
        <v>1986224</v>
      </c>
      <c r="EI178" s="229">
        <v>-0.255</v>
      </c>
      <c r="EJ178" s="229">
        <v>0.38419999999999999</v>
      </c>
      <c r="EK178" s="228">
        <v>12.7</v>
      </c>
      <c r="EL178" s="228">
        <v>2.08</v>
      </c>
      <c r="EM178" s="228">
        <v>25.57</v>
      </c>
      <c r="EN178" s="228">
        <v>0</v>
      </c>
      <c r="EO178" s="228">
        <v>40.35</v>
      </c>
      <c r="EP178" s="228">
        <v>39.29</v>
      </c>
      <c r="EQ178" s="228">
        <v>1.06</v>
      </c>
      <c r="ER178" s="229">
        <v>2.69E-2</v>
      </c>
      <c r="ES178" s="228">
        <v>519.63</v>
      </c>
      <c r="ET178" s="228">
        <v>261.5</v>
      </c>
      <c r="EU178" s="231">
        <v>2316.4</v>
      </c>
      <c r="EV178" s="231">
        <v>121801958</v>
      </c>
      <c r="EW178" s="231">
        <v>3097.54</v>
      </c>
      <c r="EX178" s="231">
        <v>3184.76</v>
      </c>
      <c r="EY178" s="228">
        <v>-87.22</v>
      </c>
      <c r="EZ178" s="229">
        <v>-2.7400000000000001E-2</v>
      </c>
      <c r="FA178" s="229">
        <v>0.97840000000000005</v>
      </c>
      <c r="FB178" s="227" t="s">
        <v>568</v>
      </c>
      <c r="FC178">
        <f t="shared" si="3"/>
        <v>0</v>
      </c>
    </row>
    <row r="179" spans="1:159" ht="17.25" thickBot="1" x14ac:dyDescent="0.3">
      <c r="A179" s="226">
        <v>45889</v>
      </c>
      <c r="B179" s="227" t="s">
        <v>175</v>
      </c>
      <c r="C179" s="227" t="s">
        <v>280</v>
      </c>
      <c r="D179" s="228">
        <v>1275</v>
      </c>
      <c r="E179" s="228">
        <v>8</v>
      </c>
      <c r="F179" s="228">
        <v>381.9</v>
      </c>
      <c r="G179" s="228">
        <v>382.95</v>
      </c>
      <c r="H179" s="228">
        <v>-1.05</v>
      </c>
      <c r="I179" s="229">
        <v>-2.7000000000000001E-3</v>
      </c>
      <c r="J179" s="228">
        <v>380.85</v>
      </c>
      <c r="K179" s="228">
        <v>382.3</v>
      </c>
      <c r="L179" s="228">
        <v>-1.45</v>
      </c>
      <c r="M179" s="229">
        <v>-3.8E-3</v>
      </c>
      <c r="N179" s="228">
        <v>381.9</v>
      </c>
      <c r="O179" s="228">
        <v>382.95</v>
      </c>
      <c r="P179" s="228">
        <v>-1.05</v>
      </c>
      <c r="Q179" s="229">
        <v>-2.7000000000000001E-3</v>
      </c>
      <c r="R179" s="228">
        <v>384.15</v>
      </c>
      <c r="S179" s="228">
        <v>385.2</v>
      </c>
      <c r="T179" s="228">
        <v>-1.05</v>
      </c>
      <c r="U179" s="229">
        <v>-2.7000000000000001E-3</v>
      </c>
      <c r="V179" s="228">
        <v>386.05</v>
      </c>
      <c r="W179" s="228">
        <v>387.1</v>
      </c>
      <c r="X179" s="228">
        <v>-1.05</v>
      </c>
      <c r="Y179" s="229">
        <v>-2.7000000000000001E-3</v>
      </c>
      <c r="Z179" s="228">
        <v>1.05</v>
      </c>
      <c r="AA179" s="228">
        <v>0.65</v>
      </c>
      <c r="AB179" s="228">
        <v>0.4</v>
      </c>
      <c r="AC179" s="229">
        <v>2.8E-3</v>
      </c>
      <c r="AD179" s="228">
        <v>1.05</v>
      </c>
      <c r="AE179" s="228">
        <v>0.65</v>
      </c>
      <c r="AF179" s="228">
        <v>0.4</v>
      </c>
      <c r="AG179" s="229">
        <v>2.8E-3</v>
      </c>
      <c r="AH179" s="228">
        <v>3.3</v>
      </c>
      <c r="AI179" s="228">
        <v>2.9</v>
      </c>
      <c r="AJ179" s="228">
        <v>0.4</v>
      </c>
      <c r="AK179" s="229">
        <v>8.6999999999999994E-3</v>
      </c>
      <c r="AL179" s="228">
        <v>5.2</v>
      </c>
      <c r="AM179" s="228">
        <v>4.8</v>
      </c>
      <c r="AN179" s="228">
        <v>0.4</v>
      </c>
      <c r="AO179" s="229">
        <v>1.37E-2</v>
      </c>
      <c r="AP179" s="228">
        <v>382.1</v>
      </c>
      <c r="AQ179" s="228">
        <v>384.36</v>
      </c>
      <c r="AR179" s="228">
        <v>0</v>
      </c>
      <c r="AS179" s="228">
        <v>313</v>
      </c>
      <c r="AT179" s="228">
        <v>312</v>
      </c>
      <c r="AU179" s="228">
        <v>0</v>
      </c>
      <c r="AV179" s="229">
        <v>1.6000000000000001E-3</v>
      </c>
      <c r="AW179" s="228">
        <v>218</v>
      </c>
      <c r="AX179" s="228">
        <v>239</v>
      </c>
      <c r="AY179" s="228">
        <v>-22</v>
      </c>
      <c r="AZ179" s="229">
        <v>-9.0800000000000006E-2</v>
      </c>
      <c r="BA179" s="228">
        <v>91</v>
      </c>
      <c r="BB179" s="228">
        <v>66</v>
      </c>
      <c r="BC179" s="228">
        <v>25</v>
      </c>
      <c r="BD179" s="229">
        <v>0.37790000000000001</v>
      </c>
      <c r="BE179" s="228">
        <v>4</v>
      </c>
      <c r="BF179" s="228">
        <v>7</v>
      </c>
      <c r="BG179" s="228">
        <v>-3</v>
      </c>
      <c r="BH179" s="229">
        <v>-0.37840000000000001</v>
      </c>
      <c r="BI179" s="228">
        <v>602</v>
      </c>
      <c r="BJ179" s="228">
        <v>797</v>
      </c>
      <c r="BK179" s="228">
        <v>-194</v>
      </c>
      <c r="BL179" s="229">
        <v>-0.24399999999999999</v>
      </c>
      <c r="BM179" s="228">
        <v>260</v>
      </c>
      <c r="BN179" s="228">
        <v>277</v>
      </c>
      <c r="BO179" s="228">
        <v>-17</v>
      </c>
      <c r="BP179" s="229">
        <v>-6.3E-2</v>
      </c>
      <c r="BQ179" s="230">
        <v>1175</v>
      </c>
      <c r="BR179" s="230">
        <v>1386</v>
      </c>
      <c r="BS179" s="228">
        <v>-211</v>
      </c>
      <c r="BT179" s="229">
        <v>-0.1525</v>
      </c>
      <c r="BU179" s="230">
        <v>3163046</v>
      </c>
      <c r="BV179" s="230">
        <v>3747070</v>
      </c>
      <c r="BW179" s="230">
        <v>-584024</v>
      </c>
      <c r="BX179" s="229">
        <v>-0.15590000000000001</v>
      </c>
      <c r="BY179" s="230">
        <v>3363</v>
      </c>
      <c r="BZ179" s="230">
        <v>3353</v>
      </c>
      <c r="CA179" s="228">
        <v>10</v>
      </c>
      <c r="CB179" s="229">
        <v>3.0999999999999999E-3</v>
      </c>
      <c r="CC179" s="230">
        <v>3089</v>
      </c>
      <c r="CD179" s="230">
        <v>3142</v>
      </c>
      <c r="CE179" s="228">
        <v>-52</v>
      </c>
      <c r="CF179" s="229">
        <v>-1.66E-2</v>
      </c>
      <c r="CG179" s="228">
        <v>255</v>
      </c>
      <c r="CH179" s="228">
        <v>194</v>
      </c>
      <c r="CI179" s="228">
        <v>60</v>
      </c>
      <c r="CJ179" s="229">
        <v>0.31090000000000001</v>
      </c>
      <c r="CK179" s="228">
        <v>19</v>
      </c>
      <c r="CL179" s="228">
        <v>17</v>
      </c>
      <c r="CM179" s="228">
        <v>2</v>
      </c>
      <c r="CN179" s="229">
        <v>0.12889999999999999</v>
      </c>
      <c r="CO179" s="230">
        <v>1239</v>
      </c>
      <c r="CP179" s="230">
        <v>1228</v>
      </c>
      <c r="CQ179" s="228">
        <v>11</v>
      </c>
      <c r="CR179" s="229">
        <v>9.1000000000000004E-3</v>
      </c>
      <c r="CS179" s="228">
        <v>799</v>
      </c>
      <c r="CT179" s="228">
        <v>790</v>
      </c>
      <c r="CU179" s="228">
        <v>9</v>
      </c>
      <c r="CV179" s="229">
        <v>1.14E-2</v>
      </c>
      <c r="CW179" s="230">
        <v>5402</v>
      </c>
      <c r="CX179" s="230">
        <v>5371</v>
      </c>
      <c r="CY179" s="228">
        <v>31</v>
      </c>
      <c r="CZ179" s="229">
        <v>5.7000000000000002E-3</v>
      </c>
      <c r="DA179" s="228">
        <v>26.72</v>
      </c>
      <c r="DB179" s="228">
        <v>27.26</v>
      </c>
      <c r="DC179" s="228">
        <v>-0.54</v>
      </c>
      <c r="DD179" s="228">
        <v>-0.54</v>
      </c>
      <c r="DE179" s="228">
        <v>48.46</v>
      </c>
      <c r="DF179" s="228">
        <v>48.58</v>
      </c>
      <c r="DG179" s="228">
        <v>-21.74</v>
      </c>
      <c r="DH179" s="228">
        <v>-0.12</v>
      </c>
      <c r="DI179" s="228">
        <v>27.06</v>
      </c>
      <c r="DJ179" s="228">
        <v>27.57</v>
      </c>
      <c r="DK179" s="228">
        <v>-0.51</v>
      </c>
      <c r="DL179" s="228">
        <v>-0.51</v>
      </c>
      <c r="DM179" s="228">
        <v>25.93</v>
      </c>
      <c r="DN179" s="228">
        <v>26.36</v>
      </c>
      <c r="DO179" s="228">
        <v>-0.43</v>
      </c>
      <c r="DP179" s="228">
        <v>-0.43</v>
      </c>
      <c r="DQ179" s="228">
        <v>0.65</v>
      </c>
      <c r="DR179" s="228">
        <v>0.64</v>
      </c>
      <c r="DS179" s="228">
        <v>0.01</v>
      </c>
      <c r="DT179" s="229">
        <v>1.5599999999999999E-2</v>
      </c>
      <c r="DU179" s="228">
        <v>400</v>
      </c>
      <c r="DV179" s="228">
        <v>380</v>
      </c>
      <c r="DW179" s="228">
        <v>0.43</v>
      </c>
      <c r="DX179" s="228">
        <v>0.35</v>
      </c>
      <c r="DY179" s="228">
        <v>0.08</v>
      </c>
      <c r="DZ179" s="229">
        <v>0.2286</v>
      </c>
      <c r="EA179" s="229">
        <v>8.14E-2</v>
      </c>
      <c r="EB179" s="230">
        <v>5529675</v>
      </c>
      <c r="EC179" s="229">
        <v>5.8999999999999999E-3</v>
      </c>
      <c r="ED179" s="229">
        <v>8.14E-2</v>
      </c>
      <c r="EE179" s="228">
        <v>2.2599999999999998</v>
      </c>
      <c r="EF179" s="229">
        <v>5.8999999999999999E-3</v>
      </c>
      <c r="EG179" s="230">
        <v>1716410</v>
      </c>
      <c r="EH179" s="230">
        <v>1823521</v>
      </c>
      <c r="EI179" s="229">
        <v>-5.8700000000000002E-2</v>
      </c>
      <c r="EJ179" s="229">
        <v>0.54259999999999997</v>
      </c>
      <c r="EK179" s="228">
        <v>626.21</v>
      </c>
      <c r="EL179" s="228">
        <v>260.88</v>
      </c>
      <c r="EM179" s="228">
        <v>313.69</v>
      </c>
      <c r="EN179" s="228">
        <v>0</v>
      </c>
      <c r="EO179" s="231">
        <v>1200.79</v>
      </c>
      <c r="EP179" s="231">
        <v>1421.34</v>
      </c>
      <c r="EQ179" s="228">
        <v>-220.56</v>
      </c>
      <c r="ER179" s="229">
        <v>-0.1552</v>
      </c>
      <c r="ES179" s="231">
        <v>1305.72</v>
      </c>
      <c r="ET179" s="228">
        <v>808.09</v>
      </c>
      <c r="EU179" s="231">
        <v>3364.88</v>
      </c>
      <c r="EV179" s="231">
        <v>249446067</v>
      </c>
      <c r="EW179" s="231">
        <v>5478.69</v>
      </c>
      <c r="EX179" s="231">
        <v>5457.82</v>
      </c>
      <c r="EY179" s="228">
        <v>20.87</v>
      </c>
      <c r="EZ179" s="229">
        <v>3.8E-3</v>
      </c>
      <c r="FA179" s="229">
        <v>0.56710000000000005</v>
      </c>
      <c r="FB179" s="227" t="s">
        <v>567</v>
      </c>
      <c r="FC179">
        <f t="shared" si="3"/>
        <v>0</v>
      </c>
    </row>
    <row r="180" spans="1:159" ht="17.25" thickBot="1" x14ac:dyDescent="0.3">
      <c r="A180" s="226">
        <v>45889</v>
      </c>
      <c r="B180" s="227" t="s">
        <v>193</v>
      </c>
      <c r="C180" s="227" t="s">
        <v>281</v>
      </c>
      <c r="D180" s="228">
        <v>500</v>
      </c>
      <c r="E180" s="228">
        <v>8</v>
      </c>
      <c r="F180" s="231">
        <v>1415.5</v>
      </c>
      <c r="G180" s="231">
        <v>1421.2</v>
      </c>
      <c r="H180" s="228">
        <v>-5.7</v>
      </c>
      <c r="I180" s="229">
        <v>-4.0000000000000001E-3</v>
      </c>
      <c r="J180" s="231">
        <v>1413</v>
      </c>
      <c r="K180" s="231">
        <v>1420.1</v>
      </c>
      <c r="L180" s="228">
        <v>-7.1</v>
      </c>
      <c r="M180" s="229">
        <v>-5.0000000000000001E-3</v>
      </c>
      <c r="N180" s="231">
        <v>1415.5</v>
      </c>
      <c r="O180" s="231">
        <v>1421.2</v>
      </c>
      <c r="P180" s="228">
        <v>-5.7</v>
      </c>
      <c r="Q180" s="229">
        <v>-4.0000000000000001E-3</v>
      </c>
      <c r="R180" s="231">
        <v>1423.9</v>
      </c>
      <c r="S180" s="231">
        <v>1429.5</v>
      </c>
      <c r="T180" s="228">
        <v>-5.6</v>
      </c>
      <c r="U180" s="229">
        <v>-3.8999999999999998E-3</v>
      </c>
      <c r="V180" s="231">
        <v>1430.4</v>
      </c>
      <c r="W180" s="231">
        <v>1436.5</v>
      </c>
      <c r="X180" s="228">
        <v>-6.1</v>
      </c>
      <c r="Y180" s="229">
        <v>-4.1999999999999997E-3</v>
      </c>
      <c r="Z180" s="228">
        <v>2.5</v>
      </c>
      <c r="AA180" s="228">
        <v>1.1000000000000001</v>
      </c>
      <c r="AB180" s="228">
        <v>1.4</v>
      </c>
      <c r="AC180" s="229">
        <v>1.8E-3</v>
      </c>
      <c r="AD180" s="228">
        <v>2.5</v>
      </c>
      <c r="AE180" s="228">
        <v>1.1000000000000001</v>
      </c>
      <c r="AF180" s="228">
        <v>1.4</v>
      </c>
      <c r="AG180" s="229">
        <v>1.8E-3</v>
      </c>
      <c r="AH180" s="228">
        <v>10.9</v>
      </c>
      <c r="AI180" s="228">
        <v>9.4</v>
      </c>
      <c r="AJ180" s="228">
        <v>1.5</v>
      </c>
      <c r="AK180" s="229">
        <v>7.7000000000000002E-3</v>
      </c>
      <c r="AL180" s="228">
        <v>17.399999999999999</v>
      </c>
      <c r="AM180" s="228">
        <v>16.399999999999999</v>
      </c>
      <c r="AN180" s="228">
        <v>1</v>
      </c>
      <c r="AO180" s="229">
        <v>1.23E-2</v>
      </c>
      <c r="AP180" s="231">
        <v>1418.82</v>
      </c>
      <c r="AQ180" s="231">
        <v>1426.83</v>
      </c>
      <c r="AR180" s="228">
        <v>0</v>
      </c>
      <c r="AS180" s="230">
        <v>2168</v>
      </c>
      <c r="AT180" s="230">
        <v>3678</v>
      </c>
      <c r="AU180" s="230">
        <v>-1510</v>
      </c>
      <c r="AV180" s="229">
        <v>-0.41060000000000002</v>
      </c>
      <c r="AW180" s="230">
        <v>1653</v>
      </c>
      <c r="AX180" s="230">
        <v>3066</v>
      </c>
      <c r="AY180" s="230">
        <v>-1413</v>
      </c>
      <c r="AZ180" s="229">
        <v>-0.46089999999999998</v>
      </c>
      <c r="BA180" s="228">
        <v>470</v>
      </c>
      <c r="BB180" s="228">
        <v>554</v>
      </c>
      <c r="BC180" s="228">
        <v>-84</v>
      </c>
      <c r="BD180" s="229">
        <v>-0.1517</v>
      </c>
      <c r="BE180" s="228">
        <v>45</v>
      </c>
      <c r="BF180" s="228">
        <v>58</v>
      </c>
      <c r="BG180" s="228">
        <v>-13</v>
      </c>
      <c r="BH180" s="229">
        <v>-0.2233</v>
      </c>
      <c r="BI180" s="230">
        <v>13814</v>
      </c>
      <c r="BJ180" s="230">
        <v>28209</v>
      </c>
      <c r="BK180" s="230">
        <v>-14395</v>
      </c>
      <c r="BL180" s="229">
        <v>-0.51029999999999998</v>
      </c>
      <c r="BM180" s="230">
        <v>6932</v>
      </c>
      <c r="BN180" s="230">
        <v>13603</v>
      </c>
      <c r="BO180" s="230">
        <v>-6671</v>
      </c>
      <c r="BP180" s="229">
        <v>-0.4904</v>
      </c>
      <c r="BQ180" s="230">
        <v>22914</v>
      </c>
      <c r="BR180" s="230">
        <v>45490</v>
      </c>
      <c r="BS180" s="230">
        <v>-22576</v>
      </c>
      <c r="BT180" s="229">
        <v>-0.49630000000000002</v>
      </c>
      <c r="BU180" s="230">
        <v>9155528</v>
      </c>
      <c r="BV180" s="230">
        <v>15703164</v>
      </c>
      <c r="BW180" s="230">
        <v>-6547636</v>
      </c>
      <c r="BX180" s="229">
        <v>-0.41699999999999998</v>
      </c>
      <c r="BY180" s="230">
        <v>17383</v>
      </c>
      <c r="BZ180" s="230">
        <v>17523</v>
      </c>
      <c r="CA180" s="228">
        <v>-139</v>
      </c>
      <c r="CB180" s="229">
        <v>-8.0000000000000002E-3</v>
      </c>
      <c r="CC180" s="230">
        <v>13612</v>
      </c>
      <c r="CD180" s="230">
        <v>14097</v>
      </c>
      <c r="CE180" s="228">
        <v>-484</v>
      </c>
      <c r="CF180" s="229">
        <v>-3.44E-2</v>
      </c>
      <c r="CG180" s="230">
        <v>3062</v>
      </c>
      <c r="CH180" s="230">
        <v>2742</v>
      </c>
      <c r="CI180" s="228">
        <v>320</v>
      </c>
      <c r="CJ180" s="229">
        <v>0.1167</v>
      </c>
      <c r="CK180" s="228">
        <v>709</v>
      </c>
      <c r="CL180" s="228">
        <v>684</v>
      </c>
      <c r="CM180" s="228">
        <v>25</v>
      </c>
      <c r="CN180" s="229">
        <v>3.6700000000000003E-2</v>
      </c>
      <c r="CO180" s="230">
        <v>8823</v>
      </c>
      <c r="CP180" s="230">
        <v>8148</v>
      </c>
      <c r="CQ180" s="228">
        <v>674</v>
      </c>
      <c r="CR180" s="229">
        <v>8.2799999999999999E-2</v>
      </c>
      <c r="CS180" s="230">
        <v>5596</v>
      </c>
      <c r="CT180" s="230">
        <v>5711</v>
      </c>
      <c r="CU180" s="228">
        <v>-115</v>
      </c>
      <c r="CV180" s="229">
        <v>-2.01E-2</v>
      </c>
      <c r="CW180" s="230">
        <v>31802</v>
      </c>
      <c r="CX180" s="230">
        <v>31382</v>
      </c>
      <c r="CY180" s="228">
        <v>420</v>
      </c>
      <c r="CZ180" s="229">
        <v>1.34E-2</v>
      </c>
      <c r="DA180" s="228">
        <v>20.45</v>
      </c>
      <c r="DB180" s="228">
        <v>20.49</v>
      </c>
      <c r="DC180" s="228">
        <v>-0.04</v>
      </c>
      <c r="DD180" s="228">
        <v>-0.04</v>
      </c>
      <c r="DE180" s="228">
        <v>25.8</v>
      </c>
      <c r="DF180" s="228">
        <v>25.85</v>
      </c>
      <c r="DG180" s="228">
        <v>-5.35</v>
      </c>
      <c r="DH180" s="228">
        <v>-0.05</v>
      </c>
      <c r="DI180" s="228">
        <v>20.63</v>
      </c>
      <c r="DJ180" s="228">
        <v>20.13</v>
      </c>
      <c r="DK180" s="228">
        <v>0.5</v>
      </c>
      <c r="DL180" s="228">
        <v>0.5</v>
      </c>
      <c r="DM180" s="228">
        <v>20.09</v>
      </c>
      <c r="DN180" s="228">
        <v>21.23</v>
      </c>
      <c r="DO180" s="228">
        <v>-1.1399999999999999</v>
      </c>
      <c r="DP180" s="228">
        <v>-1.1399999999999999</v>
      </c>
      <c r="DQ180" s="228">
        <v>0.63</v>
      </c>
      <c r="DR180" s="228">
        <v>0.7</v>
      </c>
      <c r="DS180" s="228">
        <v>-7.0000000000000007E-2</v>
      </c>
      <c r="DT180" s="229">
        <v>-0.1</v>
      </c>
      <c r="DU180" s="231">
        <v>1500</v>
      </c>
      <c r="DV180" s="231">
        <v>1400</v>
      </c>
      <c r="DW180" s="228">
        <v>0.5</v>
      </c>
      <c r="DX180" s="228">
        <v>0.48</v>
      </c>
      <c r="DY180" s="228">
        <v>0.02</v>
      </c>
      <c r="DZ180" s="229">
        <v>4.1700000000000001E-2</v>
      </c>
      <c r="EA180" s="229">
        <v>0.21690000000000001</v>
      </c>
      <c r="EB180" s="230">
        <v>24203500</v>
      </c>
      <c r="EC180" s="229">
        <v>5.8999999999999999E-3</v>
      </c>
      <c r="ED180" s="229">
        <v>0.21690000000000001</v>
      </c>
      <c r="EE180" s="228">
        <v>8.01</v>
      </c>
      <c r="EF180" s="229">
        <v>5.5999999999999999E-3</v>
      </c>
      <c r="EG180" s="230">
        <v>5842309</v>
      </c>
      <c r="EH180" s="230">
        <v>8448070</v>
      </c>
      <c r="EI180" s="229">
        <v>-0.30840000000000001</v>
      </c>
      <c r="EJ180" s="229">
        <v>0.6381</v>
      </c>
      <c r="EK180" s="231">
        <v>14230.76</v>
      </c>
      <c r="EL180" s="231">
        <v>6879.1</v>
      </c>
      <c r="EM180" s="231">
        <v>2176.04</v>
      </c>
      <c r="EN180" s="228">
        <v>0</v>
      </c>
      <c r="EO180" s="231">
        <v>23285.9</v>
      </c>
      <c r="EP180" s="231">
        <v>45936.05</v>
      </c>
      <c r="EQ180" s="231">
        <v>-22650.15</v>
      </c>
      <c r="ER180" s="229">
        <v>-0.49309999999999998</v>
      </c>
      <c r="ES180" s="231">
        <v>9086.58</v>
      </c>
      <c r="ET180" s="231">
        <v>5484.68</v>
      </c>
      <c r="EU180" s="231">
        <v>17408.89</v>
      </c>
      <c r="EV180" s="231">
        <v>1325402121</v>
      </c>
      <c r="EW180" s="231">
        <v>31980.15</v>
      </c>
      <c r="EX180" s="231">
        <v>31598.58</v>
      </c>
      <c r="EY180" s="228">
        <v>381.57</v>
      </c>
      <c r="EZ180" s="229">
        <v>1.21E-2</v>
      </c>
      <c r="FA180" s="229">
        <v>0.16950000000000001</v>
      </c>
      <c r="FB180" s="227" t="s">
        <v>568</v>
      </c>
      <c r="FC180">
        <f t="shared" si="3"/>
        <v>0</v>
      </c>
    </row>
    <row r="181" spans="1:159" ht="17.25" thickBot="1" x14ac:dyDescent="0.3">
      <c r="A181" s="226">
        <v>45889</v>
      </c>
      <c r="B181" s="227" t="s">
        <v>215</v>
      </c>
      <c r="C181" s="227" t="s">
        <v>677</v>
      </c>
      <c r="D181" s="228">
        <v>1375</v>
      </c>
      <c r="E181" s="228">
        <v>8</v>
      </c>
      <c r="F181" s="228">
        <v>325.05</v>
      </c>
      <c r="G181" s="228">
        <v>325.75</v>
      </c>
      <c r="H181" s="228">
        <v>-0.7</v>
      </c>
      <c r="I181" s="229">
        <v>-2.0999999999999999E-3</v>
      </c>
      <c r="J181" s="228">
        <v>330.8</v>
      </c>
      <c r="K181" s="228">
        <v>327.75</v>
      </c>
      <c r="L181" s="228">
        <v>3.05</v>
      </c>
      <c r="M181" s="229">
        <v>9.2999999999999992E-3</v>
      </c>
      <c r="N181" s="228">
        <v>325.05</v>
      </c>
      <c r="O181" s="228">
        <v>325.75</v>
      </c>
      <c r="P181" s="228">
        <v>-0.7</v>
      </c>
      <c r="Q181" s="229">
        <v>-2.0999999999999999E-3</v>
      </c>
      <c r="R181" s="228">
        <v>321.85000000000002</v>
      </c>
      <c r="S181" s="228">
        <v>323.55</v>
      </c>
      <c r="T181" s="228">
        <v>-1.7</v>
      </c>
      <c r="U181" s="229">
        <v>-5.3E-3</v>
      </c>
      <c r="V181" s="228">
        <v>320.60000000000002</v>
      </c>
      <c r="W181" s="228">
        <v>322.45</v>
      </c>
      <c r="X181" s="228">
        <v>-1.85</v>
      </c>
      <c r="Y181" s="229">
        <v>-5.7000000000000002E-3</v>
      </c>
      <c r="Z181" s="228">
        <v>-5.75</v>
      </c>
      <c r="AA181" s="228">
        <v>-2</v>
      </c>
      <c r="AB181" s="228">
        <v>-3.75</v>
      </c>
      <c r="AC181" s="229">
        <v>-1.7399999999999999E-2</v>
      </c>
      <c r="AD181" s="228">
        <v>-5.75</v>
      </c>
      <c r="AE181" s="228">
        <v>-2</v>
      </c>
      <c r="AF181" s="228">
        <v>-3.75</v>
      </c>
      <c r="AG181" s="229">
        <v>-1.7399999999999999E-2</v>
      </c>
      <c r="AH181" s="228">
        <v>-8.9499999999999993</v>
      </c>
      <c r="AI181" s="228">
        <v>-4.2</v>
      </c>
      <c r="AJ181" s="228">
        <v>-4.75</v>
      </c>
      <c r="AK181" s="229">
        <v>-2.7099999999999999E-2</v>
      </c>
      <c r="AL181" s="228">
        <v>-10.199999999999999</v>
      </c>
      <c r="AM181" s="228">
        <v>-5.3</v>
      </c>
      <c r="AN181" s="228">
        <v>-4.9000000000000004</v>
      </c>
      <c r="AO181" s="229">
        <v>-3.0800000000000001E-2</v>
      </c>
      <c r="AP181" s="228">
        <v>326.08999999999997</v>
      </c>
      <c r="AQ181" s="228">
        <v>323.04000000000002</v>
      </c>
      <c r="AR181" s="228">
        <v>0</v>
      </c>
      <c r="AS181" s="228">
        <v>228</v>
      </c>
      <c r="AT181" s="228">
        <v>164</v>
      </c>
      <c r="AU181" s="228">
        <v>64</v>
      </c>
      <c r="AV181" s="229">
        <v>0.3876</v>
      </c>
      <c r="AW181" s="228">
        <v>139</v>
      </c>
      <c r="AX181" s="228">
        <v>116</v>
      </c>
      <c r="AY181" s="228">
        <v>23</v>
      </c>
      <c r="AZ181" s="229">
        <v>0.19939999999999999</v>
      </c>
      <c r="BA181" s="228">
        <v>84</v>
      </c>
      <c r="BB181" s="228">
        <v>44</v>
      </c>
      <c r="BC181" s="228">
        <v>40</v>
      </c>
      <c r="BD181" s="229">
        <v>0.90720000000000001</v>
      </c>
      <c r="BE181" s="228">
        <v>5</v>
      </c>
      <c r="BF181" s="228">
        <v>4</v>
      </c>
      <c r="BG181" s="228">
        <v>1</v>
      </c>
      <c r="BH181" s="229">
        <v>0.15559999999999999</v>
      </c>
      <c r="BI181" s="228">
        <v>285</v>
      </c>
      <c r="BJ181" s="228">
        <v>234</v>
      </c>
      <c r="BK181" s="228">
        <v>51</v>
      </c>
      <c r="BL181" s="229">
        <v>0.2185</v>
      </c>
      <c r="BM181" s="228">
        <v>116</v>
      </c>
      <c r="BN181" s="228">
        <v>87</v>
      </c>
      <c r="BO181" s="228">
        <v>29</v>
      </c>
      <c r="BP181" s="229">
        <v>0.33329999999999999</v>
      </c>
      <c r="BQ181" s="228">
        <v>628</v>
      </c>
      <c r="BR181" s="228">
        <v>485</v>
      </c>
      <c r="BS181" s="228">
        <v>144</v>
      </c>
      <c r="BT181" s="229">
        <v>0.29630000000000001</v>
      </c>
      <c r="BU181" s="230">
        <v>4559518</v>
      </c>
      <c r="BV181" s="230">
        <v>3924277</v>
      </c>
      <c r="BW181" s="230">
        <v>635241</v>
      </c>
      <c r="BX181" s="229">
        <v>0.16189999999999999</v>
      </c>
      <c r="BY181" s="228">
        <v>774</v>
      </c>
      <c r="BZ181" s="228">
        <v>699</v>
      </c>
      <c r="CA181" s="228">
        <v>74</v>
      </c>
      <c r="CB181" s="229">
        <v>0.10639999999999999</v>
      </c>
      <c r="CC181" s="228">
        <v>601</v>
      </c>
      <c r="CD181" s="228">
        <v>572</v>
      </c>
      <c r="CE181" s="228">
        <v>28</v>
      </c>
      <c r="CF181" s="229">
        <v>4.9700000000000001E-2</v>
      </c>
      <c r="CG181" s="228">
        <v>155</v>
      </c>
      <c r="CH181" s="228">
        <v>112</v>
      </c>
      <c r="CI181" s="228">
        <v>43</v>
      </c>
      <c r="CJ181" s="229">
        <v>0.38919999999999999</v>
      </c>
      <c r="CK181" s="228">
        <v>18</v>
      </c>
      <c r="CL181" s="228">
        <v>15</v>
      </c>
      <c r="CM181" s="228">
        <v>2</v>
      </c>
      <c r="CN181" s="229">
        <v>0.1613</v>
      </c>
      <c r="CO181" s="228">
        <v>280</v>
      </c>
      <c r="CP181" s="228">
        <v>269</v>
      </c>
      <c r="CQ181" s="228">
        <v>12</v>
      </c>
      <c r="CR181" s="229">
        <v>4.3099999999999999E-2</v>
      </c>
      <c r="CS181" s="228">
        <v>169</v>
      </c>
      <c r="CT181" s="228">
        <v>160</v>
      </c>
      <c r="CU181" s="228">
        <v>9</v>
      </c>
      <c r="CV181" s="229">
        <v>5.8700000000000002E-2</v>
      </c>
      <c r="CW181" s="230">
        <v>1223</v>
      </c>
      <c r="CX181" s="230">
        <v>1128</v>
      </c>
      <c r="CY181" s="228">
        <v>95</v>
      </c>
      <c r="CZ181" s="229">
        <v>8.4500000000000006E-2</v>
      </c>
      <c r="DA181" s="228">
        <v>39.14</v>
      </c>
      <c r="DB181" s="228">
        <v>38.26</v>
      </c>
      <c r="DC181" s="228">
        <v>0.88</v>
      </c>
      <c r="DD181" s="228">
        <v>0.88</v>
      </c>
      <c r="DE181" s="228">
        <v>60.97</v>
      </c>
      <c r="DF181" s="228">
        <v>61.12</v>
      </c>
      <c r="DG181" s="228">
        <v>-21.83</v>
      </c>
      <c r="DH181" s="228">
        <v>-0.15</v>
      </c>
      <c r="DI181" s="228">
        <v>39.729999999999997</v>
      </c>
      <c r="DJ181" s="228">
        <v>38.61</v>
      </c>
      <c r="DK181" s="228">
        <v>1.1200000000000001</v>
      </c>
      <c r="DL181" s="228">
        <v>1.1200000000000001</v>
      </c>
      <c r="DM181" s="228">
        <v>37.700000000000003</v>
      </c>
      <c r="DN181" s="228">
        <v>37.32</v>
      </c>
      <c r="DO181" s="228">
        <v>0.38</v>
      </c>
      <c r="DP181" s="228">
        <v>0.38</v>
      </c>
      <c r="DQ181" s="228">
        <v>0.6</v>
      </c>
      <c r="DR181" s="228">
        <v>0.6</v>
      </c>
      <c r="DS181" s="228">
        <v>0</v>
      </c>
      <c r="DT181" s="229">
        <v>0</v>
      </c>
      <c r="DU181" s="228">
        <v>350</v>
      </c>
      <c r="DV181" s="228">
        <v>300</v>
      </c>
      <c r="DW181" s="228">
        <v>0.41</v>
      </c>
      <c r="DX181" s="228">
        <v>0.37</v>
      </c>
      <c r="DY181" s="228">
        <v>0.04</v>
      </c>
      <c r="DZ181" s="229">
        <v>0.1081</v>
      </c>
      <c r="EA181" s="229">
        <v>0.2235</v>
      </c>
      <c r="EB181" s="230">
        <v>3906375</v>
      </c>
      <c r="EC181" s="229">
        <v>-9.7999999999999997E-3</v>
      </c>
      <c r="ED181" s="229">
        <v>0.2235</v>
      </c>
      <c r="EE181" s="228">
        <v>-3.05</v>
      </c>
      <c r="EF181" s="229">
        <v>-9.4000000000000004E-3</v>
      </c>
      <c r="EG181" s="230">
        <v>1287014</v>
      </c>
      <c r="EH181" s="230">
        <v>1004598</v>
      </c>
      <c r="EI181" s="229">
        <v>0.28110000000000002</v>
      </c>
      <c r="EJ181" s="229">
        <v>0.2823</v>
      </c>
      <c r="EK181" s="228">
        <v>302.02</v>
      </c>
      <c r="EL181" s="228">
        <v>114.13</v>
      </c>
      <c r="EM181" s="228">
        <v>227.42</v>
      </c>
      <c r="EN181" s="228">
        <v>0</v>
      </c>
      <c r="EO181" s="228">
        <v>643.58000000000004</v>
      </c>
      <c r="EP181" s="228">
        <v>496.12</v>
      </c>
      <c r="EQ181" s="228">
        <v>147.44999999999999</v>
      </c>
      <c r="ER181" s="229">
        <v>0.29720000000000002</v>
      </c>
      <c r="ES181" s="228">
        <v>308.10000000000002</v>
      </c>
      <c r="ET181" s="228">
        <v>166.22</v>
      </c>
      <c r="EU181" s="228">
        <v>771.8</v>
      </c>
      <c r="EV181" s="231">
        <v>113255281</v>
      </c>
      <c r="EW181" s="231">
        <v>1246.1199999999999</v>
      </c>
      <c r="EX181" s="231">
        <v>1152.8699999999999</v>
      </c>
      <c r="EY181" s="228">
        <v>93.25</v>
      </c>
      <c r="EZ181" s="229">
        <v>8.09E-2</v>
      </c>
      <c r="FA181" s="229">
        <v>0.3322</v>
      </c>
      <c r="FB181" s="227" t="s">
        <v>567</v>
      </c>
      <c r="FC181">
        <f t="shared" si="3"/>
        <v>0</v>
      </c>
    </row>
    <row r="182" spans="1:159" ht="17.25" thickBot="1" x14ac:dyDescent="0.3">
      <c r="A182" s="226">
        <v>45889</v>
      </c>
      <c r="B182" s="227" t="s">
        <v>227</v>
      </c>
      <c r="C182" s="227" t="s">
        <v>282</v>
      </c>
      <c r="D182" s="228">
        <v>4700</v>
      </c>
      <c r="E182" s="228">
        <v>8</v>
      </c>
      <c r="F182" s="228">
        <v>124.38</v>
      </c>
      <c r="G182" s="228">
        <v>123</v>
      </c>
      <c r="H182" s="228">
        <v>1.38</v>
      </c>
      <c r="I182" s="229">
        <v>1.12E-2</v>
      </c>
      <c r="J182" s="228">
        <v>124.09</v>
      </c>
      <c r="K182" s="228">
        <v>122.98</v>
      </c>
      <c r="L182" s="228">
        <v>1.1100000000000001</v>
      </c>
      <c r="M182" s="229">
        <v>8.9999999999999993E-3</v>
      </c>
      <c r="N182" s="228">
        <v>124.38</v>
      </c>
      <c r="O182" s="228">
        <v>123</v>
      </c>
      <c r="P182" s="228">
        <v>1.38</v>
      </c>
      <c r="Q182" s="229">
        <v>1.12E-2</v>
      </c>
      <c r="R182" s="228">
        <v>123.56</v>
      </c>
      <c r="S182" s="228">
        <v>122.5</v>
      </c>
      <c r="T182" s="228">
        <v>1.06</v>
      </c>
      <c r="U182" s="229">
        <v>8.6999999999999994E-3</v>
      </c>
      <c r="V182" s="228">
        <v>124.19</v>
      </c>
      <c r="W182" s="228">
        <v>123.02</v>
      </c>
      <c r="X182" s="228">
        <v>1.17</v>
      </c>
      <c r="Y182" s="229">
        <v>9.4999999999999998E-3</v>
      </c>
      <c r="Z182" s="228">
        <v>0.28999999999999998</v>
      </c>
      <c r="AA182" s="228">
        <v>0.02</v>
      </c>
      <c r="AB182" s="228">
        <v>0.27</v>
      </c>
      <c r="AC182" s="229">
        <v>2.3E-3</v>
      </c>
      <c r="AD182" s="228">
        <v>0.28999999999999998</v>
      </c>
      <c r="AE182" s="228">
        <v>0.02</v>
      </c>
      <c r="AF182" s="228">
        <v>0.27</v>
      </c>
      <c r="AG182" s="229">
        <v>2.3E-3</v>
      </c>
      <c r="AH182" s="228">
        <v>-0.53</v>
      </c>
      <c r="AI182" s="228">
        <v>-0.48</v>
      </c>
      <c r="AJ182" s="228">
        <v>-0.05</v>
      </c>
      <c r="AK182" s="229">
        <v>-4.3E-3</v>
      </c>
      <c r="AL182" s="228">
        <v>0.1</v>
      </c>
      <c r="AM182" s="228">
        <v>0.04</v>
      </c>
      <c r="AN182" s="228">
        <v>0.06</v>
      </c>
      <c r="AO182" s="229">
        <v>8.0000000000000004E-4</v>
      </c>
      <c r="AP182" s="228">
        <v>124.12</v>
      </c>
      <c r="AQ182" s="228">
        <v>123.64</v>
      </c>
      <c r="AR182" s="228">
        <v>0</v>
      </c>
      <c r="AS182" s="228">
        <v>706</v>
      </c>
      <c r="AT182" s="228">
        <v>226</v>
      </c>
      <c r="AU182" s="228">
        <v>480</v>
      </c>
      <c r="AV182" s="229">
        <v>2.1234000000000002</v>
      </c>
      <c r="AW182" s="228">
        <v>466</v>
      </c>
      <c r="AX182" s="228">
        <v>171</v>
      </c>
      <c r="AY182" s="228">
        <v>295</v>
      </c>
      <c r="AZ182" s="229">
        <v>1.7252000000000001</v>
      </c>
      <c r="BA182" s="228">
        <v>237</v>
      </c>
      <c r="BB182" s="228">
        <v>52</v>
      </c>
      <c r="BC182" s="228">
        <v>185</v>
      </c>
      <c r="BD182" s="229">
        <v>3.5769000000000002</v>
      </c>
      <c r="BE182" s="228">
        <v>4</v>
      </c>
      <c r="BF182" s="228">
        <v>3</v>
      </c>
      <c r="BG182" s="228">
        <v>0</v>
      </c>
      <c r="BH182" s="229">
        <v>3.4500000000000003E-2</v>
      </c>
      <c r="BI182" s="228">
        <v>673</v>
      </c>
      <c r="BJ182" s="228">
        <v>228</v>
      </c>
      <c r="BK182" s="228">
        <v>445</v>
      </c>
      <c r="BL182" s="229">
        <v>1.9488000000000001</v>
      </c>
      <c r="BM182" s="228">
        <v>299</v>
      </c>
      <c r="BN182" s="228">
        <v>137</v>
      </c>
      <c r="BO182" s="228">
        <v>162</v>
      </c>
      <c r="BP182" s="229">
        <v>1.1795</v>
      </c>
      <c r="BQ182" s="230">
        <v>1677</v>
      </c>
      <c r="BR182" s="228">
        <v>591</v>
      </c>
      <c r="BS182" s="230">
        <v>1086</v>
      </c>
      <c r="BT182" s="229">
        <v>1.837</v>
      </c>
      <c r="BU182" s="230">
        <v>12683139</v>
      </c>
      <c r="BV182" s="230">
        <v>4999922</v>
      </c>
      <c r="BW182" s="230">
        <v>7683217</v>
      </c>
      <c r="BX182" s="229">
        <v>1.5367</v>
      </c>
      <c r="BY182" s="230">
        <v>2143</v>
      </c>
      <c r="BZ182" s="230">
        <v>2342</v>
      </c>
      <c r="CA182" s="228">
        <v>-199</v>
      </c>
      <c r="CB182" s="229">
        <v>-8.48E-2</v>
      </c>
      <c r="CC182" s="230">
        <v>1467</v>
      </c>
      <c r="CD182" s="230">
        <v>1668</v>
      </c>
      <c r="CE182" s="228">
        <v>-201</v>
      </c>
      <c r="CF182" s="229">
        <v>-0.1206</v>
      </c>
      <c r="CG182" s="228">
        <v>666</v>
      </c>
      <c r="CH182" s="228">
        <v>664</v>
      </c>
      <c r="CI182" s="228">
        <v>2</v>
      </c>
      <c r="CJ182" s="229">
        <v>3.5000000000000001E-3</v>
      </c>
      <c r="CK182" s="228">
        <v>11</v>
      </c>
      <c r="CL182" s="228">
        <v>10</v>
      </c>
      <c r="CM182" s="228">
        <v>0</v>
      </c>
      <c r="CN182" s="229">
        <v>2.2499999999999999E-2</v>
      </c>
      <c r="CO182" s="228">
        <v>444</v>
      </c>
      <c r="CP182" s="228">
        <v>460</v>
      </c>
      <c r="CQ182" s="228">
        <v>-16</v>
      </c>
      <c r="CR182" s="229">
        <v>-3.4000000000000002E-2</v>
      </c>
      <c r="CS182" s="228">
        <v>284</v>
      </c>
      <c r="CT182" s="228">
        <v>273</v>
      </c>
      <c r="CU182" s="228">
        <v>11</v>
      </c>
      <c r="CV182" s="229">
        <v>3.9600000000000003E-2</v>
      </c>
      <c r="CW182" s="230">
        <v>2872</v>
      </c>
      <c r="CX182" s="230">
        <v>3076</v>
      </c>
      <c r="CY182" s="228">
        <v>-203</v>
      </c>
      <c r="CZ182" s="229">
        <v>-6.6199999999999995E-2</v>
      </c>
      <c r="DA182" s="228">
        <v>31.03</v>
      </c>
      <c r="DB182" s="228">
        <v>31.01</v>
      </c>
      <c r="DC182" s="228">
        <v>0.02</v>
      </c>
      <c r="DD182" s="228">
        <v>0.02</v>
      </c>
      <c r="DE182" s="228">
        <v>47.31</v>
      </c>
      <c r="DF182" s="228">
        <v>47.4</v>
      </c>
      <c r="DG182" s="228">
        <v>-16.28</v>
      </c>
      <c r="DH182" s="228">
        <v>-0.09</v>
      </c>
      <c r="DI182" s="228">
        <v>31.51</v>
      </c>
      <c r="DJ182" s="228">
        <v>32.200000000000003</v>
      </c>
      <c r="DK182" s="228">
        <v>-0.69</v>
      </c>
      <c r="DL182" s="228">
        <v>-0.69</v>
      </c>
      <c r="DM182" s="228">
        <v>29.96</v>
      </c>
      <c r="DN182" s="228">
        <v>29.02</v>
      </c>
      <c r="DO182" s="228">
        <v>0.94</v>
      </c>
      <c r="DP182" s="228">
        <v>0.94</v>
      </c>
      <c r="DQ182" s="228">
        <v>0.64</v>
      </c>
      <c r="DR182" s="228">
        <v>0.59</v>
      </c>
      <c r="DS182" s="228">
        <v>0.05</v>
      </c>
      <c r="DT182" s="229">
        <v>8.4699999999999998E-2</v>
      </c>
      <c r="DU182" s="228">
        <v>130</v>
      </c>
      <c r="DV182" s="228">
        <v>120</v>
      </c>
      <c r="DW182" s="228">
        <v>0.44</v>
      </c>
      <c r="DX182" s="228">
        <v>0.6</v>
      </c>
      <c r="DY182" s="228">
        <v>-0.16</v>
      </c>
      <c r="DZ182" s="229">
        <v>-0.26669999999999999</v>
      </c>
      <c r="EA182" s="229">
        <v>0.31580000000000003</v>
      </c>
      <c r="EB182" s="230">
        <v>54209800</v>
      </c>
      <c r="EC182" s="229">
        <v>-6.6E-3</v>
      </c>
      <c r="ED182" s="229">
        <v>0.31580000000000003</v>
      </c>
      <c r="EE182" s="228">
        <v>-0.48</v>
      </c>
      <c r="EF182" s="229">
        <v>-3.8999999999999998E-3</v>
      </c>
      <c r="EG182" s="230">
        <v>2508748</v>
      </c>
      <c r="EH182" s="230">
        <v>1737071</v>
      </c>
      <c r="EI182" s="229">
        <v>0.44419999999999998</v>
      </c>
      <c r="EJ182" s="229">
        <v>0.1978</v>
      </c>
      <c r="EK182" s="228">
        <v>697.02</v>
      </c>
      <c r="EL182" s="228">
        <v>301.56</v>
      </c>
      <c r="EM182" s="228">
        <v>703.15</v>
      </c>
      <c r="EN182" s="228">
        <v>0</v>
      </c>
      <c r="EO182" s="231">
        <v>1701.73</v>
      </c>
      <c r="EP182" s="228">
        <v>596.58000000000004</v>
      </c>
      <c r="EQ182" s="231">
        <v>1105.1500000000001</v>
      </c>
      <c r="ER182" s="229">
        <v>1.8525</v>
      </c>
      <c r="ES182" s="228">
        <v>473.21</v>
      </c>
      <c r="ET182" s="228">
        <v>284.25</v>
      </c>
      <c r="EU182" s="231">
        <v>2139.0300000000002</v>
      </c>
      <c r="EV182" s="231">
        <v>289148547</v>
      </c>
      <c r="EW182" s="231">
        <v>2896.49</v>
      </c>
      <c r="EX182" s="231">
        <v>3076.3</v>
      </c>
      <c r="EY182" s="228">
        <v>-179.81</v>
      </c>
      <c r="EZ182" s="229">
        <v>-5.8500000000000003E-2</v>
      </c>
      <c r="FA182" s="229">
        <v>0.79859999999999998</v>
      </c>
      <c r="FB182" s="227" t="s">
        <v>556</v>
      </c>
      <c r="FC182">
        <f t="shared" si="3"/>
        <v>0</v>
      </c>
    </row>
    <row r="183" spans="1:159" ht="17.25" thickBot="1" x14ac:dyDescent="0.3">
      <c r="A183" s="226">
        <v>45889</v>
      </c>
      <c r="B183" s="227" t="s">
        <v>175</v>
      </c>
      <c r="C183" s="227" t="s">
        <v>536</v>
      </c>
      <c r="D183" s="228">
        <v>800</v>
      </c>
      <c r="E183" s="228">
        <v>8</v>
      </c>
      <c r="F183" s="228">
        <v>816.05</v>
      </c>
      <c r="G183" s="228">
        <v>819.1</v>
      </c>
      <c r="H183" s="228">
        <v>-3.05</v>
      </c>
      <c r="I183" s="229">
        <v>-3.7000000000000002E-3</v>
      </c>
      <c r="J183" s="228">
        <v>818.1</v>
      </c>
      <c r="K183" s="228">
        <v>820.1</v>
      </c>
      <c r="L183" s="228">
        <v>-2</v>
      </c>
      <c r="M183" s="229">
        <v>-2.3999999999999998E-3</v>
      </c>
      <c r="N183" s="228">
        <v>816.05</v>
      </c>
      <c r="O183" s="228">
        <v>819.1</v>
      </c>
      <c r="P183" s="228">
        <v>-3.05</v>
      </c>
      <c r="Q183" s="229">
        <v>-3.7000000000000002E-3</v>
      </c>
      <c r="R183" s="228">
        <v>814.75</v>
      </c>
      <c r="S183" s="228">
        <v>818.3</v>
      </c>
      <c r="T183" s="228">
        <v>-3.55</v>
      </c>
      <c r="U183" s="229">
        <v>-4.3E-3</v>
      </c>
      <c r="V183" s="228">
        <v>815.45</v>
      </c>
      <c r="W183" s="228">
        <v>819.85</v>
      </c>
      <c r="X183" s="228">
        <v>-4.4000000000000004</v>
      </c>
      <c r="Y183" s="229">
        <v>-5.4000000000000003E-3</v>
      </c>
      <c r="Z183" s="228">
        <v>-2.0499999999999998</v>
      </c>
      <c r="AA183" s="228">
        <v>-1</v>
      </c>
      <c r="AB183" s="228">
        <v>-1.05</v>
      </c>
      <c r="AC183" s="229">
        <v>-2.5000000000000001E-3</v>
      </c>
      <c r="AD183" s="228">
        <v>-2.0499999999999998</v>
      </c>
      <c r="AE183" s="228">
        <v>-1</v>
      </c>
      <c r="AF183" s="228">
        <v>-1.05</v>
      </c>
      <c r="AG183" s="229">
        <v>-2.5000000000000001E-3</v>
      </c>
      <c r="AH183" s="228">
        <v>-3.35</v>
      </c>
      <c r="AI183" s="228">
        <v>-1.8</v>
      </c>
      <c r="AJ183" s="228">
        <v>-1.55</v>
      </c>
      <c r="AK183" s="229">
        <v>-4.1000000000000003E-3</v>
      </c>
      <c r="AL183" s="228">
        <v>-2.65</v>
      </c>
      <c r="AM183" s="228">
        <v>-0.25</v>
      </c>
      <c r="AN183" s="228">
        <v>-2.4</v>
      </c>
      <c r="AO183" s="229">
        <v>-3.2000000000000002E-3</v>
      </c>
      <c r="AP183" s="228">
        <v>816.15</v>
      </c>
      <c r="AQ183" s="228">
        <v>815.1</v>
      </c>
      <c r="AR183" s="228">
        <v>0</v>
      </c>
      <c r="AS183" s="228">
        <v>135</v>
      </c>
      <c r="AT183" s="228">
        <v>159</v>
      </c>
      <c r="AU183" s="228">
        <v>-24</v>
      </c>
      <c r="AV183" s="229">
        <v>-0.1535</v>
      </c>
      <c r="AW183" s="228">
        <v>90</v>
      </c>
      <c r="AX183" s="228">
        <v>116</v>
      </c>
      <c r="AY183" s="228">
        <v>-27</v>
      </c>
      <c r="AZ183" s="229">
        <v>-0.2293</v>
      </c>
      <c r="BA183" s="228">
        <v>43</v>
      </c>
      <c r="BB183" s="228">
        <v>37</v>
      </c>
      <c r="BC183" s="228">
        <v>6</v>
      </c>
      <c r="BD183" s="229">
        <v>0.15090000000000001</v>
      </c>
      <c r="BE183" s="228">
        <v>2</v>
      </c>
      <c r="BF183" s="228">
        <v>5</v>
      </c>
      <c r="BG183" s="228">
        <v>-3</v>
      </c>
      <c r="BH183" s="229">
        <v>-0.622</v>
      </c>
      <c r="BI183" s="228">
        <v>214</v>
      </c>
      <c r="BJ183" s="228">
        <v>367</v>
      </c>
      <c r="BK183" s="228">
        <v>-153</v>
      </c>
      <c r="BL183" s="229">
        <v>-0.4158</v>
      </c>
      <c r="BM183" s="228">
        <v>151</v>
      </c>
      <c r="BN183" s="228">
        <v>161</v>
      </c>
      <c r="BO183" s="228">
        <v>-10</v>
      </c>
      <c r="BP183" s="229">
        <v>-6.4000000000000001E-2</v>
      </c>
      <c r="BQ183" s="228">
        <v>500</v>
      </c>
      <c r="BR183" s="228">
        <v>687</v>
      </c>
      <c r="BS183" s="228">
        <v>-187</v>
      </c>
      <c r="BT183" s="229">
        <v>-0.27260000000000001</v>
      </c>
      <c r="BU183" s="230">
        <v>404165</v>
      </c>
      <c r="BV183" s="230">
        <v>586047</v>
      </c>
      <c r="BW183" s="230">
        <v>-181882</v>
      </c>
      <c r="BX183" s="229">
        <v>-0.31040000000000001</v>
      </c>
      <c r="BY183" s="230">
        <v>1095</v>
      </c>
      <c r="BZ183" s="230">
        <v>1073</v>
      </c>
      <c r="CA183" s="228">
        <v>22</v>
      </c>
      <c r="CB183" s="229">
        <v>2.06E-2</v>
      </c>
      <c r="CC183" s="228">
        <v>991</v>
      </c>
      <c r="CD183" s="228">
        <v>986</v>
      </c>
      <c r="CE183" s="228">
        <v>5</v>
      </c>
      <c r="CF183" s="229">
        <v>5.4000000000000003E-3</v>
      </c>
      <c r="CG183" s="228">
        <v>93</v>
      </c>
      <c r="CH183" s="228">
        <v>78</v>
      </c>
      <c r="CI183" s="228">
        <v>16</v>
      </c>
      <c r="CJ183" s="229">
        <v>0.2034</v>
      </c>
      <c r="CK183" s="228">
        <v>10</v>
      </c>
      <c r="CL183" s="228">
        <v>9</v>
      </c>
      <c r="CM183" s="228">
        <v>1</v>
      </c>
      <c r="CN183" s="229">
        <v>0.10639999999999999</v>
      </c>
      <c r="CO183" s="228">
        <v>476</v>
      </c>
      <c r="CP183" s="228">
        <v>507</v>
      </c>
      <c r="CQ183" s="228">
        <v>-31</v>
      </c>
      <c r="CR183" s="229">
        <v>-6.1400000000000003E-2</v>
      </c>
      <c r="CS183" s="228">
        <v>312</v>
      </c>
      <c r="CT183" s="228">
        <v>279</v>
      </c>
      <c r="CU183" s="228">
        <v>32</v>
      </c>
      <c r="CV183" s="229">
        <v>0.1163</v>
      </c>
      <c r="CW183" s="230">
        <v>1882</v>
      </c>
      <c r="CX183" s="230">
        <v>1859</v>
      </c>
      <c r="CY183" s="228">
        <v>23</v>
      </c>
      <c r="CZ183" s="229">
        <v>1.26E-2</v>
      </c>
      <c r="DA183" s="228">
        <v>23.94</v>
      </c>
      <c r="DB183" s="228">
        <v>23.71</v>
      </c>
      <c r="DC183" s="228">
        <v>0.23</v>
      </c>
      <c r="DD183" s="228">
        <v>0.23</v>
      </c>
      <c r="DE183" s="228">
        <v>30.94</v>
      </c>
      <c r="DF183" s="228">
        <v>31.02</v>
      </c>
      <c r="DG183" s="228">
        <v>-7</v>
      </c>
      <c r="DH183" s="228">
        <v>-0.08</v>
      </c>
      <c r="DI183" s="228">
        <v>24.45</v>
      </c>
      <c r="DJ183" s="228">
        <v>23.43</v>
      </c>
      <c r="DK183" s="228">
        <v>1.02</v>
      </c>
      <c r="DL183" s="228">
        <v>1.02</v>
      </c>
      <c r="DM183" s="228">
        <v>23.2</v>
      </c>
      <c r="DN183" s="228">
        <v>24.35</v>
      </c>
      <c r="DO183" s="228">
        <v>-1.1499999999999999</v>
      </c>
      <c r="DP183" s="228">
        <v>-1.1499999999999999</v>
      </c>
      <c r="DQ183" s="228">
        <v>0.65</v>
      </c>
      <c r="DR183" s="228">
        <v>0.55000000000000004</v>
      </c>
      <c r="DS183" s="228">
        <v>0.1</v>
      </c>
      <c r="DT183" s="229">
        <v>0.18179999999999999</v>
      </c>
      <c r="DU183" s="228">
        <v>820</v>
      </c>
      <c r="DV183" s="228">
        <v>800</v>
      </c>
      <c r="DW183" s="228">
        <v>0.7</v>
      </c>
      <c r="DX183" s="228">
        <v>0.44</v>
      </c>
      <c r="DY183" s="228">
        <v>0.26</v>
      </c>
      <c r="DZ183" s="229">
        <v>0.59089999999999998</v>
      </c>
      <c r="EA183" s="229">
        <v>9.4700000000000006E-2</v>
      </c>
      <c r="EB183" s="230">
        <v>1064800</v>
      </c>
      <c r="EC183" s="229">
        <v>-1.6000000000000001E-3</v>
      </c>
      <c r="ED183" s="229">
        <v>9.4700000000000006E-2</v>
      </c>
      <c r="EE183" s="228">
        <v>-1.05</v>
      </c>
      <c r="EF183" s="229">
        <v>-1.2999999999999999E-3</v>
      </c>
      <c r="EG183" s="230">
        <v>240883</v>
      </c>
      <c r="EH183" s="230">
        <v>342657</v>
      </c>
      <c r="EI183" s="229">
        <v>-0.29699999999999999</v>
      </c>
      <c r="EJ183" s="229">
        <v>0.59599999999999997</v>
      </c>
      <c r="EK183" s="228">
        <v>223.27</v>
      </c>
      <c r="EL183" s="228">
        <v>149.66</v>
      </c>
      <c r="EM183" s="228">
        <v>134.58000000000001</v>
      </c>
      <c r="EN183" s="228">
        <v>0</v>
      </c>
      <c r="EO183" s="228">
        <v>507.5</v>
      </c>
      <c r="EP183" s="228">
        <v>697.12</v>
      </c>
      <c r="EQ183" s="228">
        <v>-189.62</v>
      </c>
      <c r="ER183" s="229">
        <v>-0.27200000000000002</v>
      </c>
      <c r="ES183" s="228">
        <v>518.05999999999995</v>
      </c>
      <c r="ET183" s="228">
        <v>305.92</v>
      </c>
      <c r="EU183" s="231">
        <v>1094.5899999999999</v>
      </c>
      <c r="EV183" s="231">
        <v>59778558</v>
      </c>
      <c r="EW183" s="231">
        <v>1918.57</v>
      </c>
      <c r="EX183" s="231">
        <v>1901.3</v>
      </c>
      <c r="EY183" s="228">
        <v>17.27</v>
      </c>
      <c r="EZ183" s="229">
        <v>9.1000000000000004E-3</v>
      </c>
      <c r="FA183" s="229">
        <v>0.38579999999999998</v>
      </c>
      <c r="FB183" s="227" t="s">
        <v>567</v>
      </c>
      <c r="FC183">
        <f t="shared" si="3"/>
        <v>0</v>
      </c>
    </row>
    <row r="184" spans="1:159" ht="17.25" thickBot="1" x14ac:dyDescent="0.3">
      <c r="A184" s="226">
        <v>45889</v>
      </c>
      <c r="B184" s="227" t="s">
        <v>175</v>
      </c>
      <c r="C184" s="227" t="s">
        <v>462</v>
      </c>
      <c r="D184" s="228">
        <v>375</v>
      </c>
      <c r="E184" s="228">
        <v>8</v>
      </c>
      <c r="F184" s="231">
        <v>1861.7</v>
      </c>
      <c r="G184" s="231">
        <v>1858.4</v>
      </c>
      <c r="H184" s="228">
        <v>3.3</v>
      </c>
      <c r="I184" s="229">
        <v>1.8E-3</v>
      </c>
      <c r="J184" s="231">
        <v>1858.5</v>
      </c>
      <c r="K184" s="231">
        <v>1854.1</v>
      </c>
      <c r="L184" s="228">
        <v>4.4000000000000004</v>
      </c>
      <c r="M184" s="229">
        <v>2.3999999999999998E-3</v>
      </c>
      <c r="N184" s="231">
        <v>1861.7</v>
      </c>
      <c r="O184" s="231">
        <v>1858.4</v>
      </c>
      <c r="P184" s="228">
        <v>3.3</v>
      </c>
      <c r="Q184" s="229">
        <v>1.8E-3</v>
      </c>
      <c r="R184" s="231">
        <v>1872.3</v>
      </c>
      <c r="S184" s="231">
        <v>1869</v>
      </c>
      <c r="T184" s="228">
        <v>3.3</v>
      </c>
      <c r="U184" s="229">
        <v>1.8E-3</v>
      </c>
      <c r="V184" s="231">
        <v>1872.7</v>
      </c>
      <c r="W184" s="231">
        <v>1880</v>
      </c>
      <c r="X184" s="228">
        <v>-7.3</v>
      </c>
      <c r="Y184" s="229">
        <v>-3.8999999999999998E-3</v>
      </c>
      <c r="Z184" s="228">
        <v>3.2</v>
      </c>
      <c r="AA184" s="228">
        <v>4.3</v>
      </c>
      <c r="AB184" s="228">
        <v>-1.1000000000000001</v>
      </c>
      <c r="AC184" s="229">
        <v>1.6999999999999999E-3</v>
      </c>
      <c r="AD184" s="228">
        <v>3.2</v>
      </c>
      <c r="AE184" s="228">
        <v>4.3</v>
      </c>
      <c r="AF184" s="228">
        <v>-1.1000000000000001</v>
      </c>
      <c r="AG184" s="229">
        <v>1.6999999999999999E-3</v>
      </c>
      <c r="AH184" s="228">
        <v>13.8</v>
      </c>
      <c r="AI184" s="228">
        <v>14.9</v>
      </c>
      <c r="AJ184" s="228">
        <v>-1.1000000000000001</v>
      </c>
      <c r="AK184" s="229">
        <v>7.4000000000000003E-3</v>
      </c>
      <c r="AL184" s="228">
        <v>14.2</v>
      </c>
      <c r="AM184" s="228">
        <v>25.9</v>
      </c>
      <c r="AN184" s="228">
        <v>-11.7</v>
      </c>
      <c r="AO184" s="229">
        <v>7.6E-3</v>
      </c>
      <c r="AP184" s="231">
        <v>1856.1</v>
      </c>
      <c r="AQ184" s="231">
        <v>1866.02</v>
      </c>
      <c r="AR184" s="228">
        <v>0</v>
      </c>
      <c r="AS184" s="228">
        <v>139</v>
      </c>
      <c r="AT184" s="228">
        <v>206</v>
      </c>
      <c r="AU184" s="228">
        <v>-67</v>
      </c>
      <c r="AV184" s="229">
        <v>-0.32590000000000002</v>
      </c>
      <c r="AW184" s="228">
        <v>115</v>
      </c>
      <c r="AX184" s="228">
        <v>178</v>
      </c>
      <c r="AY184" s="228">
        <v>-63</v>
      </c>
      <c r="AZ184" s="229">
        <v>-0.3523</v>
      </c>
      <c r="BA184" s="228">
        <v>24</v>
      </c>
      <c r="BB184" s="228">
        <v>28</v>
      </c>
      <c r="BC184" s="228">
        <v>-4</v>
      </c>
      <c r="BD184" s="229">
        <v>-0.12939999999999999</v>
      </c>
      <c r="BE184" s="228">
        <v>0</v>
      </c>
      <c r="BF184" s="228">
        <v>1</v>
      </c>
      <c r="BG184" s="228">
        <v>-1</v>
      </c>
      <c r="BH184" s="229">
        <v>-0.88890000000000002</v>
      </c>
      <c r="BI184" s="228">
        <v>556</v>
      </c>
      <c r="BJ184" s="228">
        <v>815</v>
      </c>
      <c r="BK184" s="228">
        <v>-259</v>
      </c>
      <c r="BL184" s="229">
        <v>-0.3175</v>
      </c>
      <c r="BM184" s="228">
        <v>412</v>
      </c>
      <c r="BN184" s="228">
        <v>514</v>
      </c>
      <c r="BO184" s="228">
        <v>-102</v>
      </c>
      <c r="BP184" s="229">
        <v>-0.19869999999999999</v>
      </c>
      <c r="BQ184" s="230">
        <v>1108</v>
      </c>
      <c r="BR184" s="230">
        <v>1536</v>
      </c>
      <c r="BS184" s="228">
        <v>-428</v>
      </c>
      <c r="BT184" s="229">
        <v>-0.27889999999999998</v>
      </c>
      <c r="BU184" s="230">
        <v>452539</v>
      </c>
      <c r="BV184" s="230">
        <v>636877</v>
      </c>
      <c r="BW184" s="230">
        <v>-184338</v>
      </c>
      <c r="BX184" s="229">
        <v>-0.28939999999999999</v>
      </c>
      <c r="BY184" s="230">
        <v>1379</v>
      </c>
      <c r="BZ184" s="230">
        <v>1383</v>
      </c>
      <c r="CA184" s="228">
        <v>-3</v>
      </c>
      <c r="CB184" s="229">
        <v>-2.5000000000000001E-3</v>
      </c>
      <c r="CC184" s="230">
        <v>1298</v>
      </c>
      <c r="CD184" s="230">
        <v>1313</v>
      </c>
      <c r="CE184" s="228">
        <v>-15</v>
      </c>
      <c r="CF184" s="229">
        <v>-1.14E-2</v>
      </c>
      <c r="CG184" s="228">
        <v>77</v>
      </c>
      <c r="CH184" s="228">
        <v>65</v>
      </c>
      <c r="CI184" s="228">
        <v>12</v>
      </c>
      <c r="CJ184" s="229">
        <v>0.1782</v>
      </c>
      <c r="CK184" s="228">
        <v>4</v>
      </c>
      <c r="CL184" s="228">
        <v>4</v>
      </c>
      <c r="CM184" s="228">
        <v>0</v>
      </c>
      <c r="CN184" s="229">
        <v>-1.9199999999999998E-2</v>
      </c>
      <c r="CO184" s="228">
        <v>644</v>
      </c>
      <c r="CP184" s="228">
        <v>609</v>
      </c>
      <c r="CQ184" s="228">
        <v>34</v>
      </c>
      <c r="CR184" s="229">
        <v>5.6099999999999997E-2</v>
      </c>
      <c r="CS184" s="228">
        <v>277</v>
      </c>
      <c r="CT184" s="228">
        <v>259</v>
      </c>
      <c r="CU184" s="228">
        <v>19</v>
      </c>
      <c r="CV184" s="229">
        <v>7.2300000000000003E-2</v>
      </c>
      <c r="CW184" s="230">
        <v>2300</v>
      </c>
      <c r="CX184" s="230">
        <v>2251</v>
      </c>
      <c r="CY184" s="228">
        <v>49</v>
      </c>
      <c r="CZ184" s="229">
        <v>2.1999999999999999E-2</v>
      </c>
      <c r="DA184" s="228">
        <v>23.72</v>
      </c>
      <c r="DB184" s="228">
        <v>21.18</v>
      </c>
      <c r="DC184" s="228">
        <v>2.54</v>
      </c>
      <c r="DD184" s="228">
        <v>2.54</v>
      </c>
      <c r="DE184" s="228">
        <v>27.08</v>
      </c>
      <c r="DF184" s="228">
        <v>27.14</v>
      </c>
      <c r="DG184" s="228">
        <v>-3.36</v>
      </c>
      <c r="DH184" s="228">
        <v>-0.06</v>
      </c>
      <c r="DI184" s="228">
        <v>21.89</v>
      </c>
      <c r="DJ184" s="228">
        <v>20.65</v>
      </c>
      <c r="DK184" s="228">
        <v>1.24</v>
      </c>
      <c r="DL184" s="228">
        <v>1.24</v>
      </c>
      <c r="DM184" s="228">
        <v>26.18</v>
      </c>
      <c r="DN184" s="228">
        <v>22.03</v>
      </c>
      <c r="DO184" s="228">
        <v>4.1500000000000004</v>
      </c>
      <c r="DP184" s="228">
        <v>4.1500000000000004</v>
      </c>
      <c r="DQ184" s="228">
        <v>0.43</v>
      </c>
      <c r="DR184" s="228">
        <v>0.42</v>
      </c>
      <c r="DS184" s="228">
        <v>0.01</v>
      </c>
      <c r="DT184" s="229">
        <v>2.3800000000000002E-2</v>
      </c>
      <c r="DU184" s="231">
        <v>1900</v>
      </c>
      <c r="DV184" s="231">
        <v>1800</v>
      </c>
      <c r="DW184" s="228">
        <v>0.74</v>
      </c>
      <c r="DX184" s="228">
        <v>0.63</v>
      </c>
      <c r="DY184" s="228">
        <v>0.11</v>
      </c>
      <c r="DZ184" s="229">
        <v>0.17460000000000001</v>
      </c>
      <c r="EA184" s="229">
        <v>5.8500000000000003E-2</v>
      </c>
      <c r="EB184" s="230">
        <v>370875</v>
      </c>
      <c r="EC184" s="229">
        <v>5.7000000000000002E-3</v>
      </c>
      <c r="ED184" s="229">
        <v>5.8500000000000003E-2</v>
      </c>
      <c r="EE184" s="228">
        <v>9.92</v>
      </c>
      <c r="EF184" s="229">
        <v>5.3E-3</v>
      </c>
      <c r="EG184" s="230">
        <v>310329</v>
      </c>
      <c r="EH184" s="230">
        <v>377220</v>
      </c>
      <c r="EI184" s="229">
        <v>-0.17730000000000001</v>
      </c>
      <c r="EJ184" s="229">
        <v>0.68579999999999997</v>
      </c>
      <c r="EK184" s="228">
        <v>577.91999999999996</v>
      </c>
      <c r="EL184" s="228">
        <v>390.23</v>
      </c>
      <c r="EM184" s="228">
        <v>138.78</v>
      </c>
      <c r="EN184" s="228">
        <v>0</v>
      </c>
      <c r="EO184" s="231">
        <v>1106.93</v>
      </c>
      <c r="EP184" s="231">
        <v>1547.88</v>
      </c>
      <c r="EQ184" s="228">
        <v>-440.95</v>
      </c>
      <c r="ER184" s="229">
        <v>-0.28489999999999999</v>
      </c>
      <c r="ES184" s="228">
        <v>656.66</v>
      </c>
      <c r="ET184" s="228">
        <v>267.5</v>
      </c>
      <c r="EU184" s="231">
        <v>1379.56</v>
      </c>
      <c r="EV184" s="231">
        <v>89470264</v>
      </c>
      <c r="EW184" s="231">
        <v>2303.7199999999998</v>
      </c>
      <c r="EX184" s="231">
        <v>2250.94</v>
      </c>
      <c r="EY184" s="228">
        <v>52.78</v>
      </c>
      <c r="EZ184" s="229">
        <v>2.3400000000000001E-2</v>
      </c>
      <c r="FA184" s="229">
        <v>0.1381</v>
      </c>
      <c r="FB184" s="227" t="s">
        <v>556</v>
      </c>
      <c r="FC184">
        <f t="shared" si="3"/>
        <v>0</v>
      </c>
    </row>
    <row r="185" spans="1:159" ht="17.25" thickBot="1" x14ac:dyDescent="0.3">
      <c r="A185" s="226">
        <v>45889</v>
      </c>
      <c r="B185" s="227" t="s">
        <v>172</v>
      </c>
      <c r="C185" s="227" t="s">
        <v>283</v>
      </c>
      <c r="D185" s="228">
        <v>750</v>
      </c>
      <c r="E185" s="228">
        <v>8</v>
      </c>
      <c r="F185" s="228">
        <v>829.2</v>
      </c>
      <c r="G185" s="228">
        <v>831.05</v>
      </c>
      <c r="H185" s="228">
        <v>-1.85</v>
      </c>
      <c r="I185" s="229">
        <v>-2.2000000000000001E-3</v>
      </c>
      <c r="J185" s="228">
        <v>828.95</v>
      </c>
      <c r="K185" s="228">
        <v>830.4</v>
      </c>
      <c r="L185" s="228">
        <v>-1.45</v>
      </c>
      <c r="M185" s="229">
        <v>-1.6999999999999999E-3</v>
      </c>
      <c r="N185" s="228">
        <v>829.2</v>
      </c>
      <c r="O185" s="228">
        <v>831.05</v>
      </c>
      <c r="P185" s="228">
        <v>-1.85</v>
      </c>
      <c r="Q185" s="229">
        <v>-2.2000000000000001E-3</v>
      </c>
      <c r="R185" s="228">
        <v>833.95</v>
      </c>
      <c r="S185" s="228">
        <v>835.9</v>
      </c>
      <c r="T185" s="228">
        <v>-1.95</v>
      </c>
      <c r="U185" s="229">
        <v>-2.3E-3</v>
      </c>
      <c r="V185" s="228">
        <v>838.1</v>
      </c>
      <c r="W185" s="228">
        <v>840.05</v>
      </c>
      <c r="X185" s="228">
        <v>-1.95</v>
      </c>
      <c r="Y185" s="229">
        <v>-2.3E-3</v>
      </c>
      <c r="Z185" s="228">
        <v>0.25</v>
      </c>
      <c r="AA185" s="228">
        <v>0.65</v>
      </c>
      <c r="AB185" s="228">
        <v>-0.4</v>
      </c>
      <c r="AC185" s="229">
        <v>2.9999999999999997E-4</v>
      </c>
      <c r="AD185" s="228">
        <v>0.25</v>
      </c>
      <c r="AE185" s="228">
        <v>0.65</v>
      </c>
      <c r="AF185" s="228">
        <v>-0.4</v>
      </c>
      <c r="AG185" s="229">
        <v>2.9999999999999997E-4</v>
      </c>
      <c r="AH185" s="228">
        <v>5</v>
      </c>
      <c r="AI185" s="228">
        <v>5.5</v>
      </c>
      <c r="AJ185" s="228">
        <v>-0.5</v>
      </c>
      <c r="AK185" s="229">
        <v>6.0000000000000001E-3</v>
      </c>
      <c r="AL185" s="228">
        <v>9.15</v>
      </c>
      <c r="AM185" s="228">
        <v>9.65</v>
      </c>
      <c r="AN185" s="228">
        <v>-0.5</v>
      </c>
      <c r="AO185" s="229">
        <v>1.0999999999999999E-2</v>
      </c>
      <c r="AP185" s="228">
        <v>830.2</v>
      </c>
      <c r="AQ185" s="228">
        <v>834.78</v>
      </c>
      <c r="AR185" s="228">
        <v>0</v>
      </c>
      <c r="AS185" s="228">
        <v>936</v>
      </c>
      <c r="AT185" s="228">
        <v>930</v>
      </c>
      <c r="AU185" s="228">
        <v>6</v>
      </c>
      <c r="AV185" s="229">
        <v>6.1000000000000004E-3</v>
      </c>
      <c r="AW185" s="228">
        <v>722</v>
      </c>
      <c r="AX185" s="228">
        <v>760</v>
      </c>
      <c r="AY185" s="228">
        <v>-38</v>
      </c>
      <c r="AZ185" s="229">
        <v>-4.9799999999999997E-2</v>
      </c>
      <c r="BA185" s="228">
        <v>204</v>
      </c>
      <c r="BB185" s="228">
        <v>115</v>
      </c>
      <c r="BC185" s="228">
        <v>89</v>
      </c>
      <c r="BD185" s="229">
        <v>0.76829999999999998</v>
      </c>
      <c r="BE185" s="228">
        <v>10</v>
      </c>
      <c r="BF185" s="228">
        <v>55</v>
      </c>
      <c r="BG185" s="228">
        <v>-45</v>
      </c>
      <c r="BH185" s="229">
        <v>-0.81779999999999997</v>
      </c>
      <c r="BI185" s="230">
        <v>4368</v>
      </c>
      <c r="BJ185" s="230">
        <v>4066</v>
      </c>
      <c r="BK185" s="228">
        <v>302</v>
      </c>
      <c r="BL185" s="229">
        <v>7.4300000000000005E-2</v>
      </c>
      <c r="BM185" s="230">
        <v>3178</v>
      </c>
      <c r="BN185" s="230">
        <v>2166</v>
      </c>
      <c r="BO185" s="230">
        <v>1011</v>
      </c>
      <c r="BP185" s="229">
        <v>0.46689999999999998</v>
      </c>
      <c r="BQ185" s="230">
        <v>8481</v>
      </c>
      <c r="BR185" s="230">
        <v>7162</v>
      </c>
      <c r="BS185" s="230">
        <v>1319</v>
      </c>
      <c r="BT185" s="229">
        <v>0.1842</v>
      </c>
      <c r="BU185" s="230">
        <v>4650328</v>
      </c>
      <c r="BV185" s="230">
        <v>5366355</v>
      </c>
      <c r="BW185" s="230">
        <v>-716027</v>
      </c>
      <c r="BX185" s="229">
        <v>-0.13339999999999999</v>
      </c>
      <c r="BY185" s="230">
        <v>8907</v>
      </c>
      <c r="BZ185" s="230">
        <v>8908</v>
      </c>
      <c r="CA185" s="228">
        <v>-1</v>
      </c>
      <c r="CB185" s="229">
        <v>-1E-4</v>
      </c>
      <c r="CC185" s="230">
        <v>7887</v>
      </c>
      <c r="CD185" s="230">
        <v>8044</v>
      </c>
      <c r="CE185" s="228">
        <v>-157</v>
      </c>
      <c r="CF185" s="229">
        <v>-1.95E-2</v>
      </c>
      <c r="CG185" s="228">
        <v>724</v>
      </c>
      <c r="CH185" s="228">
        <v>573</v>
      </c>
      <c r="CI185" s="228">
        <v>152</v>
      </c>
      <c r="CJ185" s="229">
        <v>0.26529999999999998</v>
      </c>
      <c r="CK185" s="228">
        <v>296</v>
      </c>
      <c r="CL185" s="228">
        <v>292</v>
      </c>
      <c r="CM185" s="228">
        <v>4</v>
      </c>
      <c r="CN185" s="229">
        <v>1.32E-2</v>
      </c>
      <c r="CO185" s="230">
        <v>4658</v>
      </c>
      <c r="CP185" s="230">
        <v>4648</v>
      </c>
      <c r="CQ185" s="228">
        <v>10</v>
      </c>
      <c r="CR185" s="229">
        <v>2.2000000000000001E-3</v>
      </c>
      <c r="CS185" s="230">
        <v>3551</v>
      </c>
      <c r="CT185" s="230">
        <v>3709</v>
      </c>
      <c r="CU185" s="228">
        <v>-158</v>
      </c>
      <c r="CV185" s="229">
        <v>-4.2500000000000003E-2</v>
      </c>
      <c r="CW185" s="230">
        <v>17116</v>
      </c>
      <c r="CX185" s="230">
        <v>17265</v>
      </c>
      <c r="CY185" s="228">
        <v>-148</v>
      </c>
      <c r="CZ185" s="229">
        <v>-8.6E-3</v>
      </c>
      <c r="DA185" s="228">
        <v>16.68</v>
      </c>
      <c r="DB185" s="228">
        <v>17.21</v>
      </c>
      <c r="DC185" s="228">
        <v>-0.53</v>
      </c>
      <c r="DD185" s="228">
        <v>-0.53</v>
      </c>
      <c r="DE185" s="228">
        <v>27.72</v>
      </c>
      <c r="DF185" s="228">
        <v>27.79</v>
      </c>
      <c r="DG185" s="228">
        <v>-11.04</v>
      </c>
      <c r="DH185" s="228">
        <v>-7.0000000000000007E-2</v>
      </c>
      <c r="DI185" s="228">
        <v>16.23</v>
      </c>
      <c r="DJ185" s="228">
        <v>16.62</v>
      </c>
      <c r="DK185" s="228">
        <v>-0.39</v>
      </c>
      <c r="DL185" s="228">
        <v>-0.39</v>
      </c>
      <c r="DM185" s="228">
        <v>17.29</v>
      </c>
      <c r="DN185" s="228">
        <v>18.32</v>
      </c>
      <c r="DO185" s="228">
        <v>-1.03</v>
      </c>
      <c r="DP185" s="228">
        <v>-1.03</v>
      </c>
      <c r="DQ185" s="228">
        <v>0.76</v>
      </c>
      <c r="DR185" s="228">
        <v>0.8</v>
      </c>
      <c r="DS185" s="228">
        <v>-0.04</v>
      </c>
      <c r="DT185" s="229">
        <v>-0.05</v>
      </c>
      <c r="DU185" s="228">
        <v>830</v>
      </c>
      <c r="DV185" s="228">
        <v>800</v>
      </c>
      <c r="DW185" s="228">
        <v>0.73</v>
      </c>
      <c r="DX185" s="228">
        <v>0.53</v>
      </c>
      <c r="DY185" s="228">
        <v>0.2</v>
      </c>
      <c r="DZ185" s="229">
        <v>0.37740000000000001</v>
      </c>
      <c r="EA185" s="229">
        <v>0.1145</v>
      </c>
      <c r="EB185" s="230">
        <v>10423500</v>
      </c>
      <c r="EC185" s="229">
        <v>5.7000000000000002E-3</v>
      </c>
      <c r="ED185" s="229">
        <v>0.1145</v>
      </c>
      <c r="EE185" s="228">
        <v>4.58</v>
      </c>
      <c r="EF185" s="229">
        <v>5.4999999999999997E-3</v>
      </c>
      <c r="EG185" s="230">
        <v>2796986</v>
      </c>
      <c r="EH185" s="230">
        <v>3234052</v>
      </c>
      <c r="EI185" s="229">
        <v>-0.1351</v>
      </c>
      <c r="EJ185" s="229">
        <v>0.60150000000000003</v>
      </c>
      <c r="EK185" s="231">
        <v>4468.97</v>
      </c>
      <c r="EL185" s="231">
        <v>3138.11</v>
      </c>
      <c r="EM185" s="228">
        <v>938.51</v>
      </c>
      <c r="EN185" s="228">
        <v>0</v>
      </c>
      <c r="EO185" s="231">
        <v>8545.59</v>
      </c>
      <c r="EP185" s="231">
        <v>7237.35</v>
      </c>
      <c r="EQ185" s="231">
        <v>1308.23</v>
      </c>
      <c r="ER185" s="229">
        <v>0.18079999999999999</v>
      </c>
      <c r="ES185" s="231">
        <v>4744.6400000000003</v>
      </c>
      <c r="ET185" s="231">
        <v>3441.6</v>
      </c>
      <c r="EU185" s="231">
        <v>8914.49</v>
      </c>
      <c r="EV185" s="231">
        <v>814614425</v>
      </c>
      <c r="EW185" s="231">
        <v>17100.72</v>
      </c>
      <c r="EX185" s="231">
        <v>17260.37</v>
      </c>
      <c r="EY185" s="228">
        <v>-159.65</v>
      </c>
      <c r="EZ185" s="229">
        <v>-9.1999999999999998E-3</v>
      </c>
      <c r="FA185" s="229">
        <v>0.25340000000000001</v>
      </c>
      <c r="FB185" s="227" t="s">
        <v>568</v>
      </c>
      <c r="FC185">
        <f t="shared" si="3"/>
        <v>0</v>
      </c>
    </row>
    <row r="186" spans="1:159" ht="17.25" thickBot="1" x14ac:dyDescent="0.3">
      <c r="A186" s="226">
        <v>45889</v>
      </c>
      <c r="B186" s="227" t="s">
        <v>157</v>
      </c>
      <c r="C186" s="227" t="s">
        <v>284</v>
      </c>
      <c r="D186" s="228">
        <v>25</v>
      </c>
      <c r="E186" s="228">
        <v>8</v>
      </c>
      <c r="F186" s="231">
        <v>30790</v>
      </c>
      <c r="G186" s="231">
        <v>31025</v>
      </c>
      <c r="H186" s="228">
        <v>-235</v>
      </c>
      <c r="I186" s="229">
        <v>-7.6E-3</v>
      </c>
      <c r="J186" s="231">
        <v>30690</v>
      </c>
      <c r="K186" s="231">
        <v>30905</v>
      </c>
      <c r="L186" s="228">
        <v>-215</v>
      </c>
      <c r="M186" s="229">
        <v>-7.0000000000000001E-3</v>
      </c>
      <c r="N186" s="231">
        <v>30790</v>
      </c>
      <c r="O186" s="231">
        <v>31025</v>
      </c>
      <c r="P186" s="228">
        <v>-235</v>
      </c>
      <c r="Q186" s="229">
        <v>-7.6E-3</v>
      </c>
      <c r="R186" s="231">
        <v>30880</v>
      </c>
      <c r="S186" s="231">
        <v>31100</v>
      </c>
      <c r="T186" s="228">
        <v>-220</v>
      </c>
      <c r="U186" s="229">
        <v>-7.1000000000000004E-3</v>
      </c>
      <c r="V186" s="231">
        <v>30875</v>
      </c>
      <c r="W186" s="231">
        <v>30875</v>
      </c>
      <c r="X186" s="228">
        <v>0</v>
      </c>
      <c r="Y186" s="229">
        <v>0</v>
      </c>
      <c r="Z186" s="228">
        <v>100</v>
      </c>
      <c r="AA186" s="228">
        <v>120</v>
      </c>
      <c r="AB186" s="228">
        <v>-20</v>
      </c>
      <c r="AC186" s="229">
        <v>3.3E-3</v>
      </c>
      <c r="AD186" s="228">
        <v>100</v>
      </c>
      <c r="AE186" s="228">
        <v>120</v>
      </c>
      <c r="AF186" s="228">
        <v>-20</v>
      </c>
      <c r="AG186" s="229">
        <v>3.3E-3</v>
      </c>
      <c r="AH186" s="228">
        <v>190</v>
      </c>
      <c r="AI186" s="228">
        <v>195</v>
      </c>
      <c r="AJ186" s="228">
        <v>-5</v>
      </c>
      <c r="AK186" s="229">
        <v>6.1999999999999998E-3</v>
      </c>
      <c r="AL186" s="228">
        <v>185</v>
      </c>
      <c r="AM186" s="228">
        <v>-30</v>
      </c>
      <c r="AN186" s="228">
        <v>215</v>
      </c>
      <c r="AO186" s="229">
        <v>6.0000000000000001E-3</v>
      </c>
      <c r="AP186" s="231">
        <v>30936.27</v>
      </c>
      <c r="AQ186" s="231">
        <v>31072.73</v>
      </c>
      <c r="AR186" s="228">
        <v>0</v>
      </c>
      <c r="AS186" s="228">
        <v>100</v>
      </c>
      <c r="AT186" s="228">
        <v>164</v>
      </c>
      <c r="AU186" s="228">
        <v>-64</v>
      </c>
      <c r="AV186" s="229">
        <v>-0.3896</v>
      </c>
      <c r="AW186" s="228">
        <v>90</v>
      </c>
      <c r="AX186" s="228">
        <v>138</v>
      </c>
      <c r="AY186" s="228">
        <v>-49</v>
      </c>
      <c r="AZ186" s="229">
        <v>-0.35210000000000002</v>
      </c>
      <c r="BA186" s="228">
        <v>10</v>
      </c>
      <c r="BB186" s="228">
        <v>25</v>
      </c>
      <c r="BC186" s="228">
        <v>-15</v>
      </c>
      <c r="BD186" s="229">
        <v>-0.59260000000000002</v>
      </c>
      <c r="BE186" s="228">
        <v>0</v>
      </c>
      <c r="BF186" s="228">
        <v>0</v>
      </c>
      <c r="BG186" s="228">
        <v>0</v>
      </c>
      <c r="BH186" s="229">
        <v>-1</v>
      </c>
      <c r="BI186" s="228">
        <v>388</v>
      </c>
      <c r="BJ186" s="228">
        <v>464</v>
      </c>
      <c r="BK186" s="228">
        <v>-76</v>
      </c>
      <c r="BL186" s="229">
        <v>-0.16300000000000001</v>
      </c>
      <c r="BM186" s="228">
        <v>150</v>
      </c>
      <c r="BN186" s="228">
        <v>333</v>
      </c>
      <c r="BO186" s="228">
        <v>-183</v>
      </c>
      <c r="BP186" s="229">
        <v>-0.54920000000000002</v>
      </c>
      <c r="BQ186" s="228">
        <v>638</v>
      </c>
      <c r="BR186" s="228">
        <v>960</v>
      </c>
      <c r="BS186" s="228">
        <v>-322</v>
      </c>
      <c r="BT186" s="229">
        <v>-0.33560000000000001</v>
      </c>
      <c r="BU186" s="230">
        <v>29712</v>
      </c>
      <c r="BV186" s="230">
        <v>44946</v>
      </c>
      <c r="BW186" s="230">
        <v>-15234</v>
      </c>
      <c r="BX186" s="229">
        <v>-0.33889999999999998</v>
      </c>
      <c r="BY186" s="228">
        <v>776</v>
      </c>
      <c r="BZ186" s="228">
        <v>761</v>
      </c>
      <c r="CA186" s="228">
        <v>15</v>
      </c>
      <c r="CB186" s="229">
        <v>2.0299999999999999E-2</v>
      </c>
      <c r="CC186" s="228">
        <v>749</v>
      </c>
      <c r="CD186" s="228">
        <v>735</v>
      </c>
      <c r="CE186" s="228">
        <v>14</v>
      </c>
      <c r="CF186" s="229">
        <v>1.8499999999999999E-2</v>
      </c>
      <c r="CG186" s="228">
        <v>27</v>
      </c>
      <c r="CH186" s="228">
        <v>25</v>
      </c>
      <c r="CI186" s="228">
        <v>2</v>
      </c>
      <c r="CJ186" s="229">
        <v>7.4300000000000005E-2</v>
      </c>
      <c r="CK186" s="228">
        <v>1</v>
      </c>
      <c r="CL186" s="228">
        <v>1</v>
      </c>
      <c r="CM186" s="228">
        <v>0</v>
      </c>
      <c r="CN186" s="229">
        <v>0</v>
      </c>
      <c r="CO186" s="228">
        <v>276</v>
      </c>
      <c r="CP186" s="228">
        <v>236</v>
      </c>
      <c r="CQ186" s="228">
        <v>40</v>
      </c>
      <c r="CR186" s="229">
        <v>0.1676</v>
      </c>
      <c r="CS186" s="228">
        <v>133</v>
      </c>
      <c r="CT186" s="228">
        <v>132</v>
      </c>
      <c r="CU186" s="228">
        <v>1</v>
      </c>
      <c r="CV186" s="229">
        <v>6.4000000000000003E-3</v>
      </c>
      <c r="CW186" s="230">
        <v>1185</v>
      </c>
      <c r="CX186" s="230">
        <v>1129</v>
      </c>
      <c r="CY186" s="228">
        <v>56</v>
      </c>
      <c r="CZ186" s="229">
        <v>4.9599999999999998E-2</v>
      </c>
      <c r="DA186" s="228">
        <v>25.9</v>
      </c>
      <c r="DB186" s="228">
        <v>25.05</v>
      </c>
      <c r="DC186" s="228">
        <v>0.85</v>
      </c>
      <c r="DD186" s="228">
        <v>0.85</v>
      </c>
      <c r="DE186" s="228">
        <v>27.11</v>
      </c>
      <c r="DF186" s="228">
        <v>27.16</v>
      </c>
      <c r="DG186" s="228">
        <v>-1.21</v>
      </c>
      <c r="DH186" s="228">
        <v>-0.05</v>
      </c>
      <c r="DI186" s="228">
        <v>26.57</v>
      </c>
      <c r="DJ186" s="228">
        <v>25.54</v>
      </c>
      <c r="DK186" s="228">
        <v>1.03</v>
      </c>
      <c r="DL186" s="228">
        <v>1.03</v>
      </c>
      <c r="DM186" s="228">
        <v>24.18</v>
      </c>
      <c r="DN186" s="228">
        <v>24.37</v>
      </c>
      <c r="DO186" s="228">
        <v>-0.19</v>
      </c>
      <c r="DP186" s="228">
        <v>-0.19</v>
      </c>
      <c r="DQ186" s="228">
        <v>0.48</v>
      </c>
      <c r="DR186" s="228">
        <v>0.56000000000000005</v>
      </c>
      <c r="DS186" s="228">
        <v>-0.08</v>
      </c>
      <c r="DT186" s="229">
        <v>-0.1429</v>
      </c>
      <c r="DU186" s="231">
        <v>32000</v>
      </c>
      <c r="DV186" s="231">
        <v>31500</v>
      </c>
      <c r="DW186" s="228">
        <v>0.39</v>
      </c>
      <c r="DX186" s="228">
        <v>0.72</v>
      </c>
      <c r="DY186" s="228">
        <v>-0.33</v>
      </c>
      <c r="DZ186" s="229">
        <v>-0.45829999999999999</v>
      </c>
      <c r="EA186" s="229">
        <v>3.5200000000000002E-2</v>
      </c>
      <c r="EB186" s="230">
        <v>8275</v>
      </c>
      <c r="EC186" s="229">
        <v>2.8999999999999998E-3</v>
      </c>
      <c r="ED186" s="229">
        <v>3.5200000000000002E-2</v>
      </c>
      <c r="EE186" s="228">
        <v>136.46</v>
      </c>
      <c r="EF186" s="229">
        <v>4.4000000000000003E-3</v>
      </c>
      <c r="EG186" s="230">
        <v>14338</v>
      </c>
      <c r="EH186" s="230">
        <v>27197</v>
      </c>
      <c r="EI186" s="229">
        <v>-0.4728</v>
      </c>
      <c r="EJ186" s="229">
        <v>0.48259999999999997</v>
      </c>
      <c r="EK186" s="228">
        <v>404.54</v>
      </c>
      <c r="EL186" s="228">
        <v>154.31</v>
      </c>
      <c r="EM186" s="228">
        <v>100.36</v>
      </c>
      <c r="EN186" s="228">
        <v>0</v>
      </c>
      <c r="EO186" s="228">
        <v>659.21</v>
      </c>
      <c r="EP186" s="228">
        <v>992.97</v>
      </c>
      <c r="EQ186" s="228">
        <v>-333.76</v>
      </c>
      <c r="ER186" s="229">
        <v>-0.33610000000000001</v>
      </c>
      <c r="ES186" s="228">
        <v>289.56</v>
      </c>
      <c r="ET186" s="228">
        <v>129.11000000000001</v>
      </c>
      <c r="EU186" s="228">
        <v>776.14</v>
      </c>
      <c r="EV186" s="231">
        <v>2702310</v>
      </c>
      <c r="EW186" s="231">
        <v>1194.81</v>
      </c>
      <c r="EX186" s="231">
        <v>1143.6500000000001</v>
      </c>
      <c r="EY186" s="228">
        <v>51.16</v>
      </c>
      <c r="EZ186" s="229">
        <v>4.4699999999999997E-2</v>
      </c>
      <c r="FA186" s="229">
        <v>0.1424</v>
      </c>
      <c r="FB186" s="227" t="s">
        <v>567</v>
      </c>
      <c r="FC186">
        <f t="shared" si="3"/>
        <v>0</v>
      </c>
    </row>
    <row r="187" spans="1:159" ht="17.25" thickBot="1" x14ac:dyDescent="0.3">
      <c r="A187" s="226">
        <v>45889</v>
      </c>
      <c r="B187" s="227" t="s">
        <v>175</v>
      </c>
      <c r="C187" s="227" t="s">
        <v>562</v>
      </c>
      <c r="D187" s="228">
        <v>825</v>
      </c>
      <c r="E187" s="228">
        <v>8</v>
      </c>
      <c r="F187" s="228">
        <v>618.20000000000005</v>
      </c>
      <c r="G187" s="228">
        <v>626.9</v>
      </c>
      <c r="H187" s="228">
        <v>-8.6999999999999993</v>
      </c>
      <c r="I187" s="229">
        <v>-1.3899999999999999E-2</v>
      </c>
      <c r="J187" s="228">
        <v>616.29999999999995</v>
      </c>
      <c r="K187" s="228">
        <v>626.35</v>
      </c>
      <c r="L187" s="228">
        <v>-10.050000000000001</v>
      </c>
      <c r="M187" s="229">
        <v>-1.6E-2</v>
      </c>
      <c r="N187" s="228">
        <v>618.20000000000005</v>
      </c>
      <c r="O187" s="228">
        <v>626.9</v>
      </c>
      <c r="P187" s="228">
        <v>-8.6999999999999993</v>
      </c>
      <c r="Q187" s="229">
        <v>-1.3899999999999999E-2</v>
      </c>
      <c r="R187" s="228">
        <v>621.4</v>
      </c>
      <c r="S187" s="228">
        <v>630.04999999999995</v>
      </c>
      <c r="T187" s="228">
        <v>-8.65</v>
      </c>
      <c r="U187" s="229">
        <v>-1.37E-2</v>
      </c>
      <c r="V187" s="228">
        <v>624.54999999999995</v>
      </c>
      <c r="W187" s="228">
        <v>632.9</v>
      </c>
      <c r="X187" s="228">
        <v>-8.35</v>
      </c>
      <c r="Y187" s="229">
        <v>-1.32E-2</v>
      </c>
      <c r="Z187" s="228">
        <v>1.9</v>
      </c>
      <c r="AA187" s="228">
        <v>0.55000000000000004</v>
      </c>
      <c r="AB187" s="228">
        <v>1.35</v>
      </c>
      <c r="AC187" s="229">
        <v>3.0999999999999999E-3</v>
      </c>
      <c r="AD187" s="228">
        <v>1.9</v>
      </c>
      <c r="AE187" s="228">
        <v>0.55000000000000004</v>
      </c>
      <c r="AF187" s="228">
        <v>1.35</v>
      </c>
      <c r="AG187" s="229">
        <v>3.0999999999999999E-3</v>
      </c>
      <c r="AH187" s="228">
        <v>5.0999999999999996</v>
      </c>
      <c r="AI187" s="228">
        <v>3.7</v>
      </c>
      <c r="AJ187" s="228">
        <v>1.4</v>
      </c>
      <c r="AK187" s="229">
        <v>8.3000000000000001E-3</v>
      </c>
      <c r="AL187" s="228">
        <v>8.25</v>
      </c>
      <c r="AM187" s="228">
        <v>6.55</v>
      </c>
      <c r="AN187" s="228">
        <v>1.7</v>
      </c>
      <c r="AO187" s="229">
        <v>1.34E-2</v>
      </c>
      <c r="AP187" s="228">
        <v>617.96</v>
      </c>
      <c r="AQ187" s="228">
        <v>621.47</v>
      </c>
      <c r="AR187" s="228">
        <v>0</v>
      </c>
      <c r="AS187" s="228">
        <v>388</v>
      </c>
      <c r="AT187" s="228">
        <v>320</v>
      </c>
      <c r="AU187" s="228">
        <v>69</v>
      </c>
      <c r="AV187" s="229">
        <v>0.2152</v>
      </c>
      <c r="AW187" s="228">
        <v>292</v>
      </c>
      <c r="AX187" s="228">
        <v>259</v>
      </c>
      <c r="AY187" s="228">
        <v>32</v>
      </c>
      <c r="AZ187" s="229">
        <v>0.1246</v>
      </c>
      <c r="BA187" s="228">
        <v>90</v>
      </c>
      <c r="BB187" s="228">
        <v>57</v>
      </c>
      <c r="BC187" s="228">
        <v>32</v>
      </c>
      <c r="BD187" s="229">
        <v>0.55810000000000004</v>
      </c>
      <c r="BE187" s="228">
        <v>7</v>
      </c>
      <c r="BF187" s="228">
        <v>3</v>
      </c>
      <c r="BG187" s="228">
        <v>4</v>
      </c>
      <c r="BH187" s="229">
        <v>1.6667000000000001</v>
      </c>
      <c r="BI187" s="228">
        <v>715</v>
      </c>
      <c r="BJ187" s="228">
        <v>692</v>
      </c>
      <c r="BK187" s="228">
        <v>22</v>
      </c>
      <c r="BL187" s="229">
        <v>3.2199999999999999E-2</v>
      </c>
      <c r="BM187" s="228">
        <v>377</v>
      </c>
      <c r="BN187" s="228">
        <v>382</v>
      </c>
      <c r="BO187" s="228">
        <v>-6</v>
      </c>
      <c r="BP187" s="229">
        <v>-1.5100000000000001E-2</v>
      </c>
      <c r="BQ187" s="230">
        <v>1480</v>
      </c>
      <c r="BR187" s="230">
        <v>1394</v>
      </c>
      <c r="BS187" s="228">
        <v>85</v>
      </c>
      <c r="BT187" s="229">
        <v>6.1199999999999997E-2</v>
      </c>
      <c r="BU187" s="230">
        <v>6028040</v>
      </c>
      <c r="BV187" s="230">
        <v>4953388</v>
      </c>
      <c r="BW187" s="230">
        <v>1074652</v>
      </c>
      <c r="BX187" s="229">
        <v>0.217</v>
      </c>
      <c r="BY187" s="230">
        <v>2447</v>
      </c>
      <c r="BZ187" s="230">
        <v>2377</v>
      </c>
      <c r="CA187" s="228">
        <v>70</v>
      </c>
      <c r="CB187" s="229">
        <v>2.9499999999999998E-2</v>
      </c>
      <c r="CC187" s="230">
        <v>2212</v>
      </c>
      <c r="CD187" s="230">
        <v>2202</v>
      </c>
      <c r="CE187" s="228">
        <v>10</v>
      </c>
      <c r="CF187" s="229">
        <v>4.5999999999999999E-3</v>
      </c>
      <c r="CG187" s="228">
        <v>222</v>
      </c>
      <c r="CH187" s="228">
        <v>166</v>
      </c>
      <c r="CI187" s="228">
        <v>56</v>
      </c>
      <c r="CJ187" s="229">
        <v>0.33789999999999998</v>
      </c>
      <c r="CK187" s="228">
        <v>13</v>
      </c>
      <c r="CL187" s="228">
        <v>9</v>
      </c>
      <c r="CM187" s="228">
        <v>4</v>
      </c>
      <c r="CN187" s="229">
        <v>0.42780000000000001</v>
      </c>
      <c r="CO187" s="228">
        <v>604</v>
      </c>
      <c r="CP187" s="228">
        <v>533</v>
      </c>
      <c r="CQ187" s="228">
        <v>71</v>
      </c>
      <c r="CR187" s="229">
        <v>0.1328</v>
      </c>
      <c r="CS187" s="228">
        <v>368</v>
      </c>
      <c r="CT187" s="228">
        <v>350</v>
      </c>
      <c r="CU187" s="228">
        <v>17</v>
      </c>
      <c r="CV187" s="229">
        <v>4.9200000000000001E-2</v>
      </c>
      <c r="CW187" s="230">
        <v>3419</v>
      </c>
      <c r="CX187" s="230">
        <v>3261</v>
      </c>
      <c r="CY187" s="228">
        <v>158</v>
      </c>
      <c r="CZ187" s="229">
        <v>4.8500000000000001E-2</v>
      </c>
      <c r="DA187" s="228">
        <v>31.62</v>
      </c>
      <c r="DB187" s="228">
        <v>31.09</v>
      </c>
      <c r="DC187" s="228">
        <v>0.53</v>
      </c>
      <c r="DD187" s="228">
        <v>0.53</v>
      </c>
      <c r="DE187" s="228">
        <v>42.21</v>
      </c>
      <c r="DF187" s="228">
        <v>42.26</v>
      </c>
      <c r="DG187" s="228">
        <v>-10.59</v>
      </c>
      <c r="DH187" s="228">
        <v>-0.05</v>
      </c>
      <c r="DI187" s="228">
        <v>32.29</v>
      </c>
      <c r="DJ187" s="228">
        <v>31.17</v>
      </c>
      <c r="DK187" s="228">
        <v>1.1200000000000001</v>
      </c>
      <c r="DL187" s="228">
        <v>1.1200000000000001</v>
      </c>
      <c r="DM187" s="228">
        <v>30.34</v>
      </c>
      <c r="DN187" s="228">
        <v>30.93</v>
      </c>
      <c r="DO187" s="228">
        <v>-0.59</v>
      </c>
      <c r="DP187" s="228">
        <v>-0.59</v>
      </c>
      <c r="DQ187" s="228">
        <v>0.61</v>
      </c>
      <c r="DR187" s="228">
        <v>0.66</v>
      </c>
      <c r="DS187" s="228">
        <v>-0.05</v>
      </c>
      <c r="DT187" s="229">
        <v>-7.5800000000000006E-2</v>
      </c>
      <c r="DU187" s="228">
        <v>700</v>
      </c>
      <c r="DV187" s="228">
        <v>620</v>
      </c>
      <c r="DW187" s="228">
        <v>0.53</v>
      </c>
      <c r="DX187" s="228">
        <v>0.55000000000000004</v>
      </c>
      <c r="DY187" s="228">
        <v>-0.02</v>
      </c>
      <c r="DZ187" s="229">
        <v>-3.6400000000000002E-2</v>
      </c>
      <c r="EA187" s="229">
        <v>9.6100000000000005E-2</v>
      </c>
      <c r="EB187" s="230">
        <v>2833875</v>
      </c>
      <c r="EC187" s="229">
        <v>5.1999999999999998E-3</v>
      </c>
      <c r="ED187" s="229">
        <v>9.6100000000000005E-2</v>
      </c>
      <c r="EE187" s="228">
        <v>3.51</v>
      </c>
      <c r="EF187" s="229">
        <v>5.7000000000000002E-3</v>
      </c>
      <c r="EG187" s="230">
        <v>3748969</v>
      </c>
      <c r="EH187" s="230">
        <v>2833662</v>
      </c>
      <c r="EI187" s="229">
        <v>0.32300000000000001</v>
      </c>
      <c r="EJ187" s="229">
        <v>0.62190000000000001</v>
      </c>
      <c r="EK187" s="228">
        <v>747.84</v>
      </c>
      <c r="EL187" s="228">
        <v>376.91</v>
      </c>
      <c r="EM187" s="228">
        <v>388.71</v>
      </c>
      <c r="EN187" s="228">
        <v>0</v>
      </c>
      <c r="EO187" s="231">
        <v>1513.46</v>
      </c>
      <c r="EP187" s="231">
        <v>1437.89</v>
      </c>
      <c r="EQ187" s="228">
        <v>75.56</v>
      </c>
      <c r="ER187" s="229">
        <v>5.2600000000000001E-2</v>
      </c>
      <c r="ES187" s="228">
        <v>643.95000000000005</v>
      </c>
      <c r="ET187" s="228">
        <v>361.32</v>
      </c>
      <c r="EU187" s="231">
        <v>2448.29</v>
      </c>
      <c r="EV187" s="231">
        <v>280612368</v>
      </c>
      <c r="EW187" s="231">
        <v>3453.55</v>
      </c>
      <c r="EX187" s="231">
        <v>3329.95</v>
      </c>
      <c r="EY187" s="228">
        <v>123.6</v>
      </c>
      <c r="EZ187" s="229">
        <v>3.7100000000000001E-2</v>
      </c>
      <c r="FA187" s="229">
        <v>0.1971</v>
      </c>
      <c r="FB187" s="227" t="s">
        <v>567</v>
      </c>
      <c r="FC187">
        <f t="shared" si="3"/>
        <v>0</v>
      </c>
    </row>
    <row r="188" spans="1:159" ht="17.25" thickBot="1" x14ac:dyDescent="0.3">
      <c r="A188" s="226">
        <v>45889</v>
      </c>
      <c r="B188" s="227" t="s">
        <v>184</v>
      </c>
      <c r="C188" s="227" t="s">
        <v>285</v>
      </c>
      <c r="D188" s="228">
        <v>125</v>
      </c>
      <c r="E188" s="228">
        <v>8</v>
      </c>
      <c r="F188" s="231">
        <v>3157.4</v>
      </c>
      <c r="G188" s="231">
        <v>3139.8</v>
      </c>
      <c r="H188" s="228">
        <v>17.600000000000001</v>
      </c>
      <c r="I188" s="229">
        <v>5.5999999999999999E-3</v>
      </c>
      <c r="J188" s="231">
        <v>3155.1</v>
      </c>
      <c r="K188" s="231">
        <v>3133.2</v>
      </c>
      <c r="L188" s="228">
        <v>21.9</v>
      </c>
      <c r="M188" s="229">
        <v>7.0000000000000001E-3</v>
      </c>
      <c r="N188" s="231">
        <v>3157.4</v>
      </c>
      <c r="O188" s="231">
        <v>3139.8</v>
      </c>
      <c r="P188" s="228">
        <v>17.600000000000001</v>
      </c>
      <c r="Q188" s="229">
        <v>5.5999999999999999E-3</v>
      </c>
      <c r="R188" s="231">
        <v>3174.7</v>
      </c>
      <c r="S188" s="231">
        <v>3156.8</v>
      </c>
      <c r="T188" s="228">
        <v>17.899999999999999</v>
      </c>
      <c r="U188" s="229">
        <v>5.7000000000000002E-3</v>
      </c>
      <c r="V188" s="231">
        <v>3190</v>
      </c>
      <c r="W188" s="231">
        <v>3165</v>
      </c>
      <c r="X188" s="228">
        <v>25</v>
      </c>
      <c r="Y188" s="229">
        <v>7.9000000000000008E-3</v>
      </c>
      <c r="Z188" s="228">
        <v>2.2999999999999998</v>
      </c>
      <c r="AA188" s="228">
        <v>6.6</v>
      </c>
      <c r="AB188" s="228">
        <v>-4.3</v>
      </c>
      <c r="AC188" s="229">
        <v>6.9999999999999999E-4</v>
      </c>
      <c r="AD188" s="228">
        <v>2.2999999999999998</v>
      </c>
      <c r="AE188" s="228">
        <v>6.6</v>
      </c>
      <c r="AF188" s="228">
        <v>-4.3</v>
      </c>
      <c r="AG188" s="229">
        <v>6.9999999999999999E-4</v>
      </c>
      <c r="AH188" s="228">
        <v>19.600000000000001</v>
      </c>
      <c r="AI188" s="228">
        <v>23.6</v>
      </c>
      <c r="AJ188" s="228">
        <v>-4</v>
      </c>
      <c r="AK188" s="229">
        <v>6.1999999999999998E-3</v>
      </c>
      <c r="AL188" s="228">
        <v>34.9</v>
      </c>
      <c r="AM188" s="228">
        <v>31.8</v>
      </c>
      <c r="AN188" s="228">
        <v>3.1</v>
      </c>
      <c r="AO188" s="229">
        <v>1.11E-2</v>
      </c>
      <c r="AP188" s="231">
        <v>3148.97</v>
      </c>
      <c r="AQ188" s="231">
        <v>3163.32</v>
      </c>
      <c r="AR188" s="228">
        <v>0</v>
      </c>
      <c r="AS188" s="228">
        <v>126</v>
      </c>
      <c r="AT188" s="228">
        <v>122</v>
      </c>
      <c r="AU188" s="228">
        <v>4</v>
      </c>
      <c r="AV188" s="229">
        <v>3.5299999999999998E-2</v>
      </c>
      <c r="AW188" s="228">
        <v>101</v>
      </c>
      <c r="AX188" s="228">
        <v>103</v>
      </c>
      <c r="AY188" s="228">
        <v>-3</v>
      </c>
      <c r="AZ188" s="229">
        <v>-2.6700000000000002E-2</v>
      </c>
      <c r="BA188" s="228">
        <v>24</v>
      </c>
      <c r="BB188" s="228">
        <v>18</v>
      </c>
      <c r="BC188" s="228">
        <v>7</v>
      </c>
      <c r="BD188" s="229">
        <v>0.36890000000000001</v>
      </c>
      <c r="BE188" s="228">
        <v>1</v>
      </c>
      <c r="BF188" s="228">
        <v>1</v>
      </c>
      <c r="BG188" s="228">
        <v>1</v>
      </c>
      <c r="BH188" s="229">
        <v>0.72219999999999995</v>
      </c>
      <c r="BI188" s="228">
        <v>613</v>
      </c>
      <c r="BJ188" s="228">
        <v>403</v>
      </c>
      <c r="BK188" s="228">
        <v>210</v>
      </c>
      <c r="BL188" s="229">
        <v>0.52070000000000005</v>
      </c>
      <c r="BM188" s="228">
        <v>218</v>
      </c>
      <c r="BN188" s="228">
        <v>246</v>
      </c>
      <c r="BO188" s="228">
        <v>-28</v>
      </c>
      <c r="BP188" s="229">
        <v>-0.1124</v>
      </c>
      <c r="BQ188" s="228">
        <v>957</v>
      </c>
      <c r="BR188" s="228">
        <v>771</v>
      </c>
      <c r="BS188" s="228">
        <v>187</v>
      </c>
      <c r="BT188" s="229">
        <v>0.24210000000000001</v>
      </c>
      <c r="BU188" s="230">
        <v>306809</v>
      </c>
      <c r="BV188" s="230">
        <v>195698</v>
      </c>
      <c r="BW188" s="230">
        <v>111111</v>
      </c>
      <c r="BX188" s="229">
        <v>0.56779999999999997</v>
      </c>
      <c r="BY188" s="228">
        <v>685</v>
      </c>
      <c r="BZ188" s="228">
        <v>673</v>
      </c>
      <c r="CA188" s="228">
        <v>12</v>
      </c>
      <c r="CB188" s="229">
        <v>1.8100000000000002E-2</v>
      </c>
      <c r="CC188" s="228">
        <v>621</v>
      </c>
      <c r="CD188" s="228">
        <v>617</v>
      </c>
      <c r="CE188" s="228">
        <v>4</v>
      </c>
      <c r="CF188" s="229">
        <v>6.4000000000000003E-3</v>
      </c>
      <c r="CG188" s="228">
        <v>61</v>
      </c>
      <c r="CH188" s="228">
        <v>53</v>
      </c>
      <c r="CI188" s="228">
        <v>8</v>
      </c>
      <c r="CJ188" s="229">
        <v>0.14230000000000001</v>
      </c>
      <c r="CK188" s="228">
        <v>3</v>
      </c>
      <c r="CL188" s="228">
        <v>3</v>
      </c>
      <c r="CM188" s="228">
        <v>1</v>
      </c>
      <c r="CN188" s="229">
        <v>0.2462</v>
      </c>
      <c r="CO188" s="228">
        <v>434</v>
      </c>
      <c r="CP188" s="228">
        <v>378</v>
      </c>
      <c r="CQ188" s="228">
        <v>56</v>
      </c>
      <c r="CR188" s="229">
        <v>0.1489</v>
      </c>
      <c r="CS188" s="228">
        <v>302</v>
      </c>
      <c r="CT188" s="228">
        <v>293</v>
      </c>
      <c r="CU188" s="228">
        <v>9</v>
      </c>
      <c r="CV188" s="229">
        <v>3.0200000000000001E-2</v>
      </c>
      <c r="CW188" s="230">
        <v>1420</v>
      </c>
      <c r="CX188" s="230">
        <v>1343</v>
      </c>
      <c r="CY188" s="228">
        <v>77</v>
      </c>
      <c r="CZ188" s="229">
        <v>5.7500000000000002E-2</v>
      </c>
      <c r="DA188" s="228">
        <v>29.09</v>
      </c>
      <c r="DB188" s="228">
        <v>30.64</v>
      </c>
      <c r="DC188" s="228">
        <v>-1.55</v>
      </c>
      <c r="DD188" s="228">
        <v>-1.55</v>
      </c>
      <c r="DE188" s="228">
        <v>41.83</v>
      </c>
      <c r="DF188" s="228">
        <v>41.93</v>
      </c>
      <c r="DG188" s="228">
        <v>-12.74</v>
      </c>
      <c r="DH188" s="228">
        <v>-0.1</v>
      </c>
      <c r="DI188" s="228">
        <v>28.64</v>
      </c>
      <c r="DJ188" s="228">
        <v>29.66</v>
      </c>
      <c r="DK188" s="228">
        <v>-1.02</v>
      </c>
      <c r="DL188" s="228">
        <v>-1.02</v>
      </c>
      <c r="DM188" s="228">
        <v>30.37</v>
      </c>
      <c r="DN188" s="228">
        <v>32.26</v>
      </c>
      <c r="DO188" s="228">
        <v>-1.89</v>
      </c>
      <c r="DP188" s="228">
        <v>-1.89</v>
      </c>
      <c r="DQ188" s="228">
        <v>0.7</v>
      </c>
      <c r="DR188" s="228">
        <v>0.78</v>
      </c>
      <c r="DS188" s="228">
        <v>-0.08</v>
      </c>
      <c r="DT188" s="229">
        <v>-0.1026</v>
      </c>
      <c r="DU188" s="231">
        <v>3200</v>
      </c>
      <c r="DV188" s="231">
        <v>3000</v>
      </c>
      <c r="DW188" s="228">
        <v>0.36</v>
      </c>
      <c r="DX188" s="228">
        <v>0.61</v>
      </c>
      <c r="DY188" s="228">
        <v>-0.25</v>
      </c>
      <c r="DZ188" s="229">
        <v>-0.4098</v>
      </c>
      <c r="EA188" s="229">
        <v>9.3399999999999997E-2</v>
      </c>
      <c r="EB188" s="230">
        <v>176750</v>
      </c>
      <c r="EC188" s="229">
        <v>5.4999999999999997E-3</v>
      </c>
      <c r="ED188" s="229">
        <v>9.3399999999999997E-2</v>
      </c>
      <c r="EE188" s="228">
        <v>14.35</v>
      </c>
      <c r="EF188" s="229">
        <v>4.5999999999999999E-3</v>
      </c>
      <c r="EG188" s="230">
        <v>139464</v>
      </c>
      <c r="EH188" s="230">
        <v>49093</v>
      </c>
      <c r="EI188" s="229">
        <v>1.8408</v>
      </c>
      <c r="EJ188" s="229">
        <v>0.4546</v>
      </c>
      <c r="EK188" s="228">
        <v>630.72</v>
      </c>
      <c r="EL188" s="228">
        <v>213.88</v>
      </c>
      <c r="EM188" s="228">
        <v>126</v>
      </c>
      <c r="EN188" s="228">
        <v>0</v>
      </c>
      <c r="EO188" s="228">
        <v>970.61</v>
      </c>
      <c r="EP188" s="228">
        <v>775.94</v>
      </c>
      <c r="EQ188" s="228">
        <v>194.67</v>
      </c>
      <c r="ER188" s="229">
        <v>0.25090000000000001</v>
      </c>
      <c r="ES188" s="228">
        <v>444.48</v>
      </c>
      <c r="ET188" s="228">
        <v>284.11</v>
      </c>
      <c r="EU188" s="228">
        <v>685.56</v>
      </c>
      <c r="EV188" s="231">
        <v>17806118</v>
      </c>
      <c r="EW188" s="231">
        <v>1414.16</v>
      </c>
      <c r="EX188" s="231">
        <v>1332.3</v>
      </c>
      <c r="EY188" s="228">
        <v>81.86</v>
      </c>
      <c r="EZ188" s="229">
        <v>6.1400000000000003E-2</v>
      </c>
      <c r="FA188" s="229">
        <v>0.25269999999999998</v>
      </c>
      <c r="FB188" s="227" t="s">
        <v>555</v>
      </c>
      <c r="FC188">
        <f t="shared" si="3"/>
        <v>0</v>
      </c>
    </row>
    <row r="189" spans="1:159" ht="17.25" thickBot="1" x14ac:dyDescent="0.3">
      <c r="A189" s="226">
        <v>45889</v>
      </c>
      <c r="B189" s="227" t="s">
        <v>161</v>
      </c>
      <c r="C189" s="227" t="s">
        <v>600</v>
      </c>
      <c r="D189" s="228">
        <v>5875</v>
      </c>
      <c r="E189" s="228">
        <v>8</v>
      </c>
      <c r="F189" s="228">
        <v>97.79</v>
      </c>
      <c r="G189" s="228">
        <v>95.24</v>
      </c>
      <c r="H189" s="228">
        <v>2.5499999999999998</v>
      </c>
      <c r="I189" s="229">
        <v>2.6800000000000001E-2</v>
      </c>
      <c r="J189" s="228">
        <v>97.57</v>
      </c>
      <c r="K189" s="228">
        <v>94.88</v>
      </c>
      <c r="L189" s="228">
        <v>2.69</v>
      </c>
      <c r="M189" s="229">
        <v>2.8400000000000002E-2</v>
      </c>
      <c r="N189" s="228">
        <v>97.79</v>
      </c>
      <c r="O189" s="228">
        <v>95.24</v>
      </c>
      <c r="P189" s="228">
        <v>2.5499999999999998</v>
      </c>
      <c r="Q189" s="229">
        <v>2.6800000000000001E-2</v>
      </c>
      <c r="R189" s="228">
        <v>0</v>
      </c>
      <c r="S189" s="228">
        <v>0</v>
      </c>
      <c r="T189" s="228">
        <v>0</v>
      </c>
      <c r="U189" s="229">
        <v>0</v>
      </c>
      <c r="V189" s="228">
        <v>0</v>
      </c>
      <c r="W189" s="228">
        <v>0</v>
      </c>
      <c r="X189" s="228">
        <v>0</v>
      </c>
      <c r="Y189" s="229">
        <v>0</v>
      </c>
      <c r="Z189" s="228">
        <v>0.22</v>
      </c>
      <c r="AA189" s="228">
        <v>0.36</v>
      </c>
      <c r="AB189" s="228">
        <v>-0.14000000000000001</v>
      </c>
      <c r="AC189" s="229">
        <v>2.3E-3</v>
      </c>
      <c r="AD189" s="228">
        <v>0.22</v>
      </c>
      <c r="AE189" s="228">
        <v>0.36</v>
      </c>
      <c r="AF189" s="228">
        <v>-0.14000000000000001</v>
      </c>
      <c r="AG189" s="229">
        <v>2.3E-3</v>
      </c>
      <c r="AH189" s="228">
        <v>0</v>
      </c>
      <c r="AI189" s="228">
        <v>0</v>
      </c>
      <c r="AJ189" s="228">
        <v>0</v>
      </c>
      <c r="AK189" s="229">
        <v>0</v>
      </c>
      <c r="AL189" s="228">
        <v>0</v>
      </c>
      <c r="AM189" s="228">
        <v>0</v>
      </c>
      <c r="AN189" s="228">
        <v>0</v>
      </c>
      <c r="AO189" s="229">
        <v>0</v>
      </c>
      <c r="AP189" s="228">
        <v>97.96</v>
      </c>
      <c r="AQ189" s="228">
        <v>0</v>
      </c>
      <c r="AR189" s="228">
        <v>0</v>
      </c>
      <c r="AS189" s="228">
        <v>92</v>
      </c>
      <c r="AT189" s="228">
        <v>47</v>
      </c>
      <c r="AU189" s="228">
        <v>45</v>
      </c>
      <c r="AV189" s="229">
        <v>0.94789999999999996</v>
      </c>
      <c r="AW189" s="228">
        <v>92</v>
      </c>
      <c r="AX189" s="228">
        <v>47</v>
      </c>
      <c r="AY189" s="228">
        <v>45</v>
      </c>
      <c r="AZ189" s="229">
        <v>0.94789999999999996</v>
      </c>
      <c r="BA189" s="228">
        <v>0</v>
      </c>
      <c r="BB189" s="228">
        <v>0</v>
      </c>
      <c r="BC189" s="228">
        <v>0</v>
      </c>
      <c r="BD189" s="229">
        <v>0</v>
      </c>
      <c r="BE189" s="228">
        <v>0</v>
      </c>
      <c r="BF189" s="228">
        <v>0</v>
      </c>
      <c r="BG189" s="228">
        <v>0</v>
      </c>
      <c r="BH189" s="229">
        <v>0</v>
      </c>
      <c r="BI189" s="228">
        <v>687</v>
      </c>
      <c r="BJ189" s="228">
        <v>171</v>
      </c>
      <c r="BK189" s="228">
        <v>516</v>
      </c>
      <c r="BL189" s="229">
        <v>3.0097</v>
      </c>
      <c r="BM189" s="228">
        <v>210</v>
      </c>
      <c r="BN189" s="228">
        <v>37</v>
      </c>
      <c r="BO189" s="228">
        <v>173</v>
      </c>
      <c r="BP189" s="229">
        <v>4.6775000000000002</v>
      </c>
      <c r="BQ189" s="228">
        <v>990</v>
      </c>
      <c r="BR189" s="228">
        <v>256</v>
      </c>
      <c r="BS189" s="228">
        <v>734</v>
      </c>
      <c r="BT189" s="229">
        <v>2.8689</v>
      </c>
      <c r="BU189" s="230">
        <v>14294408</v>
      </c>
      <c r="BV189" s="230">
        <v>4626299</v>
      </c>
      <c r="BW189" s="230">
        <v>9668109</v>
      </c>
      <c r="BX189" s="229">
        <v>2.0897999999999999</v>
      </c>
      <c r="BY189" s="228">
        <v>151</v>
      </c>
      <c r="BZ189" s="228">
        <v>148</v>
      </c>
      <c r="CA189" s="228">
        <v>4</v>
      </c>
      <c r="CB189" s="229">
        <v>2.53E-2</v>
      </c>
      <c r="CC189" s="228">
        <v>151</v>
      </c>
      <c r="CD189" s="228">
        <v>148</v>
      </c>
      <c r="CE189" s="228">
        <v>4</v>
      </c>
      <c r="CF189" s="229">
        <v>2.53E-2</v>
      </c>
      <c r="CG189" s="228">
        <v>0</v>
      </c>
      <c r="CH189" s="228">
        <v>0</v>
      </c>
      <c r="CI189" s="228">
        <v>0</v>
      </c>
      <c r="CJ189" s="229">
        <v>0</v>
      </c>
      <c r="CK189" s="228">
        <v>0</v>
      </c>
      <c r="CL189" s="228">
        <v>0</v>
      </c>
      <c r="CM189" s="228">
        <v>0</v>
      </c>
      <c r="CN189" s="229">
        <v>0</v>
      </c>
      <c r="CO189" s="228">
        <v>161</v>
      </c>
      <c r="CP189" s="228">
        <v>162</v>
      </c>
      <c r="CQ189" s="228">
        <v>0</v>
      </c>
      <c r="CR189" s="229">
        <v>-6.9999999999999999E-4</v>
      </c>
      <c r="CS189" s="228">
        <v>107</v>
      </c>
      <c r="CT189" s="228">
        <v>74</v>
      </c>
      <c r="CU189" s="228">
        <v>32</v>
      </c>
      <c r="CV189" s="229">
        <v>0.43540000000000001</v>
      </c>
      <c r="CW189" s="228">
        <v>419</v>
      </c>
      <c r="CX189" s="228">
        <v>383</v>
      </c>
      <c r="CY189" s="228">
        <v>36</v>
      </c>
      <c r="CZ189" s="229">
        <v>9.3799999999999994E-2</v>
      </c>
      <c r="DA189" s="228">
        <v>30.81</v>
      </c>
      <c r="DB189" s="228">
        <v>32.28</v>
      </c>
      <c r="DC189" s="228">
        <v>-1.47</v>
      </c>
      <c r="DD189" s="228">
        <v>-1.47</v>
      </c>
      <c r="DE189" s="228">
        <v>52.89</v>
      </c>
      <c r="DF189" s="228">
        <v>52.9</v>
      </c>
      <c r="DG189" s="228">
        <v>-22.08</v>
      </c>
      <c r="DH189" s="228">
        <v>-0.01</v>
      </c>
      <c r="DI189" s="228">
        <v>31.26</v>
      </c>
      <c r="DJ189" s="228">
        <v>32.340000000000003</v>
      </c>
      <c r="DK189" s="228">
        <v>-1.08</v>
      </c>
      <c r="DL189" s="228">
        <v>-1.08</v>
      </c>
      <c r="DM189" s="228">
        <v>29.32</v>
      </c>
      <c r="DN189" s="228">
        <v>32.049999999999997</v>
      </c>
      <c r="DO189" s="228">
        <v>-2.73</v>
      </c>
      <c r="DP189" s="228">
        <v>-2.73</v>
      </c>
      <c r="DQ189" s="228">
        <v>0.66</v>
      </c>
      <c r="DR189" s="228">
        <v>0.46</v>
      </c>
      <c r="DS189" s="228">
        <v>0.2</v>
      </c>
      <c r="DT189" s="229">
        <v>0.43480000000000002</v>
      </c>
      <c r="DU189" s="228">
        <v>100</v>
      </c>
      <c r="DV189" s="228">
        <v>97.5</v>
      </c>
      <c r="DW189" s="228">
        <v>0.31</v>
      </c>
      <c r="DX189" s="228">
        <v>0.22</v>
      </c>
      <c r="DY189" s="228">
        <v>0.09</v>
      </c>
      <c r="DZ189" s="229">
        <v>0.40910000000000002</v>
      </c>
      <c r="EA189" s="229">
        <v>0</v>
      </c>
      <c r="EB189" s="228">
        <v>0</v>
      </c>
      <c r="EC189" s="229">
        <v>0</v>
      </c>
      <c r="ED189" s="229">
        <v>0</v>
      </c>
      <c r="EE189" s="228">
        <v>0</v>
      </c>
      <c r="EF189" s="229">
        <v>0</v>
      </c>
      <c r="EG189" s="230">
        <v>4042203</v>
      </c>
      <c r="EH189" s="230">
        <v>1894469</v>
      </c>
      <c r="EI189" s="229">
        <v>1.1336999999999999</v>
      </c>
      <c r="EJ189" s="229">
        <v>0.2828</v>
      </c>
      <c r="EK189" s="228">
        <v>711.45</v>
      </c>
      <c r="EL189" s="228">
        <v>209.02</v>
      </c>
      <c r="EM189" s="228">
        <v>92.6</v>
      </c>
      <c r="EN189" s="228">
        <v>0</v>
      </c>
      <c r="EO189" s="231">
        <v>1013.08</v>
      </c>
      <c r="EP189" s="228">
        <v>253.11</v>
      </c>
      <c r="EQ189" s="228">
        <v>759.96</v>
      </c>
      <c r="ER189" s="229">
        <v>3.0024999999999999</v>
      </c>
      <c r="ES189" s="228">
        <v>166.85</v>
      </c>
      <c r="ET189" s="228">
        <v>101.56</v>
      </c>
      <c r="EU189" s="228">
        <v>151.27000000000001</v>
      </c>
      <c r="EV189" s="231">
        <v>142687689</v>
      </c>
      <c r="EW189" s="228">
        <v>419.68</v>
      </c>
      <c r="EX189" s="228">
        <v>379.35</v>
      </c>
      <c r="EY189" s="228">
        <v>40.33</v>
      </c>
      <c r="EZ189" s="229">
        <v>0.10630000000000001</v>
      </c>
      <c r="FA189" s="229">
        <v>0.30059999999999998</v>
      </c>
      <c r="FB189" s="227" t="s">
        <v>555</v>
      </c>
      <c r="FC189">
        <f t="shared" si="3"/>
        <v>0</v>
      </c>
    </row>
    <row r="190" spans="1:159" ht="17.25" thickBot="1" x14ac:dyDescent="0.3">
      <c r="A190" s="226">
        <v>45889</v>
      </c>
      <c r="B190" s="227" t="s">
        <v>498</v>
      </c>
      <c r="C190" s="227" t="s">
        <v>647</v>
      </c>
      <c r="D190" s="228">
        <v>75</v>
      </c>
      <c r="E190" s="228">
        <v>8</v>
      </c>
      <c r="F190" s="231">
        <v>14493</v>
      </c>
      <c r="G190" s="231">
        <v>14713</v>
      </c>
      <c r="H190" s="228">
        <v>-220</v>
      </c>
      <c r="I190" s="229">
        <v>-1.4999999999999999E-2</v>
      </c>
      <c r="J190" s="231">
        <v>14463</v>
      </c>
      <c r="K190" s="231">
        <v>14699</v>
      </c>
      <c r="L190" s="228">
        <v>-236</v>
      </c>
      <c r="M190" s="229">
        <v>-1.61E-2</v>
      </c>
      <c r="N190" s="231">
        <v>14493</v>
      </c>
      <c r="O190" s="231">
        <v>14713</v>
      </c>
      <c r="P190" s="228">
        <v>-220</v>
      </c>
      <c r="Q190" s="229">
        <v>-1.4999999999999999E-2</v>
      </c>
      <c r="R190" s="231">
        <v>14583</v>
      </c>
      <c r="S190" s="231">
        <v>14798</v>
      </c>
      <c r="T190" s="228">
        <v>-215</v>
      </c>
      <c r="U190" s="229">
        <v>-1.4500000000000001E-2</v>
      </c>
      <c r="V190" s="231">
        <v>14663</v>
      </c>
      <c r="W190" s="231">
        <v>14877</v>
      </c>
      <c r="X190" s="228">
        <v>-214</v>
      </c>
      <c r="Y190" s="229">
        <v>-1.44E-2</v>
      </c>
      <c r="Z190" s="228">
        <v>30</v>
      </c>
      <c r="AA190" s="228">
        <v>14</v>
      </c>
      <c r="AB190" s="228">
        <v>16</v>
      </c>
      <c r="AC190" s="229">
        <v>2.0999999999999999E-3</v>
      </c>
      <c r="AD190" s="228">
        <v>30</v>
      </c>
      <c r="AE190" s="228">
        <v>14</v>
      </c>
      <c r="AF190" s="228">
        <v>16</v>
      </c>
      <c r="AG190" s="229">
        <v>2.0999999999999999E-3</v>
      </c>
      <c r="AH190" s="228">
        <v>120</v>
      </c>
      <c r="AI190" s="228">
        <v>99</v>
      </c>
      <c r="AJ190" s="228">
        <v>21</v>
      </c>
      <c r="AK190" s="229">
        <v>8.3000000000000001E-3</v>
      </c>
      <c r="AL190" s="228">
        <v>200</v>
      </c>
      <c r="AM190" s="228">
        <v>178</v>
      </c>
      <c r="AN190" s="228">
        <v>22</v>
      </c>
      <c r="AO190" s="229">
        <v>1.38E-2</v>
      </c>
      <c r="AP190" s="231">
        <v>14604.93</v>
      </c>
      <c r="AQ190" s="231">
        <v>14690.15</v>
      </c>
      <c r="AR190" s="228">
        <v>0</v>
      </c>
      <c r="AS190" s="228">
        <v>235</v>
      </c>
      <c r="AT190" s="228">
        <v>268</v>
      </c>
      <c r="AU190" s="228">
        <v>-33</v>
      </c>
      <c r="AV190" s="229">
        <v>-0.12139999999999999</v>
      </c>
      <c r="AW190" s="228">
        <v>173</v>
      </c>
      <c r="AX190" s="228">
        <v>218</v>
      </c>
      <c r="AY190" s="228">
        <v>-45</v>
      </c>
      <c r="AZ190" s="229">
        <v>-0.20519999999999999</v>
      </c>
      <c r="BA190" s="228">
        <v>59</v>
      </c>
      <c r="BB190" s="228">
        <v>48</v>
      </c>
      <c r="BC190" s="228">
        <v>11</v>
      </c>
      <c r="BD190" s="229">
        <v>0.2336</v>
      </c>
      <c r="BE190" s="228">
        <v>3</v>
      </c>
      <c r="BF190" s="228">
        <v>2</v>
      </c>
      <c r="BG190" s="228">
        <v>1</v>
      </c>
      <c r="BH190" s="229">
        <v>0.5</v>
      </c>
      <c r="BI190" s="230">
        <v>1057</v>
      </c>
      <c r="BJ190" s="230">
        <v>1032</v>
      </c>
      <c r="BK190" s="228">
        <v>26</v>
      </c>
      <c r="BL190" s="229">
        <v>2.4899999999999999E-2</v>
      </c>
      <c r="BM190" s="228">
        <v>335</v>
      </c>
      <c r="BN190" s="228">
        <v>477</v>
      </c>
      <c r="BO190" s="228">
        <v>-142</v>
      </c>
      <c r="BP190" s="229">
        <v>-0.29770000000000002</v>
      </c>
      <c r="BQ190" s="230">
        <v>1627</v>
      </c>
      <c r="BR190" s="230">
        <v>1776</v>
      </c>
      <c r="BS190" s="228">
        <v>-149</v>
      </c>
      <c r="BT190" s="229">
        <v>-8.3699999999999997E-2</v>
      </c>
      <c r="BU190" s="230">
        <v>85935</v>
      </c>
      <c r="BV190" s="230">
        <v>94909</v>
      </c>
      <c r="BW190" s="230">
        <v>-8974</v>
      </c>
      <c r="BX190" s="229">
        <v>-9.4600000000000004E-2</v>
      </c>
      <c r="BY190" s="230">
        <v>1128</v>
      </c>
      <c r="BZ190" s="230">
        <v>1120</v>
      </c>
      <c r="CA190" s="228">
        <v>8</v>
      </c>
      <c r="CB190" s="229">
        <v>7.1999999999999998E-3</v>
      </c>
      <c r="CC190" s="230">
        <v>1005</v>
      </c>
      <c r="CD190" s="230">
        <v>1022</v>
      </c>
      <c r="CE190" s="228">
        <v>-17</v>
      </c>
      <c r="CF190" s="229">
        <v>-1.6199999999999999E-2</v>
      </c>
      <c r="CG190" s="228">
        <v>109</v>
      </c>
      <c r="CH190" s="228">
        <v>86</v>
      </c>
      <c r="CI190" s="228">
        <v>23</v>
      </c>
      <c r="CJ190" s="229">
        <v>0.26200000000000001</v>
      </c>
      <c r="CK190" s="228">
        <v>13</v>
      </c>
      <c r="CL190" s="228">
        <v>12</v>
      </c>
      <c r="CM190" s="228">
        <v>2</v>
      </c>
      <c r="CN190" s="229">
        <v>0.16980000000000001</v>
      </c>
      <c r="CO190" s="228">
        <v>885</v>
      </c>
      <c r="CP190" s="228">
        <v>852</v>
      </c>
      <c r="CQ190" s="228">
        <v>33</v>
      </c>
      <c r="CR190" s="229">
        <v>3.8800000000000001E-2</v>
      </c>
      <c r="CS190" s="228">
        <v>428</v>
      </c>
      <c r="CT190" s="228">
        <v>413</v>
      </c>
      <c r="CU190" s="228">
        <v>15</v>
      </c>
      <c r="CV190" s="229">
        <v>3.5799999999999998E-2</v>
      </c>
      <c r="CW190" s="230">
        <v>2440</v>
      </c>
      <c r="CX190" s="230">
        <v>2385</v>
      </c>
      <c r="CY190" s="228">
        <v>56</v>
      </c>
      <c r="CZ190" s="229">
        <v>2.3400000000000001E-2</v>
      </c>
      <c r="DA190" s="228">
        <v>35.5</v>
      </c>
      <c r="DB190" s="228">
        <v>35.19</v>
      </c>
      <c r="DC190" s="228">
        <v>0.31</v>
      </c>
      <c r="DD190" s="228">
        <v>0.31</v>
      </c>
      <c r="DE190" s="228">
        <v>43.14</v>
      </c>
      <c r="DF190" s="228">
        <v>43.2</v>
      </c>
      <c r="DG190" s="228">
        <v>-7.64</v>
      </c>
      <c r="DH190" s="228">
        <v>-0.06</v>
      </c>
      <c r="DI190" s="228">
        <v>36.58</v>
      </c>
      <c r="DJ190" s="228">
        <v>35.659999999999997</v>
      </c>
      <c r="DK190" s="228">
        <v>0.92</v>
      </c>
      <c r="DL190" s="228">
        <v>0.92</v>
      </c>
      <c r="DM190" s="228">
        <v>32.08</v>
      </c>
      <c r="DN190" s="228">
        <v>34.159999999999997</v>
      </c>
      <c r="DO190" s="228">
        <v>-2.08</v>
      </c>
      <c r="DP190" s="228">
        <v>-2.08</v>
      </c>
      <c r="DQ190" s="228">
        <v>0.48</v>
      </c>
      <c r="DR190" s="228">
        <v>0.49</v>
      </c>
      <c r="DS190" s="228">
        <v>-0.01</v>
      </c>
      <c r="DT190" s="229">
        <v>-2.0400000000000001E-2</v>
      </c>
      <c r="DU190" s="231">
        <v>15000</v>
      </c>
      <c r="DV190" s="231">
        <v>14000</v>
      </c>
      <c r="DW190" s="228">
        <v>0.32</v>
      </c>
      <c r="DX190" s="228">
        <v>0.46</v>
      </c>
      <c r="DY190" s="228">
        <v>-0.14000000000000001</v>
      </c>
      <c r="DZ190" s="229">
        <v>-0.30430000000000001</v>
      </c>
      <c r="EA190" s="229">
        <v>0.1085</v>
      </c>
      <c r="EB190" s="230">
        <v>67500</v>
      </c>
      <c r="EC190" s="229">
        <v>6.1999999999999998E-3</v>
      </c>
      <c r="ED190" s="229">
        <v>0.1085</v>
      </c>
      <c r="EE190" s="228">
        <v>85.22</v>
      </c>
      <c r="EF190" s="229">
        <v>5.7999999999999996E-3</v>
      </c>
      <c r="EG190" s="230">
        <v>39297</v>
      </c>
      <c r="EH190" s="230">
        <v>46441</v>
      </c>
      <c r="EI190" s="229">
        <v>-0.15379999999999999</v>
      </c>
      <c r="EJ190" s="229">
        <v>0.45729999999999998</v>
      </c>
      <c r="EK190" s="231">
        <v>1135.75</v>
      </c>
      <c r="EL190" s="228">
        <v>330.61</v>
      </c>
      <c r="EM190" s="228">
        <v>237.31</v>
      </c>
      <c r="EN190" s="228">
        <v>0</v>
      </c>
      <c r="EO190" s="231">
        <v>1703.67</v>
      </c>
      <c r="EP190" s="231">
        <v>1862.28</v>
      </c>
      <c r="EQ190" s="228">
        <v>-158.61000000000001</v>
      </c>
      <c r="ER190" s="229">
        <v>-8.5199999999999998E-2</v>
      </c>
      <c r="ES190" s="228">
        <v>956</v>
      </c>
      <c r="ET190" s="228">
        <v>414.7</v>
      </c>
      <c r="EU190" s="231">
        <v>1128.68</v>
      </c>
      <c r="EV190" s="231">
        <v>4859756</v>
      </c>
      <c r="EW190" s="231">
        <v>2499.38</v>
      </c>
      <c r="EX190" s="231">
        <v>2462.9</v>
      </c>
      <c r="EY190" s="228">
        <v>36.479999999999997</v>
      </c>
      <c r="EZ190" s="229">
        <v>1.4800000000000001E-2</v>
      </c>
      <c r="FA190" s="229">
        <v>0.34649999999999997</v>
      </c>
      <c r="FB190" s="227" t="s">
        <v>567</v>
      </c>
      <c r="FC190">
        <f t="shared" si="3"/>
        <v>0</v>
      </c>
    </row>
    <row r="191" spans="1:159" ht="17.25" thickBot="1" x14ac:dyDescent="0.3">
      <c r="A191" s="226">
        <v>45889</v>
      </c>
      <c r="B191" s="227" t="s">
        <v>162</v>
      </c>
      <c r="C191" s="227" t="s">
        <v>615</v>
      </c>
      <c r="D191" s="228">
        <v>1050</v>
      </c>
      <c r="E191" s="228">
        <v>8</v>
      </c>
      <c r="F191" s="228">
        <v>451.85</v>
      </c>
      <c r="G191" s="228">
        <v>456.95</v>
      </c>
      <c r="H191" s="228">
        <v>-5.0999999999999996</v>
      </c>
      <c r="I191" s="229">
        <v>-1.12E-2</v>
      </c>
      <c r="J191" s="228">
        <v>450.35</v>
      </c>
      <c r="K191" s="228">
        <v>455.25</v>
      </c>
      <c r="L191" s="228">
        <v>-4.9000000000000004</v>
      </c>
      <c r="M191" s="229">
        <v>-1.0800000000000001E-2</v>
      </c>
      <c r="N191" s="228">
        <v>451.85</v>
      </c>
      <c r="O191" s="228">
        <v>456.95</v>
      </c>
      <c r="P191" s="228">
        <v>-5.0999999999999996</v>
      </c>
      <c r="Q191" s="229">
        <v>-1.12E-2</v>
      </c>
      <c r="R191" s="228">
        <v>453.7</v>
      </c>
      <c r="S191" s="228">
        <v>458.6</v>
      </c>
      <c r="T191" s="228">
        <v>-4.9000000000000004</v>
      </c>
      <c r="U191" s="229">
        <v>-1.0699999999999999E-2</v>
      </c>
      <c r="V191" s="228">
        <v>455.5</v>
      </c>
      <c r="W191" s="228">
        <v>459.3</v>
      </c>
      <c r="X191" s="228">
        <v>-3.8</v>
      </c>
      <c r="Y191" s="229">
        <v>-8.3000000000000001E-3</v>
      </c>
      <c r="Z191" s="228">
        <v>1.5</v>
      </c>
      <c r="AA191" s="228">
        <v>1.7</v>
      </c>
      <c r="AB191" s="228">
        <v>-0.2</v>
      </c>
      <c r="AC191" s="229">
        <v>3.3E-3</v>
      </c>
      <c r="AD191" s="228">
        <v>1.5</v>
      </c>
      <c r="AE191" s="228">
        <v>1.7</v>
      </c>
      <c r="AF191" s="228">
        <v>-0.2</v>
      </c>
      <c r="AG191" s="229">
        <v>3.3E-3</v>
      </c>
      <c r="AH191" s="228">
        <v>3.35</v>
      </c>
      <c r="AI191" s="228">
        <v>3.35</v>
      </c>
      <c r="AJ191" s="228">
        <v>0</v>
      </c>
      <c r="AK191" s="229">
        <v>7.4000000000000003E-3</v>
      </c>
      <c r="AL191" s="228">
        <v>5.15</v>
      </c>
      <c r="AM191" s="228">
        <v>4.05</v>
      </c>
      <c r="AN191" s="228">
        <v>1.1000000000000001</v>
      </c>
      <c r="AO191" s="229">
        <v>1.14E-2</v>
      </c>
      <c r="AP191" s="228">
        <v>452.1</v>
      </c>
      <c r="AQ191" s="228">
        <v>453.17</v>
      </c>
      <c r="AR191" s="228">
        <v>0</v>
      </c>
      <c r="AS191" s="228">
        <v>238</v>
      </c>
      <c r="AT191" s="228">
        <v>431</v>
      </c>
      <c r="AU191" s="228">
        <v>-193</v>
      </c>
      <c r="AV191" s="229">
        <v>-0.44740000000000002</v>
      </c>
      <c r="AW191" s="228">
        <v>199</v>
      </c>
      <c r="AX191" s="228">
        <v>370</v>
      </c>
      <c r="AY191" s="228">
        <v>-170</v>
      </c>
      <c r="AZ191" s="229">
        <v>-0.46089999999999998</v>
      </c>
      <c r="BA191" s="228">
        <v>37</v>
      </c>
      <c r="BB191" s="228">
        <v>58</v>
      </c>
      <c r="BC191" s="228">
        <v>-21</v>
      </c>
      <c r="BD191" s="229">
        <v>-0.36630000000000001</v>
      </c>
      <c r="BE191" s="228">
        <v>2</v>
      </c>
      <c r="BF191" s="228">
        <v>3</v>
      </c>
      <c r="BG191" s="228">
        <v>-1</v>
      </c>
      <c r="BH191" s="229">
        <v>-0.35820000000000002</v>
      </c>
      <c r="BI191" s="228">
        <v>456</v>
      </c>
      <c r="BJ191" s="230">
        <v>1330</v>
      </c>
      <c r="BK191" s="228">
        <v>-874</v>
      </c>
      <c r="BL191" s="229">
        <v>-0.65700000000000003</v>
      </c>
      <c r="BM191" s="228">
        <v>239</v>
      </c>
      <c r="BN191" s="228">
        <v>345</v>
      </c>
      <c r="BO191" s="228">
        <v>-106</v>
      </c>
      <c r="BP191" s="229">
        <v>-0.30790000000000001</v>
      </c>
      <c r="BQ191" s="228">
        <v>933</v>
      </c>
      <c r="BR191" s="230">
        <v>2107</v>
      </c>
      <c r="BS191" s="230">
        <v>-1173</v>
      </c>
      <c r="BT191" s="229">
        <v>-0.55689999999999995</v>
      </c>
      <c r="BU191" s="230">
        <v>5545249</v>
      </c>
      <c r="BV191" s="230">
        <v>5406094</v>
      </c>
      <c r="BW191" s="230">
        <v>139155</v>
      </c>
      <c r="BX191" s="229">
        <v>2.5700000000000001E-2</v>
      </c>
      <c r="BY191" s="230">
        <v>1269</v>
      </c>
      <c r="BZ191" s="230">
        <v>1198</v>
      </c>
      <c r="CA191" s="228">
        <v>71</v>
      </c>
      <c r="CB191" s="229">
        <v>5.8900000000000001E-2</v>
      </c>
      <c r="CC191" s="230">
        <v>1156</v>
      </c>
      <c r="CD191" s="230">
        <v>1098</v>
      </c>
      <c r="CE191" s="228">
        <v>59</v>
      </c>
      <c r="CF191" s="229">
        <v>5.3400000000000003E-2</v>
      </c>
      <c r="CG191" s="228">
        <v>107</v>
      </c>
      <c r="CH191" s="228">
        <v>96</v>
      </c>
      <c r="CI191" s="228">
        <v>11</v>
      </c>
      <c r="CJ191" s="229">
        <v>0.11020000000000001</v>
      </c>
      <c r="CK191" s="228">
        <v>6</v>
      </c>
      <c r="CL191" s="228">
        <v>4</v>
      </c>
      <c r="CM191" s="228">
        <v>1</v>
      </c>
      <c r="CN191" s="229">
        <v>0.32219999999999999</v>
      </c>
      <c r="CO191" s="228">
        <v>237</v>
      </c>
      <c r="CP191" s="228">
        <v>232</v>
      </c>
      <c r="CQ191" s="228">
        <v>5</v>
      </c>
      <c r="CR191" s="229">
        <v>1.9599999999999999E-2</v>
      </c>
      <c r="CS191" s="228">
        <v>148</v>
      </c>
      <c r="CT191" s="228">
        <v>134</v>
      </c>
      <c r="CU191" s="228">
        <v>14</v>
      </c>
      <c r="CV191" s="229">
        <v>0.1007</v>
      </c>
      <c r="CW191" s="230">
        <v>1653</v>
      </c>
      <c r="CX191" s="230">
        <v>1565</v>
      </c>
      <c r="CY191" s="228">
        <v>89</v>
      </c>
      <c r="CZ191" s="229">
        <v>5.67E-2</v>
      </c>
      <c r="DA191" s="228">
        <v>38.72</v>
      </c>
      <c r="DB191" s="228">
        <v>38.67</v>
      </c>
      <c r="DC191" s="228">
        <v>0.05</v>
      </c>
      <c r="DD191" s="228">
        <v>0.05</v>
      </c>
      <c r="DE191" s="228">
        <v>42.14</v>
      </c>
      <c r="DF191" s="228">
        <v>42.22</v>
      </c>
      <c r="DG191" s="228">
        <v>-3.42</v>
      </c>
      <c r="DH191" s="228">
        <v>-0.08</v>
      </c>
      <c r="DI191" s="228">
        <v>38.96</v>
      </c>
      <c r="DJ191" s="228">
        <v>38.78</v>
      </c>
      <c r="DK191" s="228">
        <v>0.18</v>
      </c>
      <c r="DL191" s="228">
        <v>0.18</v>
      </c>
      <c r="DM191" s="228">
        <v>38.270000000000003</v>
      </c>
      <c r="DN191" s="228">
        <v>38.22</v>
      </c>
      <c r="DO191" s="228">
        <v>0.05</v>
      </c>
      <c r="DP191" s="228">
        <v>0.05</v>
      </c>
      <c r="DQ191" s="228">
        <v>0.63</v>
      </c>
      <c r="DR191" s="228">
        <v>0.57999999999999996</v>
      </c>
      <c r="DS191" s="228">
        <v>0.05</v>
      </c>
      <c r="DT191" s="229">
        <v>8.6199999999999999E-2</v>
      </c>
      <c r="DU191" s="228">
        <v>500</v>
      </c>
      <c r="DV191" s="228">
        <v>440</v>
      </c>
      <c r="DW191" s="228">
        <v>0.52</v>
      </c>
      <c r="DX191" s="228">
        <v>0.26</v>
      </c>
      <c r="DY191" s="228">
        <v>0.26</v>
      </c>
      <c r="DZ191" s="229">
        <v>1</v>
      </c>
      <c r="EA191" s="229">
        <v>8.8800000000000004E-2</v>
      </c>
      <c r="EB191" s="230">
        <v>2229150</v>
      </c>
      <c r="EC191" s="229">
        <v>4.1000000000000003E-3</v>
      </c>
      <c r="ED191" s="229">
        <v>8.8800000000000004E-2</v>
      </c>
      <c r="EE191" s="228">
        <v>1.07</v>
      </c>
      <c r="EF191" s="229">
        <v>2.3999999999999998E-3</v>
      </c>
      <c r="EG191" s="230">
        <v>2964558</v>
      </c>
      <c r="EH191" s="230">
        <v>2141673</v>
      </c>
      <c r="EI191" s="229">
        <v>0.38419999999999999</v>
      </c>
      <c r="EJ191" s="229">
        <v>0.53459999999999996</v>
      </c>
      <c r="EK191" s="228">
        <v>479.37</v>
      </c>
      <c r="EL191" s="228">
        <v>241.56</v>
      </c>
      <c r="EM191" s="228">
        <v>238.36</v>
      </c>
      <c r="EN191" s="228">
        <v>0</v>
      </c>
      <c r="EO191" s="228">
        <v>959.28</v>
      </c>
      <c r="EP191" s="231">
        <v>2200.77</v>
      </c>
      <c r="EQ191" s="231">
        <v>-1241.49</v>
      </c>
      <c r="ER191" s="229">
        <v>-0.56410000000000005</v>
      </c>
      <c r="ES191" s="228">
        <v>252.88</v>
      </c>
      <c r="ET191" s="228">
        <v>142.51</v>
      </c>
      <c r="EU191" s="231">
        <v>1269.52</v>
      </c>
      <c r="EV191" s="231">
        <v>89502064</v>
      </c>
      <c r="EW191" s="231">
        <v>1664.92</v>
      </c>
      <c r="EX191" s="231">
        <v>1589.3</v>
      </c>
      <c r="EY191" s="228">
        <v>75.62</v>
      </c>
      <c r="EZ191" s="229">
        <v>4.7600000000000003E-2</v>
      </c>
      <c r="FA191" s="229">
        <v>0.4088</v>
      </c>
      <c r="FB191" s="227" t="s">
        <v>567</v>
      </c>
      <c r="FC191">
        <f t="shared" si="3"/>
        <v>0</v>
      </c>
    </row>
    <row r="192" spans="1:159" ht="17.25" thickBot="1" x14ac:dyDescent="0.3">
      <c r="A192" s="226">
        <v>45889</v>
      </c>
      <c r="B192" s="227" t="s">
        <v>197</v>
      </c>
      <c r="C192" s="227" t="s">
        <v>286</v>
      </c>
      <c r="D192" s="228">
        <v>200</v>
      </c>
      <c r="E192" s="228">
        <v>8</v>
      </c>
      <c r="F192" s="231">
        <v>2926.5</v>
      </c>
      <c r="G192" s="231">
        <v>2944.5</v>
      </c>
      <c r="H192" s="228">
        <v>-18</v>
      </c>
      <c r="I192" s="229">
        <v>-6.1000000000000004E-3</v>
      </c>
      <c r="J192" s="231">
        <v>2924.2</v>
      </c>
      <c r="K192" s="231">
        <v>2929.6</v>
      </c>
      <c r="L192" s="228">
        <v>-5.4</v>
      </c>
      <c r="M192" s="229">
        <v>-1.8E-3</v>
      </c>
      <c r="N192" s="231">
        <v>2926.5</v>
      </c>
      <c r="O192" s="231">
        <v>2944.5</v>
      </c>
      <c r="P192" s="228">
        <v>-18</v>
      </c>
      <c r="Q192" s="229">
        <v>-6.1000000000000004E-3</v>
      </c>
      <c r="R192" s="231">
        <v>2943.9</v>
      </c>
      <c r="S192" s="231">
        <v>2958.2</v>
      </c>
      <c r="T192" s="228">
        <v>-14.3</v>
      </c>
      <c r="U192" s="229">
        <v>-4.7999999999999996E-3</v>
      </c>
      <c r="V192" s="231">
        <v>2956.9</v>
      </c>
      <c r="W192" s="231">
        <v>2974.7</v>
      </c>
      <c r="X192" s="228">
        <v>-17.8</v>
      </c>
      <c r="Y192" s="229">
        <v>-6.0000000000000001E-3</v>
      </c>
      <c r="Z192" s="228">
        <v>2.2999999999999998</v>
      </c>
      <c r="AA192" s="228">
        <v>14.9</v>
      </c>
      <c r="AB192" s="228">
        <v>-12.6</v>
      </c>
      <c r="AC192" s="229">
        <v>8.0000000000000004E-4</v>
      </c>
      <c r="AD192" s="228">
        <v>2.2999999999999998</v>
      </c>
      <c r="AE192" s="228">
        <v>14.9</v>
      </c>
      <c r="AF192" s="228">
        <v>-12.6</v>
      </c>
      <c r="AG192" s="229">
        <v>8.0000000000000004E-4</v>
      </c>
      <c r="AH192" s="228">
        <v>19.7</v>
      </c>
      <c r="AI192" s="228">
        <v>28.6</v>
      </c>
      <c r="AJ192" s="228">
        <v>-8.9</v>
      </c>
      <c r="AK192" s="229">
        <v>6.7000000000000002E-3</v>
      </c>
      <c r="AL192" s="228">
        <v>32.700000000000003</v>
      </c>
      <c r="AM192" s="228">
        <v>45.1</v>
      </c>
      <c r="AN192" s="228">
        <v>-12.4</v>
      </c>
      <c r="AO192" s="229">
        <v>1.12E-2</v>
      </c>
      <c r="AP192" s="231">
        <v>2944.83</v>
      </c>
      <c r="AQ192" s="231">
        <v>2957.39</v>
      </c>
      <c r="AR192" s="228">
        <v>0</v>
      </c>
      <c r="AS192" s="228">
        <v>462</v>
      </c>
      <c r="AT192" s="228">
        <v>514</v>
      </c>
      <c r="AU192" s="228">
        <v>-52</v>
      </c>
      <c r="AV192" s="229">
        <v>-0.10050000000000001</v>
      </c>
      <c r="AW192" s="228">
        <v>384</v>
      </c>
      <c r="AX192" s="228">
        <v>440</v>
      </c>
      <c r="AY192" s="228">
        <v>-56</v>
      </c>
      <c r="AZ192" s="229">
        <v>-0.1275</v>
      </c>
      <c r="BA192" s="228">
        <v>76</v>
      </c>
      <c r="BB192" s="228">
        <v>72</v>
      </c>
      <c r="BC192" s="228">
        <v>4</v>
      </c>
      <c r="BD192" s="229">
        <v>5.6300000000000003E-2</v>
      </c>
      <c r="BE192" s="228">
        <v>2</v>
      </c>
      <c r="BF192" s="228">
        <v>2</v>
      </c>
      <c r="BG192" s="228">
        <v>0</v>
      </c>
      <c r="BH192" s="229">
        <v>0.21210000000000001</v>
      </c>
      <c r="BI192" s="230">
        <v>1732</v>
      </c>
      <c r="BJ192" s="230">
        <v>1709</v>
      </c>
      <c r="BK192" s="228">
        <v>23</v>
      </c>
      <c r="BL192" s="229">
        <v>1.32E-2</v>
      </c>
      <c r="BM192" s="228">
        <v>634</v>
      </c>
      <c r="BN192" s="228">
        <v>597</v>
      </c>
      <c r="BO192" s="228">
        <v>36</v>
      </c>
      <c r="BP192" s="229">
        <v>6.0600000000000001E-2</v>
      </c>
      <c r="BQ192" s="230">
        <v>2828</v>
      </c>
      <c r="BR192" s="230">
        <v>2820</v>
      </c>
      <c r="BS192" s="228">
        <v>7</v>
      </c>
      <c r="BT192" s="229">
        <v>2.5999999999999999E-3</v>
      </c>
      <c r="BU192" s="230">
        <v>749583</v>
      </c>
      <c r="BV192" s="230">
        <v>1039278</v>
      </c>
      <c r="BW192" s="230">
        <v>-289695</v>
      </c>
      <c r="BX192" s="229">
        <v>-0.2787</v>
      </c>
      <c r="BY192" s="230">
        <v>1113</v>
      </c>
      <c r="BZ192" s="230">
        <v>1159</v>
      </c>
      <c r="CA192" s="228">
        <v>-46</v>
      </c>
      <c r="CB192" s="229">
        <v>-3.9399999999999998E-2</v>
      </c>
      <c r="CC192" s="230">
        <v>1050</v>
      </c>
      <c r="CD192" s="230">
        <v>1101</v>
      </c>
      <c r="CE192" s="228">
        <v>-51</v>
      </c>
      <c r="CF192" s="229">
        <v>-4.6399999999999997E-2</v>
      </c>
      <c r="CG192" s="228">
        <v>59</v>
      </c>
      <c r="CH192" s="228">
        <v>54</v>
      </c>
      <c r="CI192" s="228">
        <v>5</v>
      </c>
      <c r="CJ192" s="229">
        <v>9.69E-2</v>
      </c>
      <c r="CK192" s="228">
        <v>4</v>
      </c>
      <c r="CL192" s="228">
        <v>4</v>
      </c>
      <c r="CM192" s="228">
        <v>0</v>
      </c>
      <c r="CN192" s="229">
        <v>6.0600000000000001E-2</v>
      </c>
      <c r="CO192" s="228">
        <v>779</v>
      </c>
      <c r="CP192" s="228">
        <v>642</v>
      </c>
      <c r="CQ192" s="228">
        <v>137</v>
      </c>
      <c r="CR192" s="229">
        <v>0.21310000000000001</v>
      </c>
      <c r="CS192" s="228">
        <v>393</v>
      </c>
      <c r="CT192" s="228">
        <v>342</v>
      </c>
      <c r="CU192" s="228">
        <v>51</v>
      </c>
      <c r="CV192" s="229">
        <v>0.1502</v>
      </c>
      <c r="CW192" s="230">
        <v>2285</v>
      </c>
      <c r="CX192" s="230">
        <v>2142</v>
      </c>
      <c r="CY192" s="228">
        <v>143</v>
      </c>
      <c r="CZ192" s="229">
        <v>6.6500000000000004E-2</v>
      </c>
      <c r="DA192" s="228">
        <v>33.630000000000003</v>
      </c>
      <c r="DB192" s="228">
        <v>30.87</v>
      </c>
      <c r="DC192" s="228">
        <v>2.76</v>
      </c>
      <c r="DD192" s="228">
        <v>2.76</v>
      </c>
      <c r="DE192" s="228">
        <v>33.71</v>
      </c>
      <c r="DF192" s="228">
        <v>33.79</v>
      </c>
      <c r="DG192" s="228">
        <v>-0.08</v>
      </c>
      <c r="DH192" s="228">
        <v>-0.08</v>
      </c>
      <c r="DI192" s="228">
        <v>34.14</v>
      </c>
      <c r="DJ192" s="228">
        <v>31.18</v>
      </c>
      <c r="DK192" s="228">
        <v>2.96</v>
      </c>
      <c r="DL192" s="228">
        <v>2.96</v>
      </c>
      <c r="DM192" s="228">
        <v>32.22</v>
      </c>
      <c r="DN192" s="228">
        <v>29.97</v>
      </c>
      <c r="DO192" s="228">
        <v>2.25</v>
      </c>
      <c r="DP192" s="228">
        <v>2.25</v>
      </c>
      <c r="DQ192" s="228">
        <v>0.5</v>
      </c>
      <c r="DR192" s="228">
        <v>0.53</v>
      </c>
      <c r="DS192" s="228">
        <v>-0.03</v>
      </c>
      <c r="DT192" s="229">
        <v>-5.6599999999999998E-2</v>
      </c>
      <c r="DU192" s="231">
        <v>3000</v>
      </c>
      <c r="DV192" s="231">
        <v>3000</v>
      </c>
      <c r="DW192" s="228">
        <v>0.37</v>
      </c>
      <c r="DX192" s="228">
        <v>0.35</v>
      </c>
      <c r="DY192" s="228">
        <v>0.02</v>
      </c>
      <c r="DZ192" s="229">
        <v>5.7099999999999998E-2</v>
      </c>
      <c r="EA192" s="229">
        <v>5.6599999999999998E-2</v>
      </c>
      <c r="EB192" s="230">
        <v>196800</v>
      </c>
      <c r="EC192" s="229">
        <v>5.8999999999999999E-3</v>
      </c>
      <c r="ED192" s="229">
        <v>5.6599999999999998E-2</v>
      </c>
      <c r="EE192" s="228">
        <v>12.56</v>
      </c>
      <c r="EF192" s="229">
        <v>4.3E-3</v>
      </c>
      <c r="EG192" s="230">
        <v>329460</v>
      </c>
      <c r="EH192" s="230">
        <v>742471</v>
      </c>
      <c r="EI192" s="229">
        <v>-0.55630000000000002</v>
      </c>
      <c r="EJ192" s="229">
        <v>0.4395</v>
      </c>
      <c r="EK192" s="231">
        <v>1810.66</v>
      </c>
      <c r="EL192" s="228">
        <v>632.37</v>
      </c>
      <c r="EM192" s="228">
        <v>465.22</v>
      </c>
      <c r="EN192" s="228">
        <v>0</v>
      </c>
      <c r="EO192" s="231">
        <v>2908.24</v>
      </c>
      <c r="EP192" s="231">
        <v>2896.4</v>
      </c>
      <c r="EQ192" s="228">
        <v>11.85</v>
      </c>
      <c r="ER192" s="229">
        <v>4.1000000000000003E-3</v>
      </c>
      <c r="ES192" s="228">
        <v>823.69</v>
      </c>
      <c r="ET192" s="228">
        <v>389.79</v>
      </c>
      <c r="EU192" s="231">
        <v>1113.3399999999999</v>
      </c>
      <c r="EV192" s="231">
        <v>29488465</v>
      </c>
      <c r="EW192" s="231">
        <v>2326.8200000000002</v>
      </c>
      <c r="EX192" s="231">
        <v>2187.0500000000002</v>
      </c>
      <c r="EY192" s="228">
        <v>139.77000000000001</v>
      </c>
      <c r="EZ192" s="229">
        <v>6.3899999999999998E-2</v>
      </c>
      <c r="FA192" s="229">
        <v>0.26479999999999998</v>
      </c>
      <c r="FB192" s="227" t="s">
        <v>568</v>
      </c>
      <c r="FC192">
        <f t="shared" si="3"/>
        <v>0</v>
      </c>
    </row>
    <row r="193" spans="1:159" ht="17.25" thickBot="1" x14ac:dyDescent="0.3">
      <c r="A193" s="226">
        <v>45889</v>
      </c>
      <c r="B193" s="227" t="s">
        <v>170</v>
      </c>
      <c r="C193" s="227" t="s">
        <v>288</v>
      </c>
      <c r="D193" s="228">
        <v>350</v>
      </c>
      <c r="E193" s="228">
        <v>8</v>
      </c>
      <c r="F193" s="231">
        <v>1633</v>
      </c>
      <c r="G193" s="231">
        <v>1633.5</v>
      </c>
      <c r="H193" s="228">
        <v>-0.5</v>
      </c>
      <c r="I193" s="229">
        <v>-2.9999999999999997E-4</v>
      </c>
      <c r="J193" s="231">
        <v>1633.1</v>
      </c>
      <c r="K193" s="231">
        <v>1626.6</v>
      </c>
      <c r="L193" s="228">
        <v>6.5</v>
      </c>
      <c r="M193" s="229">
        <v>4.0000000000000001E-3</v>
      </c>
      <c r="N193" s="231">
        <v>1633</v>
      </c>
      <c r="O193" s="231">
        <v>1633.5</v>
      </c>
      <c r="P193" s="228">
        <v>-0.5</v>
      </c>
      <c r="Q193" s="229">
        <v>-2.9999999999999997E-4</v>
      </c>
      <c r="R193" s="231">
        <v>1642.5</v>
      </c>
      <c r="S193" s="231">
        <v>1642.5</v>
      </c>
      <c r="T193" s="228">
        <v>0</v>
      </c>
      <c r="U193" s="229">
        <v>0</v>
      </c>
      <c r="V193" s="231">
        <v>1650.7</v>
      </c>
      <c r="W193" s="231">
        <v>1652.8</v>
      </c>
      <c r="X193" s="228">
        <v>-2.1</v>
      </c>
      <c r="Y193" s="229">
        <v>-1.2999999999999999E-3</v>
      </c>
      <c r="Z193" s="228">
        <v>-0.1</v>
      </c>
      <c r="AA193" s="228">
        <v>6.9</v>
      </c>
      <c r="AB193" s="228">
        <v>-7</v>
      </c>
      <c r="AC193" s="229">
        <v>-1E-4</v>
      </c>
      <c r="AD193" s="228">
        <v>-0.1</v>
      </c>
      <c r="AE193" s="228">
        <v>6.9</v>
      </c>
      <c r="AF193" s="228">
        <v>-7</v>
      </c>
      <c r="AG193" s="229">
        <v>-1E-4</v>
      </c>
      <c r="AH193" s="228">
        <v>9.4</v>
      </c>
      <c r="AI193" s="228">
        <v>15.9</v>
      </c>
      <c r="AJ193" s="228">
        <v>-6.5</v>
      </c>
      <c r="AK193" s="229">
        <v>5.7999999999999996E-3</v>
      </c>
      <c r="AL193" s="228">
        <v>17.600000000000001</v>
      </c>
      <c r="AM193" s="228">
        <v>26.2</v>
      </c>
      <c r="AN193" s="228">
        <v>-8.6</v>
      </c>
      <c r="AO193" s="229">
        <v>1.0800000000000001E-2</v>
      </c>
      <c r="AP193" s="231">
        <v>1628.61</v>
      </c>
      <c r="AQ193" s="231">
        <v>1637.04</v>
      </c>
      <c r="AR193" s="228">
        <v>0</v>
      </c>
      <c r="AS193" s="228">
        <v>339</v>
      </c>
      <c r="AT193" s="228">
        <v>333</v>
      </c>
      <c r="AU193" s="228">
        <v>6</v>
      </c>
      <c r="AV193" s="229">
        <v>1.8200000000000001E-2</v>
      </c>
      <c r="AW193" s="228">
        <v>273</v>
      </c>
      <c r="AX193" s="228">
        <v>265</v>
      </c>
      <c r="AY193" s="228">
        <v>7</v>
      </c>
      <c r="AZ193" s="229">
        <v>2.8000000000000001E-2</v>
      </c>
      <c r="BA193" s="228">
        <v>64</v>
      </c>
      <c r="BB193" s="228">
        <v>63</v>
      </c>
      <c r="BC193" s="228">
        <v>2</v>
      </c>
      <c r="BD193" s="229">
        <v>2.5499999999999998E-2</v>
      </c>
      <c r="BE193" s="228">
        <v>2</v>
      </c>
      <c r="BF193" s="228">
        <v>5</v>
      </c>
      <c r="BG193" s="228">
        <v>-3</v>
      </c>
      <c r="BH193" s="229">
        <v>-0.55910000000000004</v>
      </c>
      <c r="BI193" s="228">
        <v>995</v>
      </c>
      <c r="BJ193" s="228">
        <v>916</v>
      </c>
      <c r="BK193" s="228">
        <v>79</v>
      </c>
      <c r="BL193" s="229">
        <v>8.6599999999999996E-2</v>
      </c>
      <c r="BM193" s="228">
        <v>801</v>
      </c>
      <c r="BN193" s="228">
        <v>650</v>
      </c>
      <c r="BO193" s="228">
        <v>150</v>
      </c>
      <c r="BP193" s="229">
        <v>0.23130000000000001</v>
      </c>
      <c r="BQ193" s="230">
        <v>2135</v>
      </c>
      <c r="BR193" s="230">
        <v>1899</v>
      </c>
      <c r="BS193" s="228">
        <v>236</v>
      </c>
      <c r="BT193" s="229">
        <v>0.1241</v>
      </c>
      <c r="BU193" s="230">
        <v>1905243</v>
      </c>
      <c r="BV193" s="230">
        <v>2731860</v>
      </c>
      <c r="BW193" s="230">
        <v>-826617</v>
      </c>
      <c r="BX193" s="229">
        <v>-0.30259999999999998</v>
      </c>
      <c r="BY193" s="230">
        <v>2733</v>
      </c>
      <c r="BZ193" s="230">
        <v>2782</v>
      </c>
      <c r="CA193" s="228">
        <v>-49</v>
      </c>
      <c r="CB193" s="229">
        <v>-1.7600000000000001E-2</v>
      </c>
      <c r="CC193" s="230">
        <v>2410</v>
      </c>
      <c r="CD193" s="230">
        <v>2496</v>
      </c>
      <c r="CE193" s="228">
        <v>-85</v>
      </c>
      <c r="CF193" s="229">
        <v>-3.4099999999999998E-2</v>
      </c>
      <c r="CG193" s="228">
        <v>171</v>
      </c>
      <c r="CH193" s="228">
        <v>136</v>
      </c>
      <c r="CI193" s="228">
        <v>35</v>
      </c>
      <c r="CJ193" s="229">
        <v>0.26140000000000002</v>
      </c>
      <c r="CK193" s="228">
        <v>152</v>
      </c>
      <c r="CL193" s="228">
        <v>151</v>
      </c>
      <c r="CM193" s="228">
        <v>1</v>
      </c>
      <c r="CN193" s="229">
        <v>4.4999999999999997E-3</v>
      </c>
      <c r="CO193" s="230">
        <v>1105</v>
      </c>
      <c r="CP193" s="230">
        <v>1137</v>
      </c>
      <c r="CQ193" s="228">
        <v>-32</v>
      </c>
      <c r="CR193" s="229">
        <v>-2.8199999999999999E-2</v>
      </c>
      <c r="CS193" s="228">
        <v>714</v>
      </c>
      <c r="CT193" s="228">
        <v>744</v>
      </c>
      <c r="CU193" s="228">
        <v>-30</v>
      </c>
      <c r="CV193" s="229">
        <v>-0.04</v>
      </c>
      <c r="CW193" s="230">
        <v>4552</v>
      </c>
      <c r="CX193" s="230">
        <v>4663</v>
      </c>
      <c r="CY193" s="228">
        <v>-111</v>
      </c>
      <c r="CZ193" s="229">
        <v>-2.3699999999999999E-2</v>
      </c>
      <c r="DA193" s="228">
        <v>21.42</v>
      </c>
      <c r="DB193" s="228">
        <v>21.76</v>
      </c>
      <c r="DC193" s="228">
        <v>-0.34</v>
      </c>
      <c r="DD193" s="228">
        <v>-0.34</v>
      </c>
      <c r="DE193" s="228">
        <v>24.47</v>
      </c>
      <c r="DF193" s="228">
        <v>24.53</v>
      </c>
      <c r="DG193" s="228">
        <v>-3.05</v>
      </c>
      <c r="DH193" s="228">
        <v>-0.06</v>
      </c>
      <c r="DI193" s="228">
        <v>21.08</v>
      </c>
      <c r="DJ193" s="228">
        <v>21.39</v>
      </c>
      <c r="DK193" s="228">
        <v>-0.31</v>
      </c>
      <c r="DL193" s="228">
        <v>-0.31</v>
      </c>
      <c r="DM193" s="228">
        <v>21.85</v>
      </c>
      <c r="DN193" s="228">
        <v>22.29</v>
      </c>
      <c r="DO193" s="228">
        <v>-0.44</v>
      </c>
      <c r="DP193" s="228">
        <v>-0.44</v>
      </c>
      <c r="DQ193" s="228">
        <v>0.65</v>
      </c>
      <c r="DR193" s="228">
        <v>0.65</v>
      </c>
      <c r="DS193" s="228">
        <v>0</v>
      </c>
      <c r="DT193" s="229">
        <v>0</v>
      </c>
      <c r="DU193" s="231">
        <v>1700</v>
      </c>
      <c r="DV193" s="231">
        <v>1500</v>
      </c>
      <c r="DW193" s="228">
        <v>0.8</v>
      </c>
      <c r="DX193" s="228">
        <v>0.71</v>
      </c>
      <c r="DY193" s="228">
        <v>0.09</v>
      </c>
      <c r="DZ193" s="229">
        <v>0.1268</v>
      </c>
      <c r="EA193" s="229">
        <v>0.1181</v>
      </c>
      <c r="EB193" s="230">
        <v>1755950</v>
      </c>
      <c r="EC193" s="229">
        <v>5.7999999999999996E-3</v>
      </c>
      <c r="ED193" s="229">
        <v>0.1181</v>
      </c>
      <c r="EE193" s="228">
        <v>8.43</v>
      </c>
      <c r="EF193" s="229">
        <v>5.1999999999999998E-3</v>
      </c>
      <c r="EG193" s="230">
        <v>1359717</v>
      </c>
      <c r="EH193" s="230">
        <v>2091816</v>
      </c>
      <c r="EI193" s="229">
        <v>-0.35</v>
      </c>
      <c r="EJ193" s="229">
        <v>0.7137</v>
      </c>
      <c r="EK193" s="231">
        <v>1026.19</v>
      </c>
      <c r="EL193" s="228">
        <v>782.34</v>
      </c>
      <c r="EM193" s="228">
        <v>338.66</v>
      </c>
      <c r="EN193" s="228">
        <v>0</v>
      </c>
      <c r="EO193" s="231">
        <v>2147.19</v>
      </c>
      <c r="EP193" s="231">
        <v>1911.33</v>
      </c>
      <c r="EQ193" s="228">
        <v>235.86</v>
      </c>
      <c r="ER193" s="229">
        <v>0.1234</v>
      </c>
      <c r="ES193" s="231">
        <v>1165.3499999999999</v>
      </c>
      <c r="ET193" s="228">
        <v>681.05</v>
      </c>
      <c r="EU193" s="231">
        <v>2736.02</v>
      </c>
      <c r="EV193" s="231">
        <v>218440087</v>
      </c>
      <c r="EW193" s="231">
        <v>4582.42</v>
      </c>
      <c r="EX193" s="231">
        <v>4693.72</v>
      </c>
      <c r="EY193" s="228">
        <v>-111.3</v>
      </c>
      <c r="EZ193" s="229">
        <v>-2.3699999999999999E-2</v>
      </c>
      <c r="FA193" s="229">
        <v>0.12759999999999999</v>
      </c>
      <c r="FB193" s="227" t="s">
        <v>568</v>
      </c>
      <c r="FC193">
        <f t="shared" si="3"/>
        <v>0</v>
      </c>
    </row>
    <row r="194" spans="1:159" ht="17.25" thickBot="1" x14ac:dyDescent="0.3">
      <c r="A194" s="226">
        <v>45889</v>
      </c>
      <c r="B194" s="227" t="s">
        <v>184</v>
      </c>
      <c r="C194" s="227" t="s">
        <v>575</v>
      </c>
      <c r="D194" s="228">
        <v>175</v>
      </c>
      <c r="E194" s="228">
        <v>8</v>
      </c>
      <c r="F194" s="231">
        <v>4553.5</v>
      </c>
      <c r="G194" s="231">
        <v>4605.2</v>
      </c>
      <c r="H194" s="228">
        <v>-51.7</v>
      </c>
      <c r="I194" s="229">
        <v>-1.12E-2</v>
      </c>
      <c r="J194" s="231">
        <v>4541.6000000000004</v>
      </c>
      <c r="K194" s="231">
        <v>4598.1000000000004</v>
      </c>
      <c r="L194" s="228">
        <v>-56.5</v>
      </c>
      <c r="M194" s="229">
        <v>-1.23E-2</v>
      </c>
      <c r="N194" s="231">
        <v>4553.5</v>
      </c>
      <c r="O194" s="231">
        <v>4605.2</v>
      </c>
      <c r="P194" s="228">
        <v>-51.7</v>
      </c>
      <c r="Q194" s="229">
        <v>-1.12E-2</v>
      </c>
      <c r="R194" s="231">
        <v>4578.5</v>
      </c>
      <c r="S194" s="231">
        <v>4629.3999999999996</v>
      </c>
      <c r="T194" s="228">
        <v>-50.9</v>
      </c>
      <c r="U194" s="229">
        <v>-1.0999999999999999E-2</v>
      </c>
      <c r="V194" s="231">
        <v>4596</v>
      </c>
      <c r="W194" s="231">
        <v>4652</v>
      </c>
      <c r="X194" s="228">
        <v>-56</v>
      </c>
      <c r="Y194" s="229">
        <v>-1.2E-2</v>
      </c>
      <c r="Z194" s="228">
        <v>11.9</v>
      </c>
      <c r="AA194" s="228">
        <v>7.1</v>
      </c>
      <c r="AB194" s="228">
        <v>4.8</v>
      </c>
      <c r="AC194" s="229">
        <v>2.5999999999999999E-3</v>
      </c>
      <c r="AD194" s="228">
        <v>11.9</v>
      </c>
      <c r="AE194" s="228">
        <v>7.1</v>
      </c>
      <c r="AF194" s="228">
        <v>4.8</v>
      </c>
      <c r="AG194" s="229">
        <v>2.5999999999999999E-3</v>
      </c>
      <c r="AH194" s="228">
        <v>36.9</v>
      </c>
      <c r="AI194" s="228">
        <v>31.3</v>
      </c>
      <c r="AJ194" s="228">
        <v>5.6</v>
      </c>
      <c r="AK194" s="229">
        <v>8.0999999999999996E-3</v>
      </c>
      <c r="AL194" s="228">
        <v>54.4</v>
      </c>
      <c r="AM194" s="228">
        <v>53.9</v>
      </c>
      <c r="AN194" s="228">
        <v>0.5</v>
      </c>
      <c r="AO194" s="229">
        <v>1.2E-2</v>
      </c>
      <c r="AP194" s="231">
        <v>4587.88</v>
      </c>
      <c r="AQ194" s="231">
        <v>4608.84</v>
      </c>
      <c r="AR194" s="228">
        <v>0</v>
      </c>
      <c r="AS194" s="228">
        <v>125</v>
      </c>
      <c r="AT194" s="228">
        <v>161</v>
      </c>
      <c r="AU194" s="228">
        <v>-36</v>
      </c>
      <c r="AV194" s="229">
        <v>-0.22550000000000001</v>
      </c>
      <c r="AW194" s="228">
        <v>106</v>
      </c>
      <c r="AX194" s="228">
        <v>136</v>
      </c>
      <c r="AY194" s="228">
        <v>-30</v>
      </c>
      <c r="AZ194" s="229">
        <v>-0.2215</v>
      </c>
      <c r="BA194" s="228">
        <v>18</v>
      </c>
      <c r="BB194" s="228">
        <v>23</v>
      </c>
      <c r="BC194" s="228">
        <v>-5</v>
      </c>
      <c r="BD194" s="229">
        <v>-0.2175</v>
      </c>
      <c r="BE194" s="228">
        <v>1</v>
      </c>
      <c r="BF194" s="228">
        <v>2</v>
      </c>
      <c r="BG194" s="228">
        <v>-1</v>
      </c>
      <c r="BH194" s="229">
        <v>-0.57689999999999997</v>
      </c>
      <c r="BI194" s="228">
        <v>354</v>
      </c>
      <c r="BJ194" s="228">
        <v>795</v>
      </c>
      <c r="BK194" s="228">
        <v>-441</v>
      </c>
      <c r="BL194" s="229">
        <v>-0.55459999999999998</v>
      </c>
      <c r="BM194" s="228">
        <v>124</v>
      </c>
      <c r="BN194" s="228">
        <v>310</v>
      </c>
      <c r="BO194" s="228">
        <v>-185</v>
      </c>
      <c r="BP194" s="229">
        <v>-0.5988</v>
      </c>
      <c r="BQ194" s="228">
        <v>603</v>
      </c>
      <c r="BR194" s="230">
        <v>1266</v>
      </c>
      <c r="BS194" s="228">
        <v>-663</v>
      </c>
      <c r="BT194" s="229">
        <v>-0.52349999999999997</v>
      </c>
      <c r="BU194" s="230">
        <v>142022</v>
      </c>
      <c r="BV194" s="230">
        <v>295977</v>
      </c>
      <c r="BW194" s="230">
        <v>-153955</v>
      </c>
      <c r="BX194" s="229">
        <v>-0.5202</v>
      </c>
      <c r="BY194" s="228">
        <v>655</v>
      </c>
      <c r="BZ194" s="228">
        <v>660</v>
      </c>
      <c r="CA194" s="228">
        <v>-5</v>
      </c>
      <c r="CB194" s="229">
        <v>-7.7999999999999996E-3</v>
      </c>
      <c r="CC194" s="228">
        <v>622</v>
      </c>
      <c r="CD194" s="228">
        <v>633</v>
      </c>
      <c r="CE194" s="228">
        <v>-11</v>
      </c>
      <c r="CF194" s="229">
        <v>-1.7600000000000001E-2</v>
      </c>
      <c r="CG194" s="228">
        <v>32</v>
      </c>
      <c r="CH194" s="228">
        <v>26</v>
      </c>
      <c r="CI194" s="228">
        <v>6</v>
      </c>
      <c r="CJ194" s="229">
        <v>0.2346</v>
      </c>
      <c r="CK194" s="228">
        <v>1</v>
      </c>
      <c r="CL194" s="228">
        <v>2</v>
      </c>
      <c r="CM194" s="228">
        <v>0</v>
      </c>
      <c r="CN194" s="229">
        <v>-5.2600000000000001E-2</v>
      </c>
      <c r="CO194" s="228">
        <v>137</v>
      </c>
      <c r="CP194" s="228">
        <v>133</v>
      </c>
      <c r="CQ194" s="228">
        <v>4</v>
      </c>
      <c r="CR194" s="229">
        <v>3.1199999999999999E-2</v>
      </c>
      <c r="CS194" s="228">
        <v>103</v>
      </c>
      <c r="CT194" s="228">
        <v>112</v>
      </c>
      <c r="CU194" s="228">
        <v>-9</v>
      </c>
      <c r="CV194" s="229">
        <v>-8.09E-2</v>
      </c>
      <c r="CW194" s="228">
        <v>895</v>
      </c>
      <c r="CX194" s="228">
        <v>905</v>
      </c>
      <c r="CY194" s="228">
        <v>-10</v>
      </c>
      <c r="CZ194" s="229">
        <v>-1.12E-2</v>
      </c>
      <c r="DA194" s="228">
        <v>29.82</v>
      </c>
      <c r="DB194" s="228">
        <v>31.5</v>
      </c>
      <c r="DC194" s="228">
        <v>-1.68</v>
      </c>
      <c r="DD194" s="228">
        <v>-1.68</v>
      </c>
      <c r="DE194" s="228">
        <v>43.97</v>
      </c>
      <c r="DF194" s="228">
        <v>44.05</v>
      </c>
      <c r="DG194" s="228">
        <v>-14.15</v>
      </c>
      <c r="DH194" s="228">
        <v>-0.08</v>
      </c>
      <c r="DI194" s="228">
        <v>29.78</v>
      </c>
      <c r="DJ194" s="228">
        <v>31.23</v>
      </c>
      <c r="DK194" s="228">
        <v>-1.45</v>
      </c>
      <c r="DL194" s="228">
        <v>-1.45</v>
      </c>
      <c r="DM194" s="228">
        <v>29.94</v>
      </c>
      <c r="DN194" s="228">
        <v>32.21</v>
      </c>
      <c r="DO194" s="228">
        <v>-2.27</v>
      </c>
      <c r="DP194" s="228">
        <v>-2.27</v>
      </c>
      <c r="DQ194" s="228">
        <v>0.75</v>
      </c>
      <c r="DR194" s="228">
        <v>0.85</v>
      </c>
      <c r="DS194" s="228">
        <v>-0.1</v>
      </c>
      <c r="DT194" s="229">
        <v>-0.1176</v>
      </c>
      <c r="DU194" s="231">
        <v>4600</v>
      </c>
      <c r="DV194" s="231">
        <v>4100</v>
      </c>
      <c r="DW194" s="228">
        <v>0.35</v>
      </c>
      <c r="DX194" s="228">
        <v>0.39</v>
      </c>
      <c r="DY194" s="228">
        <v>-0.04</v>
      </c>
      <c r="DZ194" s="229">
        <v>-0.1026</v>
      </c>
      <c r="EA194" s="229">
        <v>5.0900000000000001E-2</v>
      </c>
      <c r="EB194" s="230">
        <v>60025</v>
      </c>
      <c r="EC194" s="229">
        <v>5.4999999999999997E-3</v>
      </c>
      <c r="ED194" s="229">
        <v>5.0900000000000001E-2</v>
      </c>
      <c r="EE194" s="228">
        <v>20.96</v>
      </c>
      <c r="EF194" s="229">
        <v>4.5999999999999999E-3</v>
      </c>
      <c r="EG194" s="230">
        <v>62991</v>
      </c>
      <c r="EH194" s="230">
        <v>133098</v>
      </c>
      <c r="EI194" s="229">
        <v>-0.52669999999999995</v>
      </c>
      <c r="EJ194" s="229">
        <v>0.44350000000000001</v>
      </c>
      <c r="EK194" s="228">
        <v>369.38</v>
      </c>
      <c r="EL194" s="228">
        <v>121.64</v>
      </c>
      <c r="EM194" s="228">
        <v>125.82</v>
      </c>
      <c r="EN194" s="228">
        <v>0</v>
      </c>
      <c r="EO194" s="228">
        <v>616.84</v>
      </c>
      <c r="EP194" s="231">
        <v>1287.7</v>
      </c>
      <c r="EQ194" s="228">
        <v>-670.86</v>
      </c>
      <c r="ER194" s="229">
        <v>-0.52100000000000002</v>
      </c>
      <c r="ES194" s="228">
        <v>138.19999999999999</v>
      </c>
      <c r="ET194" s="228">
        <v>96.14</v>
      </c>
      <c r="EU194" s="228">
        <v>655.21</v>
      </c>
      <c r="EV194" s="231">
        <v>12981810</v>
      </c>
      <c r="EW194" s="228">
        <v>889.55</v>
      </c>
      <c r="EX194" s="228">
        <v>907.43</v>
      </c>
      <c r="EY194" s="228">
        <v>-17.88</v>
      </c>
      <c r="EZ194" s="229">
        <v>-1.9699999999999999E-2</v>
      </c>
      <c r="FA194" s="229">
        <v>0.15140000000000001</v>
      </c>
      <c r="FB194" s="227" t="s">
        <v>568</v>
      </c>
      <c r="FC194">
        <f t="shared" si="3"/>
        <v>0</v>
      </c>
    </row>
    <row r="195" spans="1:159" ht="17.25" thickBot="1" x14ac:dyDescent="0.3">
      <c r="A195" s="226">
        <v>45889</v>
      </c>
      <c r="B195" s="227" t="s">
        <v>161</v>
      </c>
      <c r="C195" s="227" t="s">
        <v>686</v>
      </c>
      <c r="D195" s="228">
        <v>8000</v>
      </c>
      <c r="E195" s="228">
        <v>8</v>
      </c>
      <c r="F195" s="228">
        <v>59.97</v>
      </c>
      <c r="G195" s="228">
        <v>59.76</v>
      </c>
      <c r="H195" s="228">
        <v>0.21</v>
      </c>
      <c r="I195" s="229">
        <v>3.5000000000000001E-3</v>
      </c>
      <c r="J195" s="228">
        <v>59.85</v>
      </c>
      <c r="K195" s="228">
        <v>59.59</v>
      </c>
      <c r="L195" s="228">
        <v>0.26</v>
      </c>
      <c r="M195" s="229">
        <v>4.4000000000000003E-3</v>
      </c>
      <c r="N195" s="228">
        <v>59.97</v>
      </c>
      <c r="O195" s="228">
        <v>59.76</v>
      </c>
      <c r="P195" s="228">
        <v>0.21</v>
      </c>
      <c r="Q195" s="229">
        <v>3.5000000000000001E-3</v>
      </c>
      <c r="R195" s="228">
        <v>60.27</v>
      </c>
      <c r="S195" s="228">
        <v>60.07</v>
      </c>
      <c r="T195" s="228">
        <v>0.2</v>
      </c>
      <c r="U195" s="229">
        <v>3.3E-3</v>
      </c>
      <c r="V195" s="228">
        <v>60.59</v>
      </c>
      <c r="W195" s="228">
        <v>60.36</v>
      </c>
      <c r="X195" s="228">
        <v>0.23</v>
      </c>
      <c r="Y195" s="229">
        <v>3.8E-3</v>
      </c>
      <c r="Z195" s="228">
        <v>0.12</v>
      </c>
      <c r="AA195" s="228">
        <v>0.17</v>
      </c>
      <c r="AB195" s="228">
        <v>-0.05</v>
      </c>
      <c r="AC195" s="229">
        <v>2E-3</v>
      </c>
      <c r="AD195" s="228">
        <v>0.12</v>
      </c>
      <c r="AE195" s="228">
        <v>0.17</v>
      </c>
      <c r="AF195" s="228">
        <v>-0.05</v>
      </c>
      <c r="AG195" s="229">
        <v>2E-3</v>
      </c>
      <c r="AH195" s="228">
        <v>0.42</v>
      </c>
      <c r="AI195" s="228">
        <v>0.48</v>
      </c>
      <c r="AJ195" s="228">
        <v>-0.06</v>
      </c>
      <c r="AK195" s="229">
        <v>7.0000000000000001E-3</v>
      </c>
      <c r="AL195" s="228">
        <v>0.74</v>
      </c>
      <c r="AM195" s="228">
        <v>0.77</v>
      </c>
      <c r="AN195" s="228">
        <v>-0.03</v>
      </c>
      <c r="AO195" s="229">
        <v>1.24E-2</v>
      </c>
      <c r="AP195" s="228">
        <v>59.95</v>
      </c>
      <c r="AQ195" s="228">
        <v>60.23</v>
      </c>
      <c r="AR195" s="228">
        <v>0</v>
      </c>
      <c r="AS195" s="228">
        <v>189</v>
      </c>
      <c r="AT195" s="228">
        <v>260</v>
      </c>
      <c r="AU195" s="228">
        <v>-71</v>
      </c>
      <c r="AV195" s="229">
        <v>-0.27450000000000002</v>
      </c>
      <c r="AW195" s="228">
        <v>150</v>
      </c>
      <c r="AX195" s="228">
        <v>208</v>
      </c>
      <c r="AY195" s="228">
        <v>-58</v>
      </c>
      <c r="AZ195" s="229">
        <v>-0.2787</v>
      </c>
      <c r="BA195" s="228">
        <v>34</v>
      </c>
      <c r="BB195" s="228">
        <v>47</v>
      </c>
      <c r="BC195" s="228">
        <v>-13</v>
      </c>
      <c r="BD195" s="229">
        <v>-0.2747</v>
      </c>
      <c r="BE195" s="228">
        <v>4</v>
      </c>
      <c r="BF195" s="228">
        <v>5</v>
      </c>
      <c r="BG195" s="228">
        <v>0</v>
      </c>
      <c r="BH195" s="229">
        <v>-8.3299999999999999E-2</v>
      </c>
      <c r="BI195" s="228">
        <v>722</v>
      </c>
      <c r="BJ195" s="230">
        <v>1166</v>
      </c>
      <c r="BK195" s="228">
        <v>-443</v>
      </c>
      <c r="BL195" s="229">
        <v>-0.38040000000000002</v>
      </c>
      <c r="BM195" s="228">
        <v>194</v>
      </c>
      <c r="BN195" s="228">
        <v>275</v>
      </c>
      <c r="BO195" s="228">
        <v>-81</v>
      </c>
      <c r="BP195" s="229">
        <v>-0.29370000000000002</v>
      </c>
      <c r="BQ195" s="230">
        <v>1106</v>
      </c>
      <c r="BR195" s="230">
        <v>1701</v>
      </c>
      <c r="BS195" s="228">
        <v>-596</v>
      </c>
      <c r="BT195" s="229">
        <v>-0.35020000000000001</v>
      </c>
      <c r="BU195" s="230">
        <v>66135274</v>
      </c>
      <c r="BV195" s="230">
        <v>106766902</v>
      </c>
      <c r="BW195" s="230">
        <v>-40631628</v>
      </c>
      <c r="BX195" s="229">
        <v>-0.38059999999999999</v>
      </c>
      <c r="BY195" s="228">
        <v>720</v>
      </c>
      <c r="BZ195" s="228">
        <v>692</v>
      </c>
      <c r="CA195" s="228">
        <v>28</v>
      </c>
      <c r="CB195" s="229">
        <v>4.0099999999999997E-2</v>
      </c>
      <c r="CC195" s="228">
        <v>582</v>
      </c>
      <c r="CD195" s="228">
        <v>567</v>
      </c>
      <c r="CE195" s="228">
        <v>14</v>
      </c>
      <c r="CF195" s="229">
        <v>2.52E-2</v>
      </c>
      <c r="CG195" s="228">
        <v>113</v>
      </c>
      <c r="CH195" s="228">
        <v>101</v>
      </c>
      <c r="CI195" s="228">
        <v>11</v>
      </c>
      <c r="CJ195" s="229">
        <v>0.11210000000000001</v>
      </c>
      <c r="CK195" s="228">
        <v>25</v>
      </c>
      <c r="CL195" s="228">
        <v>23</v>
      </c>
      <c r="CM195" s="228">
        <v>2</v>
      </c>
      <c r="CN195" s="229">
        <v>8.8999999999999996E-2</v>
      </c>
      <c r="CO195" s="228">
        <v>763</v>
      </c>
      <c r="CP195" s="228">
        <v>770</v>
      </c>
      <c r="CQ195" s="228">
        <v>-7</v>
      </c>
      <c r="CR195" s="229">
        <v>-9.4000000000000004E-3</v>
      </c>
      <c r="CS195" s="228">
        <v>329</v>
      </c>
      <c r="CT195" s="228">
        <v>290</v>
      </c>
      <c r="CU195" s="228">
        <v>39</v>
      </c>
      <c r="CV195" s="229">
        <v>0.1341</v>
      </c>
      <c r="CW195" s="230">
        <v>1812</v>
      </c>
      <c r="CX195" s="230">
        <v>1753</v>
      </c>
      <c r="CY195" s="228">
        <v>59</v>
      </c>
      <c r="CZ195" s="229">
        <v>3.39E-2</v>
      </c>
      <c r="DA195" s="228">
        <v>45.3</v>
      </c>
      <c r="DB195" s="228">
        <v>46.41</v>
      </c>
      <c r="DC195" s="228">
        <v>-1.1100000000000001</v>
      </c>
      <c r="DD195" s="228">
        <v>-1.1100000000000001</v>
      </c>
      <c r="DE195" s="228">
        <v>54.42</v>
      </c>
      <c r="DF195" s="228">
        <v>54.55</v>
      </c>
      <c r="DG195" s="228">
        <v>-9.1199999999999992</v>
      </c>
      <c r="DH195" s="228">
        <v>-0.13</v>
      </c>
      <c r="DI195" s="228">
        <v>46.42</v>
      </c>
      <c r="DJ195" s="228">
        <v>46.96</v>
      </c>
      <c r="DK195" s="228">
        <v>-0.54</v>
      </c>
      <c r="DL195" s="228">
        <v>-0.54</v>
      </c>
      <c r="DM195" s="228">
        <v>41.17</v>
      </c>
      <c r="DN195" s="228">
        <v>44.12</v>
      </c>
      <c r="DO195" s="228">
        <v>-2.95</v>
      </c>
      <c r="DP195" s="228">
        <v>-2.95</v>
      </c>
      <c r="DQ195" s="228">
        <v>0.43</v>
      </c>
      <c r="DR195" s="228">
        <v>0.38</v>
      </c>
      <c r="DS195" s="228">
        <v>0.05</v>
      </c>
      <c r="DT195" s="229">
        <v>0.13159999999999999</v>
      </c>
      <c r="DU195" s="228">
        <v>65</v>
      </c>
      <c r="DV195" s="228">
        <v>60</v>
      </c>
      <c r="DW195" s="228">
        <v>0.27</v>
      </c>
      <c r="DX195" s="228">
        <v>0.24</v>
      </c>
      <c r="DY195" s="228">
        <v>0.03</v>
      </c>
      <c r="DZ195" s="229">
        <v>0.125</v>
      </c>
      <c r="EA195" s="229">
        <v>0.19189999999999999</v>
      </c>
      <c r="EB195" s="230">
        <v>20784000</v>
      </c>
      <c r="EC195" s="229">
        <v>5.0000000000000001E-3</v>
      </c>
      <c r="ED195" s="229">
        <v>0.19189999999999999</v>
      </c>
      <c r="EE195" s="228">
        <v>0.28000000000000003</v>
      </c>
      <c r="EF195" s="229">
        <v>4.7000000000000002E-3</v>
      </c>
      <c r="EG195" s="230">
        <v>25328989</v>
      </c>
      <c r="EH195" s="230">
        <v>36139241</v>
      </c>
      <c r="EI195" s="229">
        <v>-0.29909999999999998</v>
      </c>
      <c r="EJ195" s="229">
        <v>0.38300000000000001</v>
      </c>
      <c r="EK195" s="228">
        <v>775.94</v>
      </c>
      <c r="EL195" s="228">
        <v>192.19</v>
      </c>
      <c r="EM195" s="228">
        <v>188.93</v>
      </c>
      <c r="EN195" s="228">
        <v>0</v>
      </c>
      <c r="EO195" s="231">
        <v>1157.06</v>
      </c>
      <c r="EP195" s="231">
        <v>1748.97</v>
      </c>
      <c r="EQ195" s="228">
        <v>-591.91</v>
      </c>
      <c r="ER195" s="229">
        <v>-0.33839999999999998</v>
      </c>
      <c r="ES195" s="228">
        <v>830.58</v>
      </c>
      <c r="ET195" s="228">
        <v>321.83999999999997</v>
      </c>
      <c r="EU195" s="228">
        <v>720.51</v>
      </c>
      <c r="EV195" s="231">
        <v>2418045131</v>
      </c>
      <c r="EW195" s="231">
        <v>1872.92</v>
      </c>
      <c r="EX195" s="231">
        <v>1811.88</v>
      </c>
      <c r="EY195" s="228">
        <v>61.04</v>
      </c>
      <c r="EZ195" s="229">
        <v>3.3700000000000001E-2</v>
      </c>
      <c r="FA195" s="229">
        <v>0.125</v>
      </c>
      <c r="FB195" s="227" t="s">
        <v>555</v>
      </c>
      <c r="FC195">
        <f t="shared" ref="FC195:FC258" si="4">BY269-CC269</f>
        <v>0</v>
      </c>
    </row>
    <row r="196" spans="1:159" ht="17.25" thickBot="1" x14ac:dyDescent="0.3">
      <c r="A196" s="226">
        <v>45889</v>
      </c>
      <c r="B196" s="227" t="s">
        <v>170</v>
      </c>
      <c r="C196" s="227" t="s">
        <v>520</v>
      </c>
      <c r="D196" s="228">
        <v>1000</v>
      </c>
      <c r="E196" s="228">
        <v>8</v>
      </c>
      <c r="F196" s="228">
        <v>668.55</v>
      </c>
      <c r="G196" s="228">
        <v>683.55</v>
      </c>
      <c r="H196" s="228">
        <v>-15</v>
      </c>
      <c r="I196" s="229">
        <v>-2.1899999999999999E-2</v>
      </c>
      <c r="J196" s="228">
        <v>667.45</v>
      </c>
      <c r="K196" s="228">
        <v>683.05</v>
      </c>
      <c r="L196" s="228">
        <v>-15.6</v>
      </c>
      <c r="M196" s="229">
        <v>-2.2800000000000001E-2</v>
      </c>
      <c r="N196" s="228">
        <v>668.55</v>
      </c>
      <c r="O196" s="228">
        <v>683.55</v>
      </c>
      <c r="P196" s="228">
        <v>-15</v>
      </c>
      <c r="Q196" s="229">
        <v>-2.1899999999999999E-2</v>
      </c>
      <c r="R196" s="228">
        <v>672.75</v>
      </c>
      <c r="S196" s="228">
        <v>687.45</v>
      </c>
      <c r="T196" s="228">
        <v>-14.7</v>
      </c>
      <c r="U196" s="229">
        <v>-2.1399999999999999E-2</v>
      </c>
      <c r="V196" s="228">
        <v>675.65</v>
      </c>
      <c r="W196" s="228">
        <v>690.35</v>
      </c>
      <c r="X196" s="228">
        <v>-14.7</v>
      </c>
      <c r="Y196" s="229">
        <v>-2.1299999999999999E-2</v>
      </c>
      <c r="Z196" s="228">
        <v>1.1000000000000001</v>
      </c>
      <c r="AA196" s="228">
        <v>0.5</v>
      </c>
      <c r="AB196" s="228">
        <v>0.6</v>
      </c>
      <c r="AC196" s="229">
        <v>1.6000000000000001E-3</v>
      </c>
      <c r="AD196" s="228">
        <v>1.1000000000000001</v>
      </c>
      <c r="AE196" s="228">
        <v>0.5</v>
      </c>
      <c r="AF196" s="228">
        <v>0.6</v>
      </c>
      <c r="AG196" s="229">
        <v>1.6000000000000001E-3</v>
      </c>
      <c r="AH196" s="228">
        <v>5.3</v>
      </c>
      <c r="AI196" s="228">
        <v>4.4000000000000004</v>
      </c>
      <c r="AJ196" s="228">
        <v>0.9</v>
      </c>
      <c r="AK196" s="229">
        <v>7.9000000000000008E-3</v>
      </c>
      <c r="AL196" s="228">
        <v>8.1999999999999993</v>
      </c>
      <c r="AM196" s="228">
        <v>7.3</v>
      </c>
      <c r="AN196" s="228">
        <v>0.9</v>
      </c>
      <c r="AO196" s="229">
        <v>1.23E-2</v>
      </c>
      <c r="AP196" s="228">
        <v>673.41</v>
      </c>
      <c r="AQ196" s="228">
        <v>677.3</v>
      </c>
      <c r="AR196" s="228">
        <v>0</v>
      </c>
      <c r="AS196" s="228">
        <v>58</v>
      </c>
      <c r="AT196" s="228">
        <v>97</v>
      </c>
      <c r="AU196" s="228">
        <v>-40</v>
      </c>
      <c r="AV196" s="229">
        <v>-0.40629999999999999</v>
      </c>
      <c r="AW196" s="228">
        <v>46</v>
      </c>
      <c r="AX196" s="228">
        <v>84</v>
      </c>
      <c r="AY196" s="228">
        <v>-39</v>
      </c>
      <c r="AZ196" s="229">
        <v>-0.4587</v>
      </c>
      <c r="BA196" s="228">
        <v>11</v>
      </c>
      <c r="BB196" s="228">
        <v>12</v>
      </c>
      <c r="BC196" s="228">
        <v>0</v>
      </c>
      <c r="BD196" s="229">
        <v>-2.8199999999999999E-2</v>
      </c>
      <c r="BE196" s="228">
        <v>1</v>
      </c>
      <c r="BF196" s="228">
        <v>1</v>
      </c>
      <c r="BG196" s="228">
        <v>-1</v>
      </c>
      <c r="BH196" s="229">
        <v>-0.45</v>
      </c>
      <c r="BI196" s="228">
        <v>102</v>
      </c>
      <c r="BJ196" s="228">
        <v>197</v>
      </c>
      <c r="BK196" s="228">
        <v>-95</v>
      </c>
      <c r="BL196" s="229">
        <v>-0.48049999999999998</v>
      </c>
      <c r="BM196" s="228">
        <v>76</v>
      </c>
      <c r="BN196" s="228">
        <v>79</v>
      </c>
      <c r="BO196" s="228">
        <v>-3</v>
      </c>
      <c r="BP196" s="229">
        <v>-3.6400000000000002E-2</v>
      </c>
      <c r="BQ196" s="228">
        <v>236</v>
      </c>
      <c r="BR196" s="228">
        <v>373</v>
      </c>
      <c r="BS196" s="228">
        <v>-137</v>
      </c>
      <c r="BT196" s="229">
        <v>-0.36730000000000002</v>
      </c>
      <c r="BU196" s="230">
        <v>321404</v>
      </c>
      <c r="BV196" s="230">
        <v>882556</v>
      </c>
      <c r="BW196" s="230">
        <v>-561152</v>
      </c>
      <c r="BX196" s="229">
        <v>-0.63580000000000003</v>
      </c>
      <c r="BY196" s="228">
        <v>608</v>
      </c>
      <c r="BZ196" s="228">
        <v>607</v>
      </c>
      <c r="CA196" s="228">
        <v>1</v>
      </c>
      <c r="CB196" s="229">
        <v>2.3999999999999998E-3</v>
      </c>
      <c r="CC196" s="228">
        <v>585</v>
      </c>
      <c r="CD196" s="228">
        <v>591</v>
      </c>
      <c r="CE196" s="228">
        <v>-5</v>
      </c>
      <c r="CF196" s="229">
        <v>-8.6999999999999994E-3</v>
      </c>
      <c r="CG196" s="228">
        <v>21</v>
      </c>
      <c r="CH196" s="228">
        <v>15</v>
      </c>
      <c r="CI196" s="228">
        <v>6</v>
      </c>
      <c r="CJ196" s="229">
        <v>0.40179999999999999</v>
      </c>
      <c r="CK196" s="228">
        <v>2</v>
      </c>
      <c r="CL196" s="228">
        <v>1</v>
      </c>
      <c r="CM196" s="228">
        <v>1</v>
      </c>
      <c r="CN196" s="229">
        <v>0.5625</v>
      </c>
      <c r="CO196" s="228">
        <v>174</v>
      </c>
      <c r="CP196" s="228">
        <v>173</v>
      </c>
      <c r="CQ196" s="228">
        <v>1</v>
      </c>
      <c r="CR196" s="229">
        <v>6.1999999999999998E-3</v>
      </c>
      <c r="CS196" s="228">
        <v>115</v>
      </c>
      <c r="CT196" s="228">
        <v>108</v>
      </c>
      <c r="CU196" s="228">
        <v>7</v>
      </c>
      <c r="CV196" s="229">
        <v>6.83E-2</v>
      </c>
      <c r="CW196" s="228">
        <v>897</v>
      </c>
      <c r="CX196" s="228">
        <v>887</v>
      </c>
      <c r="CY196" s="228">
        <v>10</v>
      </c>
      <c r="CZ196" s="229">
        <v>1.12E-2</v>
      </c>
      <c r="DA196" s="228">
        <v>27.55</v>
      </c>
      <c r="DB196" s="228">
        <v>26.36</v>
      </c>
      <c r="DC196" s="228">
        <v>1.19</v>
      </c>
      <c r="DD196" s="228">
        <v>1.19</v>
      </c>
      <c r="DE196" s="228">
        <v>34.25</v>
      </c>
      <c r="DF196" s="228">
        <v>34.19</v>
      </c>
      <c r="DG196" s="228">
        <v>-6.7</v>
      </c>
      <c r="DH196" s="228">
        <v>0.06</v>
      </c>
      <c r="DI196" s="228">
        <v>28.73</v>
      </c>
      <c r="DJ196" s="228">
        <v>25.9</v>
      </c>
      <c r="DK196" s="228">
        <v>2.83</v>
      </c>
      <c r="DL196" s="228">
        <v>2.83</v>
      </c>
      <c r="DM196" s="228">
        <v>25.97</v>
      </c>
      <c r="DN196" s="228">
        <v>27.5</v>
      </c>
      <c r="DO196" s="228">
        <v>-1.53</v>
      </c>
      <c r="DP196" s="228">
        <v>-1.53</v>
      </c>
      <c r="DQ196" s="228">
        <v>0.66</v>
      </c>
      <c r="DR196" s="228">
        <v>0.62</v>
      </c>
      <c r="DS196" s="228">
        <v>0.04</v>
      </c>
      <c r="DT196" s="229">
        <v>6.4500000000000002E-2</v>
      </c>
      <c r="DU196" s="228">
        <v>700</v>
      </c>
      <c r="DV196" s="228">
        <v>660</v>
      </c>
      <c r="DW196" s="228">
        <v>0.74</v>
      </c>
      <c r="DX196" s="228">
        <v>0.4</v>
      </c>
      <c r="DY196" s="228">
        <v>0.34</v>
      </c>
      <c r="DZ196" s="229">
        <v>0.85</v>
      </c>
      <c r="EA196" s="229">
        <v>3.73E-2</v>
      </c>
      <c r="EB196" s="230">
        <v>240000</v>
      </c>
      <c r="EC196" s="229">
        <v>6.3E-3</v>
      </c>
      <c r="ED196" s="229">
        <v>3.73E-2</v>
      </c>
      <c r="EE196" s="228">
        <v>3.89</v>
      </c>
      <c r="EF196" s="229">
        <v>5.7999999999999996E-3</v>
      </c>
      <c r="EG196" s="230">
        <v>177683</v>
      </c>
      <c r="EH196" s="230">
        <v>416833</v>
      </c>
      <c r="EI196" s="229">
        <v>-0.57369999999999999</v>
      </c>
      <c r="EJ196" s="229">
        <v>0.55279999999999996</v>
      </c>
      <c r="EK196" s="228">
        <v>106.97</v>
      </c>
      <c r="EL196" s="228">
        <v>75.290000000000006</v>
      </c>
      <c r="EM196" s="228">
        <v>58.32</v>
      </c>
      <c r="EN196" s="228">
        <v>0</v>
      </c>
      <c r="EO196" s="228">
        <v>240.58</v>
      </c>
      <c r="EP196" s="228">
        <v>383.33</v>
      </c>
      <c r="EQ196" s="228">
        <v>-142.75</v>
      </c>
      <c r="ER196" s="229">
        <v>-0.37240000000000001</v>
      </c>
      <c r="ES196" s="228">
        <v>184.99</v>
      </c>
      <c r="ET196" s="228">
        <v>114.76</v>
      </c>
      <c r="EU196" s="228">
        <v>608.20000000000005</v>
      </c>
      <c r="EV196" s="231">
        <v>37877778</v>
      </c>
      <c r="EW196" s="228">
        <v>907.95</v>
      </c>
      <c r="EX196" s="228">
        <v>912.37</v>
      </c>
      <c r="EY196" s="228">
        <v>-4.42</v>
      </c>
      <c r="EZ196" s="229">
        <v>-4.7999999999999996E-3</v>
      </c>
      <c r="FA196" s="229">
        <v>0.35420000000000001</v>
      </c>
      <c r="FB196" s="227" t="s">
        <v>567</v>
      </c>
      <c r="FC196">
        <f t="shared" si="4"/>
        <v>0</v>
      </c>
    </row>
    <row r="197" spans="1:159" ht="17.25" thickBot="1" x14ac:dyDescent="0.3">
      <c r="A197" s="226">
        <v>45889</v>
      </c>
      <c r="B197" s="227" t="s">
        <v>498</v>
      </c>
      <c r="C197" s="227" t="s">
        <v>290</v>
      </c>
      <c r="D197" s="228">
        <v>650</v>
      </c>
      <c r="E197" s="228">
        <v>8</v>
      </c>
      <c r="F197" s="228">
        <v>944.8</v>
      </c>
      <c r="G197" s="228">
        <v>950.8</v>
      </c>
      <c r="H197" s="228">
        <v>-6</v>
      </c>
      <c r="I197" s="229">
        <v>-6.3E-3</v>
      </c>
      <c r="J197" s="228">
        <v>944.65</v>
      </c>
      <c r="K197" s="228">
        <v>947.6</v>
      </c>
      <c r="L197" s="228">
        <v>-2.95</v>
      </c>
      <c r="M197" s="229">
        <v>-3.0999999999999999E-3</v>
      </c>
      <c r="N197" s="228">
        <v>944.8</v>
      </c>
      <c r="O197" s="228">
        <v>950.8</v>
      </c>
      <c r="P197" s="228">
        <v>-6</v>
      </c>
      <c r="Q197" s="229">
        <v>-6.3E-3</v>
      </c>
      <c r="R197" s="228">
        <v>950.6</v>
      </c>
      <c r="S197" s="228">
        <v>956.15</v>
      </c>
      <c r="T197" s="228">
        <v>-5.55</v>
      </c>
      <c r="U197" s="229">
        <v>-5.7999999999999996E-3</v>
      </c>
      <c r="V197" s="228">
        <v>0</v>
      </c>
      <c r="W197" s="228">
        <v>0</v>
      </c>
      <c r="X197" s="228">
        <v>0</v>
      </c>
      <c r="Y197" s="229">
        <v>0</v>
      </c>
      <c r="Z197" s="228">
        <v>0.15</v>
      </c>
      <c r="AA197" s="228">
        <v>3.2</v>
      </c>
      <c r="AB197" s="228">
        <v>-3.05</v>
      </c>
      <c r="AC197" s="229">
        <v>2.0000000000000001E-4</v>
      </c>
      <c r="AD197" s="228">
        <v>0.15</v>
      </c>
      <c r="AE197" s="228">
        <v>3.2</v>
      </c>
      <c r="AF197" s="228">
        <v>-3.05</v>
      </c>
      <c r="AG197" s="229">
        <v>2.0000000000000001E-4</v>
      </c>
      <c r="AH197" s="228">
        <v>5.95</v>
      </c>
      <c r="AI197" s="228">
        <v>8.5500000000000007</v>
      </c>
      <c r="AJ197" s="228">
        <v>-2.6</v>
      </c>
      <c r="AK197" s="229">
        <v>6.3E-3</v>
      </c>
      <c r="AL197" s="228">
        <v>0</v>
      </c>
      <c r="AM197" s="228">
        <v>0</v>
      </c>
      <c r="AN197" s="228">
        <v>0</v>
      </c>
      <c r="AO197" s="229">
        <v>0</v>
      </c>
      <c r="AP197" s="228">
        <v>945.53</v>
      </c>
      <c r="AQ197" s="228">
        <v>951.62</v>
      </c>
      <c r="AR197" s="228">
        <v>0</v>
      </c>
      <c r="AS197" s="228">
        <v>83</v>
      </c>
      <c r="AT197" s="228">
        <v>77</v>
      </c>
      <c r="AU197" s="228">
        <v>6</v>
      </c>
      <c r="AV197" s="229">
        <v>7.9200000000000007E-2</v>
      </c>
      <c r="AW197" s="228">
        <v>66</v>
      </c>
      <c r="AX197" s="228">
        <v>61</v>
      </c>
      <c r="AY197" s="228">
        <v>4</v>
      </c>
      <c r="AZ197" s="229">
        <v>7.1300000000000002E-2</v>
      </c>
      <c r="BA197" s="228">
        <v>17</v>
      </c>
      <c r="BB197" s="228">
        <v>16</v>
      </c>
      <c r="BC197" s="228">
        <v>2</v>
      </c>
      <c r="BD197" s="229">
        <v>0.11020000000000001</v>
      </c>
      <c r="BE197" s="228">
        <v>0</v>
      </c>
      <c r="BF197" s="228">
        <v>0</v>
      </c>
      <c r="BG197" s="228">
        <v>0</v>
      </c>
      <c r="BH197" s="229">
        <v>0</v>
      </c>
      <c r="BI197" s="228">
        <v>304</v>
      </c>
      <c r="BJ197" s="228">
        <v>263</v>
      </c>
      <c r="BK197" s="228">
        <v>42</v>
      </c>
      <c r="BL197" s="229">
        <v>0.15840000000000001</v>
      </c>
      <c r="BM197" s="228">
        <v>75</v>
      </c>
      <c r="BN197" s="228">
        <v>62</v>
      </c>
      <c r="BO197" s="228">
        <v>13</v>
      </c>
      <c r="BP197" s="229">
        <v>0.2127</v>
      </c>
      <c r="BQ197" s="228">
        <v>462</v>
      </c>
      <c r="BR197" s="228">
        <v>401</v>
      </c>
      <c r="BS197" s="228">
        <v>61</v>
      </c>
      <c r="BT197" s="229">
        <v>0.15160000000000001</v>
      </c>
      <c r="BU197" s="230">
        <v>431247</v>
      </c>
      <c r="BV197" s="230">
        <v>352864</v>
      </c>
      <c r="BW197" s="230">
        <v>78383</v>
      </c>
      <c r="BX197" s="229">
        <v>0.22209999999999999</v>
      </c>
      <c r="BY197" s="228">
        <v>597</v>
      </c>
      <c r="BZ197" s="228">
        <v>595</v>
      </c>
      <c r="CA197" s="228">
        <v>2</v>
      </c>
      <c r="CB197" s="229">
        <v>3.2000000000000002E-3</v>
      </c>
      <c r="CC197" s="228">
        <v>555</v>
      </c>
      <c r="CD197" s="228">
        <v>561</v>
      </c>
      <c r="CE197" s="228">
        <v>-5</v>
      </c>
      <c r="CF197" s="229">
        <v>-9.2999999999999992E-3</v>
      </c>
      <c r="CG197" s="228">
        <v>42</v>
      </c>
      <c r="CH197" s="228">
        <v>34</v>
      </c>
      <c r="CI197" s="228">
        <v>7</v>
      </c>
      <c r="CJ197" s="229">
        <v>0.20680000000000001</v>
      </c>
      <c r="CK197" s="228">
        <v>0</v>
      </c>
      <c r="CL197" s="228">
        <v>0</v>
      </c>
      <c r="CM197" s="228">
        <v>0</v>
      </c>
      <c r="CN197" s="229">
        <v>0</v>
      </c>
      <c r="CO197" s="228">
        <v>549</v>
      </c>
      <c r="CP197" s="228">
        <v>535</v>
      </c>
      <c r="CQ197" s="228">
        <v>14</v>
      </c>
      <c r="CR197" s="229">
        <v>2.6599999999999999E-2</v>
      </c>
      <c r="CS197" s="228">
        <v>265</v>
      </c>
      <c r="CT197" s="228">
        <v>263</v>
      </c>
      <c r="CU197" s="228">
        <v>2</v>
      </c>
      <c r="CV197" s="229">
        <v>7.7000000000000002E-3</v>
      </c>
      <c r="CW197" s="230">
        <v>1411</v>
      </c>
      <c r="CX197" s="230">
        <v>1392</v>
      </c>
      <c r="CY197" s="228">
        <v>18</v>
      </c>
      <c r="CZ197" s="229">
        <v>1.3100000000000001E-2</v>
      </c>
      <c r="DA197" s="228">
        <v>27.59</v>
      </c>
      <c r="DB197" s="228">
        <v>28.37</v>
      </c>
      <c r="DC197" s="228">
        <v>-0.78</v>
      </c>
      <c r="DD197" s="228">
        <v>-0.78</v>
      </c>
      <c r="DE197" s="228">
        <v>35.89</v>
      </c>
      <c r="DF197" s="228">
        <v>35.97</v>
      </c>
      <c r="DG197" s="228">
        <v>-8.3000000000000007</v>
      </c>
      <c r="DH197" s="228">
        <v>-0.08</v>
      </c>
      <c r="DI197" s="228">
        <v>28</v>
      </c>
      <c r="DJ197" s="228">
        <v>28.45</v>
      </c>
      <c r="DK197" s="228">
        <v>-0.45</v>
      </c>
      <c r="DL197" s="228">
        <v>-0.45</v>
      </c>
      <c r="DM197" s="228">
        <v>25.9</v>
      </c>
      <c r="DN197" s="228">
        <v>28.02</v>
      </c>
      <c r="DO197" s="228">
        <v>-2.12</v>
      </c>
      <c r="DP197" s="228">
        <v>-2.12</v>
      </c>
      <c r="DQ197" s="228">
        <v>0.48</v>
      </c>
      <c r="DR197" s="228">
        <v>0.49</v>
      </c>
      <c r="DS197" s="228">
        <v>-0.01</v>
      </c>
      <c r="DT197" s="229">
        <v>-2.0400000000000001E-2</v>
      </c>
      <c r="DU197" s="231">
        <v>1000</v>
      </c>
      <c r="DV197" s="231">
        <v>1000</v>
      </c>
      <c r="DW197" s="228">
        <v>0.25</v>
      </c>
      <c r="DX197" s="228">
        <v>0.24</v>
      </c>
      <c r="DY197" s="228">
        <v>0.01</v>
      </c>
      <c r="DZ197" s="229">
        <v>4.1700000000000001E-2</v>
      </c>
      <c r="EA197" s="229">
        <v>6.9699999999999998E-2</v>
      </c>
      <c r="EB197" s="230">
        <v>364650</v>
      </c>
      <c r="EC197" s="229">
        <v>6.1000000000000004E-3</v>
      </c>
      <c r="ED197" s="229">
        <v>6.9699999999999998E-2</v>
      </c>
      <c r="EE197" s="228">
        <v>6.09</v>
      </c>
      <c r="EF197" s="229">
        <v>6.4000000000000003E-3</v>
      </c>
      <c r="EG197" s="230">
        <v>105520</v>
      </c>
      <c r="EH197" s="230">
        <v>176970</v>
      </c>
      <c r="EI197" s="229">
        <v>-0.4037</v>
      </c>
      <c r="EJ197" s="229">
        <v>0.2447</v>
      </c>
      <c r="EK197" s="228">
        <v>316.58</v>
      </c>
      <c r="EL197" s="228">
        <v>74.27</v>
      </c>
      <c r="EM197" s="228">
        <v>83.02</v>
      </c>
      <c r="EN197" s="228">
        <v>0</v>
      </c>
      <c r="EO197" s="228">
        <v>473.86</v>
      </c>
      <c r="EP197" s="228">
        <v>414.7</v>
      </c>
      <c r="EQ197" s="228">
        <v>59.16</v>
      </c>
      <c r="ER197" s="229">
        <v>0.14269999999999999</v>
      </c>
      <c r="ES197" s="228">
        <v>588.16999999999996</v>
      </c>
      <c r="ET197" s="228">
        <v>264.19</v>
      </c>
      <c r="EU197" s="228">
        <v>597.12</v>
      </c>
      <c r="EV197" s="231">
        <v>31600651</v>
      </c>
      <c r="EW197" s="231">
        <v>1449.48</v>
      </c>
      <c r="EX197" s="231">
        <v>1435.12</v>
      </c>
      <c r="EY197" s="228">
        <v>14.36</v>
      </c>
      <c r="EZ197" s="229">
        <v>0.01</v>
      </c>
      <c r="FA197" s="229">
        <v>0.47249999999999998</v>
      </c>
      <c r="FB197" s="227" t="s">
        <v>567</v>
      </c>
      <c r="FC197">
        <f t="shared" si="4"/>
        <v>0</v>
      </c>
    </row>
    <row r="198" spans="1:159" ht="17.25" thickBot="1" x14ac:dyDescent="0.3">
      <c r="A198" s="226">
        <v>45889</v>
      </c>
      <c r="B198" s="227" t="s">
        <v>168</v>
      </c>
      <c r="C198" s="227" t="s">
        <v>291</v>
      </c>
      <c r="D198" s="228">
        <v>550</v>
      </c>
      <c r="E198" s="228">
        <v>8</v>
      </c>
      <c r="F198" s="231">
        <v>1105.8</v>
      </c>
      <c r="G198" s="231">
        <v>1090.9000000000001</v>
      </c>
      <c r="H198" s="228">
        <v>14.9</v>
      </c>
      <c r="I198" s="229">
        <v>1.37E-2</v>
      </c>
      <c r="J198" s="231">
        <v>1105.3</v>
      </c>
      <c r="K198" s="231">
        <v>1085.8</v>
      </c>
      <c r="L198" s="228">
        <v>19.5</v>
      </c>
      <c r="M198" s="229">
        <v>1.7999999999999999E-2</v>
      </c>
      <c r="N198" s="231">
        <v>1105.8</v>
      </c>
      <c r="O198" s="231">
        <v>1090.9000000000001</v>
      </c>
      <c r="P198" s="228">
        <v>14.9</v>
      </c>
      <c r="Q198" s="229">
        <v>1.37E-2</v>
      </c>
      <c r="R198" s="231">
        <v>1111.7</v>
      </c>
      <c r="S198" s="231">
        <v>1098.3</v>
      </c>
      <c r="T198" s="228">
        <v>13.4</v>
      </c>
      <c r="U198" s="229">
        <v>1.2200000000000001E-2</v>
      </c>
      <c r="V198" s="231">
        <v>1117.7</v>
      </c>
      <c r="W198" s="231">
        <v>1104</v>
      </c>
      <c r="X198" s="228">
        <v>13.7</v>
      </c>
      <c r="Y198" s="229">
        <v>1.24E-2</v>
      </c>
      <c r="Z198" s="228">
        <v>0.5</v>
      </c>
      <c r="AA198" s="228">
        <v>5.0999999999999996</v>
      </c>
      <c r="AB198" s="228">
        <v>-4.5999999999999996</v>
      </c>
      <c r="AC198" s="229">
        <v>5.0000000000000001E-4</v>
      </c>
      <c r="AD198" s="228">
        <v>0.5</v>
      </c>
      <c r="AE198" s="228">
        <v>5.0999999999999996</v>
      </c>
      <c r="AF198" s="228">
        <v>-4.5999999999999996</v>
      </c>
      <c r="AG198" s="229">
        <v>5.0000000000000001E-4</v>
      </c>
      <c r="AH198" s="228">
        <v>6.4</v>
      </c>
      <c r="AI198" s="228">
        <v>12.5</v>
      </c>
      <c r="AJ198" s="228">
        <v>-6.1</v>
      </c>
      <c r="AK198" s="229">
        <v>5.7999999999999996E-3</v>
      </c>
      <c r="AL198" s="228">
        <v>12.4</v>
      </c>
      <c r="AM198" s="228">
        <v>18.2</v>
      </c>
      <c r="AN198" s="228">
        <v>-5.8</v>
      </c>
      <c r="AO198" s="229">
        <v>1.12E-2</v>
      </c>
      <c r="AP198" s="231">
        <v>1097.0899999999999</v>
      </c>
      <c r="AQ198" s="231">
        <v>1103</v>
      </c>
      <c r="AR198" s="228">
        <v>0</v>
      </c>
      <c r="AS198" s="228">
        <v>348</v>
      </c>
      <c r="AT198" s="228">
        <v>165</v>
      </c>
      <c r="AU198" s="228">
        <v>182</v>
      </c>
      <c r="AV198" s="229">
        <v>1.1019000000000001</v>
      </c>
      <c r="AW198" s="228">
        <v>289</v>
      </c>
      <c r="AX198" s="228">
        <v>143</v>
      </c>
      <c r="AY198" s="228">
        <v>147</v>
      </c>
      <c r="AZ198" s="229">
        <v>1.0268999999999999</v>
      </c>
      <c r="BA198" s="228">
        <v>56</v>
      </c>
      <c r="BB198" s="228">
        <v>22</v>
      </c>
      <c r="BC198" s="228">
        <v>34</v>
      </c>
      <c r="BD198" s="229">
        <v>1.5599000000000001</v>
      </c>
      <c r="BE198" s="228">
        <v>2</v>
      </c>
      <c r="BF198" s="228">
        <v>1</v>
      </c>
      <c r="BG198" s="228">
        <v>2</v>
      </c>
      <c r="BH198" s="229">
        <v>1.9286000000000001</v>
      </c>
      <c r="BI198" s="230">
        <v>1746</v>
      </c>
      <c r="BJ198" s="228">
        <v>708</v>
      </c>
      <c r="BK198" s="230">
        <v>1038</v>
      </c>
      <c r="BL198" s="229">
        <v>1.4664999999999999</v>
      </c>
      <c r="BM198" s="228">
        <v>465</v>
      </c>
      <c r="BN198" s="228">
        <v>322</v>
      </c>
      <c r="BO198" s="228">
        <v>144</v>
      </c>
      <c r="BP198" s="229">
        <v>0.44650000000000001</v>
      </c>
      <c r="BQ198" s="230">
        <v>2559</v>
      </c>
      <c r="BR198" s="230">
        <v>1195</v>
      </c>
      <c r="BS198" s="230">
        <v>1364</v>
      </c>
      <c r="BT198" s="229">
        <v>1.1414</v>
      </c>
      <c r="BU198" s="230">
        <v>918487</v>
      </c>
      <c r="BV198" s="230">
        <v>723408</v>
      </c>
      <c r="BW198" s="230">
        <v>195079</v>
      </c>
      <c r="BX198" s="229">
        <v>0.2697</v>
      </c>
      <c r="BY198" s="230">
        <v>1581</v>
      </c>
      <c r="BZ198" s="230">
        <v>1633</v>
      </c>
      <c r="CA198" s="228">
        <v>-52</v>
      </c>
      <c r="CB198" s="229">
        <v>-3.2099999999999997E-2</v>
      </c>
      <c r="CC198" s="230">
        <v>1518</v>
      </c>
      <c r="CD198" s="230">
        <v>1587</v>
      </c>
      <c r="CE198" s="228">
        <v>-69</v>
      </c>
      <c r="CF198" s="229">
        <v>-4.3299999999999998E-2</v>
      </c>
      <c r="CG198" s="228">
        <v>60</v>
      </c>
      <c r="CH198" s="228">
        <v>45</v>
      </c>
      <c r="CI198" s="228">
        <v>15</v>
      </c>
      <c r="CJ198" s="229">
        <v>0.34379999999999999</v>
      </c>
      <c r="CK198" s="228">
        <v>3</v>
      </c>
      <c r="CL198" s="228">
        <v>2</v>
      </c>
      <c r="CM198" s="228">
        <v>1</v>
      </c>
      <c r="CN198" s="229">
        <v>0.4194</v>
      </c>
      <c r="CO198" s="228">
        <v>433</v>
      </c>
      <c r="CP198" s="228">
        <v>416</v>
      </c>
      <c r="CQ198" s="228">
        <v>17</v>
      </c>
      <c r="CR198" s="229">
        <v>4.0800000000000003E-2</v>
      </c>
      <c r="CS198" s="228">
        <v>317</v>
      </c>
      <c r="CT198" s="228">
        <v>283</v>
      </c>
      <c r="CU198" s="228">
        <v>34</v>
      </c>
      <c r="CV198" s="229">
        <v>0.121</v>
      </c>
      <c r="CW198" s="230">
        <v>2330</v>
      </c>
      <c r="CX198" s="230">
        <v>2332</v>
      </c>
      <c r="CY198" s="228">
        <v>-1</v>
      </c>
      <c r="CZ198" s="229">
        <v>-5.0000000000000001E-4</v>
      </c>
      <c r="DA198" s="228">
        <v>21.78</v>
      </c>
      <c r="DB198" s="228">
        <v>20.56</v>
      </c>
      <c r="DC198" s="228">
        <v>1.22</v>
      </c>
      <c r="DD198" s="228">
        <v>1.22</v>
      </c>
      <c r="DE198" s="228">
        <v>27.54</v>
      </c>
      <c r="DF198" s="228">
        <v>27.51</v>
      </c>
      <c r="DG198" s="228">
        <v>-5.76</v>
      </c>
      <c r="DH198" s="228">
        <v>0.03</v>
      </c>
      <c r="DI198" s="228">
        <v>21.73</v>
      </c>
      <c r="DJ198" s="228">
        <v>20.18</v>
      </c>
      <c r="DK198" s="228">
        <v>1.55</v>
      </c>
      <c r="DL198" s="228">
        <v>1.55</v>
      </c>
      <c r="DM198" s="228">
        <v>21.96</v>
      </c>
      <c r="DN198" s="228">
        <v>21.39</v>
      </c>
      <c r="DO198" s="228">
        <v>0.56999999999999995</v>
      </c>
      <c r="DP198" s="228">
        <v>0.56999999999999995</v>
      </c>
      <c r="DQ198" s="228">
        <v>0.73</v>
      </c>
      <c r="DR198" s="228">
        <v>0.68</v>
      </c>
      <c r="DS198" s="228">
        <v>0.05</v>
      </c>
      <c r="DT198" s="229">
        <v>7.3499999999999996E-2</v>
      </c>
      <c r="DU198" s="231">
        <v>1100</v>
      </c>
      <c r="DV198" s="231">
        <v>1050</v>
      </c>
      <c r="DW198" s="228">
        <v>0.27</v>
      </c>
      <c r="DX198" s="228">
        <v>0.45</v>
      </c>
      <c r="DY198" s="228">
        <v>-0.18</v>
      </c>
      <c r="DZ198" s="229">
        <v>-0.4</v>
      </c>
      <c r="EA198" s="229">
        <v>3.9699999999999999E-2</v>
      </c>
      <c r="EB198" s="230">
        <v>421850</v>
      </c>
      <c r="EC198" s="229">
        <v>5.3E-3</v>
      </c>
      <c r="ED198" s="229">
        <v>3.9699999999999999E-2</v>
      </c>
      <c r="EE198" s="228">
        <v>5.91</v>
      </c>
      <c r="EF198" s="229">
        <v>5.4000000000000003E-3</v>
      </c>
      <c r="EG198" s="230">
        <v>429736</v>
      </c>
      <c r="EH198" s="230">
        <v>344080</v>
      </c>
      <c r="EI198" s="229">
        <v>0.24890000000000001</v>
      </c>
      <c r="EJ198" s="229">
        <v>0.46789999999999998</v>
      </c>
      <c r="EK198" s="231">
        <v>1769.72</v>
      </c>
      <c r="EL198" s="228">
        <v>454.02</v>
      </c>
      <c r="EM198" s="228">
        <v>345.16</v>
      </c>
      <c r="EN198" s="228">
        <v>0</v>
      </c>
      <c r="EO198" s="231">
        <v>2568.9</v>
      </c>
      <c r="EP198" s="231">
        <v>1176.54</v>
      </c>
      <c r="EQ198" s="231">
        <v>1392.36</v>
      </c>
      <c r="ER198" s="229">
        <v>1.1834</v>
      </c>
      <c r="ES198" s="228">
        <v>442.86</v>
      </c>
      <c r="ET198" s="228">
        <v>297.49</v>
      </c>
      <c r="EU198" s="231">
        <v>1581.04</v>
      </c>
      <c r="EV198" s="231">
        <v>130943056</v>
      </c>
      <c r="EW198" s="231">
        <v>2321.39</v>
      </c>
      <c r="EX198" s="231">
        <v>2296.61</v>
      </c>
      <c r="EY198" s="228">
        <v>24.78</v>
      </c>
      <c r="EZ198" s="229">
        <v>1.0800000000000001E-2</v>
      </c>
      <c r="FA198" s="229">
        <v>0.16089999999999999</v>
      </c>
      <c r="FB198" s="227" t="s">
        <v>556</v>
      </c>
      <c r="FC198">
        <f t="shared" si="4"/>
        <v>0</v>
      </c>
    </row>
    <row r="199" spans="1:159" ht="17.25" thickBot="1" x14ac:dyDescent="0.3">
      <c r="A199" s="226">
        <v>45889</v>
      </c>
      <c r="B199" s="227" t="s">
        <v>221</v>
      </c>
      <c r="C199" s="227" t="s">
        <v>605</v>
      </c>
      <c r="D199" s="228">
        <v>100</v>
      </c>
      <c r="E199" s="228">
        <v>8</v>
      </c>
      <c r="F199" s="231">
        <v>5745</v>
      </c>
      <c r="G199" s="231">
        <v>5734</v>
      </c>
      <c r="H199" s="228">
        <v>11</v>
      </c>
      <c r="I199" s="229">
        <v>1.9E-3</v>
      </c>
      <c r="J199" s="231">
        <v>5745.5</v>
      </c>
      <c r="K199" s="231">
        <v>5726.5</v>
      </c>
      <c r="L199" s="228">
        <v>19</v>
      </c>
      <c r="M199" s="229">
        <v>3.3E-3</v>
      </c>
      <c r="N199" s="231">
        <v>5745</v>
      </c>
      <c r="O199" s="231">
        <v>5734</v>
      </c>
      <c r="P199" s="228">
        <v>11</v>
      </c>
      <c r="Q199" s="229">
        <v>1.9E-3</v>
      </c>
      <c r="R199" s="231">
        <v>5726.5</v>
      </c>
      <c r="S199" s="231">
        <v>5713</v>
      </c>
      <c r="T199" s="228">
        <v>13.5</v>
      </c>
      <c r="U199" s="229">
        <v>2.3999999999999998E-3</v>
      </c>
      <c r="V199" s="231">
        <v>5721</v>
      </c>
      <c r="W199" s="231">
        <v>5697.5</v>
      </c>
      <c r="X199" s="228">
        <v>23.5</v>
      </c>
      <c r="Y199" s="229">
        <v>4.1000000000000003E-3</v>
      </c>
      <c r="Z199" s="228">
        <v>-0.5</v>
      </c>
      <c r="AA199" s="228">
        <v>7.5</v>
      </c>
      <c r="AB199" s="228">
        <v>-8</v>
      </c>
      <c r="AC199" s="229">
        <v>-1E-4</v>
      </c>
      <c r="AD199" s="228">
        <v>-0.5</v>
      </c>
      <c r="AE199" s="228">
        <v>7.5</v>
      </c>
      <c r="AF199" s="228">
        <v>-8</v>
      </c>
      <c r="AG199" s="229">
        <v>-1E-4</v>
      </c>
      <c r="AH199" s="228">
        <v>-19</v>
      </c>
      <c r="AI199" s="228">
        <v>-13.5</v>
      </c>
      <c r="AJ199" s="228">
        <v>-5.5</v>
      </c>
      <c r="AK199" s="229">
        <v>-3.3E-3</v>
      </c>
      <c r="AL199" s="228">
        <v>-24.5</v>
      </c>
      <c r="AM199" s="228">
        <v>-29</v>
      </c>
      <c r="AN199" s="228">
        <v>4.5</v>
      </c>
      <c r="AO199" s="229">
        <v>-4.3E-3</v>
      </c>
      <c r="AP199" s="231">
        <v>5759.84</v>
      </c>
      <c r="AQ199" s="231">
        <v>5741.4</v>
      </c>
      <c r="AR199" s="228">
        <v>0</v>
      </c>
      <c r="AS199" s="228">
        <v>208</v>
      </c>
      <c r="AT199" s="228">
        <v>124</v>
      </c>
      <c r="AU199" s="228">
        <v>84</v>
      </c>
      <c r="AV199" s="229">
        <v>0.67479999999999996</v>
      </c>
      <c r="AW199" s="228">
        <v>140</v>
      </c>
      <c r="AX199" s="228">
        <v>91</v>
      </c>
      <c r="AY199" s="228">
        <v>50</v>
      </c>
      <c r="AZ199" s="229">
        <v>0.54679999999999995</v>
      </c>
      <c r="BA199" s="228">
        <v>63</v>
      </c>
      <c r="BB199" s="228">
        <v>31</v>
      </c>
      <c r="BC199" s="228">
        <v>32</v>
      </c>
      <c r="BD199" s="229">
        <v>1.0564</v>
      </c>
      <c r="BE199" s="228">
        <v>5</v>
      </c>
      <c r="BF199" s="228">
        <v>3</v>
      </c>
      <c r="BG199" s="228">
        <v>2</v>
      </c>
      <c r="BH199" s="229">
        <v>0.66</v>
      </c>
      <c r="BI199" s="228">
        <v>516</v>
      </c>
      <c r="BJ199" s="228">
        <v>330</v>
      </c>
      <c r="BK199" s="228">
        <v>186</v>
      </c>
      <c r="BL199" s="229">
        <v>0.5645</v>
      </c>
      <c r="BM199" s="228">
        <v>153</v>
      </c>
      <c r="BN199" s="228">
        <v>108</v>
      </c>
      <c r="BO199" s="228">
        <v>45</v>
      </c>
      <c r="BP199" s="229">
        <v>0.41299999999999998</v>
      </c>
      <c r="BQ199" s="228">
        <v>877</v>
      </c>
      <c r="BR199" s="228">
        <v>562</v>
      </c>
      <c r="BS199" s="228">
        <v>315</v>
      </c>
      <c r="BT199" s="229">
        <v>0.55969999999999998</v>
      </c>
      <c r="BU199" s="230">
        <v>142422</v>
      </c>
      <c r="BV199" s="230">
        <v>98672</v>
      </c>
      <c r="BW199" s="230">
        <v>43750</v>
      </c>
      <c r="BX199" s="229">
        <v>0.44340000000000002</v>
      </c>
      <c r="BY199" s="230">
        <v>1490</v>
      </c>
      <c r="BZ199" s="230">
        <v>1445</v>
      </c>
      <c r="CA199" s="228">
        <v>45</v>
      </c>
      <c r="CB199" s="229">
        <v>3.1300000000000001E-2</v>
      </c>
      <c r="CC199" s="230">
        <v>1214</v>
      </c>
      <c r="CD199" s="230">
        <v>1202</v>
      </c>
      <c r="CE199" s="228">
        <v>13</v>
      </c>
      <c r="CF199" s="229">
        <v>1.0500000000000001E-2</v>
      </c>
      <c r="CG199" s="228">
        <v>267</v>
      </c>
      <c r="CH199" s="228">
        <v>237</v>
      </c>
      <c r="CI199" s="228">
        <v>30</v>
      </c>
      <c r="CJ199" s="229">
        <v>0.1268</v>
      </c>
      <c r="CK199" s="228">
        <v>9</v>
      </c>
      <c r="CL199" s="228">
        <v>7</v>
      </c>
      <c r="CM199" s="228">
        <v>3</v>
      </c>
      <c r="CN199" s="229">
        <v>0.40350000000000003</v>
      </c>
      <c r="CO199" s="228">
        <v>312</v>
      </c>
      <c r="CP199" s="228">
        <v>289</v>
      </c>
      <c r="CQ199" s="228">
        <v>23</v>
      </c>
      <c r="CR199" s="229">
        <v>7.9200000000000007E-2</v>
      </c>
      <c r="CS199" s="228">
        <v>165</v>
      </c>
      <c r="CT199" s="228">
        <v>143</v>
      </c>
      <c r="CU199" s="228">
        <v>22</v>
      </c>
      <c r="CV199" s="229">
        <v>0.156</v>
      </c>
      <c r="CW199" s="230">
        <v>1968</v>
      </c>
      <c r="CX199" s="230">
        <v>1877</v>
      </c>
      <c r="CY199" s="228">
        <v>90</v>
      </c>
      <c r="CZ199" s="229">
        <v>4.82E-2</v>
      </c>
      <c r="DA199" s="228">
        <v>30.15</v>
      </c>
      <c r="DB199" s="228">
        <v>30.1</v>
      </c>
      <c r="DC199" s="228">
        <v>0.05</v>
      </c>
      <c r="DD199" s="228">
        <v>0.05</v>
      </c>
      <c r="DE199" s="228">
        <v>37.619999999999997</v>
      </c>
      <c r="DF199" s="228">
        <v>37.72</v>
      </c>
      <c r="DG199" s="228">
        <v>-7.47</v>
      </c>
      <c r="DH199" s="228">
        <v>-0.1</v>
      </c>
      <c r="DI199" s="228">
        <v>30.53</v>
      </c>
      <c r="DJ199" s="228">
        <v>30.51</v>
      </c>
      <c r="DK199" s="228">
        <v>0.02</v>
      </c>
      <c r="DL199" s="228">
        <v>0.02</v>
      </c>
      <c r="DM199" s="228">
        <v>28.89</v>
      </c>
      <c r="DN199" s="228">
        <v>28.85</v>
      </c>
      <c r="DO199" s="228">
        <v>0.04</v>
      </c>
      <c r="DP199" s="228">
        <v>0.04</v>
      </c>
      <c r="DQ199" s="228">
        <v>0.53</v>
      </c>
      <c r="DR199" s="228">
        <v>0.49</v>
      </c>
      <c r="DS199" s="228">
        <v>0.04</v>
      </c>
      <c r="DT199" s="229">
        <v>8.1600000000000006E-2</v>
      </c>
      <c r="DU199" s="231">
        <v>6500</v>
      </c>
      <c r="DV199" s="231">
        <v>5600</v>
      </c>
      <c r="DW199" s="228">
        <v>0.3</v>
      </c>
      <c r="DX199" s="228">
        <v>0.33</v>
      </c>
      <c r="DY199" s="228">
        <v>-0.03</v>
      </c>
      <c r="DZ199" s="229">
        <v>-9.0899999999999995E-2</v>
      </c>
      <c r="EA199" s="229">
        <v>0.185</v>
      </c>
      <c r="EB199" s="230">
        <v>423200</v>
      </c>
      <c r="EC199" s="229">
        <v>-3.2000000000000002E-3</v>
      </c>
      <c r="ED199" s="229">
        <v>0.185</v>
      </c>
      <c r="EE199" s="228">
        <v>-18.440000000000001</v>
      </c>
      <c r="EF199" s="229">
        <v>-3.2000000000000002E-3</v>
      </c>
      <c r="EG199" s="230">
        <v>32253</v>
      </c>
      <c r="EH199" s="230">
        <v>25357</v>
      </c>
      <c r="EI199" s="229">
        <v>0.27200000000000002</v>
      </c>
      <c r="EJ199" s="229">
        <v>0.22650000000000001</v>
      </c>
      <c r="EK199" s="228">
        <v>537.66</v>
      </c>
      <c r="EL199" s="228">
        <v>152.52000000000001</v>
      </c>
      <c r="EM199" s="228">
        <v>208.33</v>
      </c>
      <c r="EN199" s="228">
        <v>0</v>
      </c>
      <c r="EO199" s="228">
        <v>898.52</v>
      </c>
      <c r="EP199" s="228">
        <v>571.5</v>
      </c>
      <c r="EQ199" s="228">
        <v>327.02</v>
      </c>
      <c r="ER199" s="229">
        <v>0.57220000000000004</v>
      </c>
      <c r="ES199" s="228">
        <v>335.58</v>
      </c>
      <c r="ET199" s="228">
        <v>164.68</v>
      </c>
      <c r="EU199" s="231">
        <v>1489.3</v>
      </c>
      <c r="EV199" s="231">
        <v>6987155</v>
      </c>
      <c r="EW199" s="231">
        <v>1989.56</v>
      </c>
      <c r="EX199" s="231">
        <v>1895.33</v>
      </c>
      <c r="EY199" s="228">
        <v>94.23</v>
      </c>
      <c r="EZ199" s="229">
        <v>4.9700000000000001E-2</v>
      </c>
      <c r="FA199" s="229">
        <v>0.49020000000000002</v>
      </c>
      <c r="FB199" s="227" t="s">
        <v>555</v>
      </c>
      <c r="FC199">
        <f t="shared" si="4"/>
        <v>0</v>
      </c>
    </row>
    <row r="200" spans="1:159" ht="17.25" thickBot="1" x14ac:dyDescent="0.3">
      <c r="A200" s="226">
        <v>45889</v>
      </c>
      <c r="B200" s="227" t="s">
        <v>162</v>
      </c>
      <c r="C200" s="227" t="s">
        <v>292</v>
      </c>
      <c r="D200" s="228">
        <v>800</v>
      </c>
      <c r="E200" s="228">
        <v>8</v>
      </c>
      <c r="F200" s="228">
        <v>691.25</v>
      </c>
      <c r="G200" s="228">
        <v>702.35</v>
      </c>
      <c r="H200" s="228">
        <v>-11.1</v>
      </c>
      <c r="I200" s="229">
        <v>-1.5800000000000002E-2</v>
      </c>
      <c r="J200" s="228">
        <v>689.6</v>
      </c>
      <c r="K200" s="228">
        <v>700.25</v>
      </c>
      <c r="L200" s="228">
        <v>-10.65</v>
      </c>
      <c r="M200" s="229">
        <v>-1.52E-2</v>
      </c>
      <c r="N200" s="228">
        <v>691.25</v>
      </c>
      <c r="O200" s="228">
        <v>702.35</v>
      </c>
      <c r="P200" s="228">
        <v>-11.1</v>
      </c>
      <c r="Q200" s="229">
        <v>-1.5800000000000002E-2</v>
      </c>
      <c r="R200" s="228">
        <v>695.2</v>
      </c>
      <c r="S200" s="228">
        <v>706.25</v>
      </c>
      <c r="T200" s="228">
        <v>-11.05</v>
      </c>
      <c r="U200" s="229">
        <v>-1.5599999999999999E-2</v>
      </c>
      <c r="V200" s="228">
        <v>697.4</v>
      </c>
      <c r="W200" s="228">
        <v>707.6</v>
      </c>
      <c r="X200" s="228">
        <v>-10.199999999999999</v>
      </c>
      <c r="Y200" s="229">
        <v>-1.44E-2</v>
      </c>
      <c r="Z200" s="228">
        <v>1.65</v>
      </c>
      <c r="AA200" s="228">
        <v>2.1</v>
      </c>
      <c r="AB200" s="228">
        <v>-0.45</v>
      </c>
      <c r="AC200" s="229">
        <v>2.3999999999999998E-3</v>
      </c>
      <c r="AD200" s="228">
        <v>1.65</v>
      </c>
      <c r="AE200" s="228">
        <v>2.1</v>
      </c>
      <c r="AF200" s="228">
        <v>-0.45</v>
      </c>
      <c r="AG200" s="229">
        <v>2.3999999999999998E-3</v>
      </c>
      <c r="AH200" s="228">
        <v>5.6</v>
      </c>
      <c r="AI200" s="228">
        <v>6</v>
      </c>
      <c r="AJ200" s="228">
        <v>-0.4</v>
      </c>
      <c r="AK200" s="229">
        <v>8.0999999999999996E-3</v>
      </c>
      <c r="AL200" s="228">
        <v>7.8</v>
      </c>
      <c r="AM200" s="228">
        <v>7.35</v>
      </c>
      <c r="AN200" s="228">
        <v>0.45</v>
      </c>
      <c r="AO200" s="229">
        <v>1.1299999999999999E-2</v>
      </c>
      <c r="AP200" s="228">
        <v>693.78</v>
      </c>
      <c r="AQ200" s="228">
        <v>697.46</v>
      </c>
      <c r="AR200" s="228">
        <v>0</v>
      </c>
      <c r="AS200" s="230">
        <v>1015</v>
      </c>
      <c r="AT200" s="230">
        <v>1970</v>
      </c>
      <c r="AU200" s="228">
        <v>-955</v>
      </c>
      <c r="AV200" s="229">
        <v>-0.48470000000000002</v>
      </c>
      <c r="AW200" s="228">
        <v>672</v>
      </c>
      <c r="AX200" s="230">
        <v>1559</v>
      </c>
      <c r="AY200" s="228">
        <v>-887</v>
      </c>
      <c r="AZ200" s="229">
        <v>-0.56910000000000005</v>
      </c>
      <c r="BA200" s="228">
        <v>311</v>
      </c>
      <c r="BB200" s="228">
        <v>372</v>
      </c>
      <c r="BC200" s="228">
        <v>-61</v>
      </c>
      <c r="BD200" s="229">
        <v>-0.16350000000000001</v>
      </c>
      <c r="BE200" s="228">
        <v>32</v>
      </c>
      <c r="BF200" s="228">
        <v>39</v>
      </c>
      <c r="BG200" s="228">
        <v>-7</v>
      </c>
      <c r="BH200" s="229">
        <v>-0.17499999999999999</v>
      </c>
      <c r="BI200" s="230">
        <v>4904</v>
      </c>
      <c r="BJ200" s="230">
        <v>16941</v>
      </c>
      <c r="BK200" s="230">
        <v>-12038</v>
      </c>
      <c r="BL200" s="229">
        <v>-0.71050000000000002</v>
      </c>
      <c r="BM200" s="230">
        <v>3219</v>
      </c>
      <c r="BN200" s="230">
        <v>7794</v>
      </c>
      <c r="BO200" s="230">
        <v>-4574</v>
      </c>
      <c r="BP200" s="229">
        <v>-0.58689999999999998</v>
      </c>
      <c r="BQ200" s="230">
        <v>9138</v>
      </c>
      <c r="BR200" s="230">
        <v>26705</v>
      </c>
      <c r="BS200" s="230">
        <v>-17567</v>
      </c>
      <c r="BT200" s="229">
        <v>-0.65780000000000005</v>
      </c>
      <c r="BU200" s="230">
        <v>10552827</v>
      </c>
      <c r="BV200" s="230">
        <v>21412632</v>
      </c>
      <c r="BW200" s="230">
        <v>-10859805</v>
      </c>
      <c r="BX200" s="229">
        <v>-0.50719999999999998</v>
      </c>
      <c r="BY200" s="230">
        <v>5639</v>
      </c>
      <c r="BZ200" s="230">
        <v>5556</v>
      </c>
      <c r="CA200" s="228">
        <v>83</v>
      </c>
      <c r="CB200" s="229">
        <v>1.4999999999999999E-2</v>
      </c>
      <c r="CC200" s="230">
        <v>4773</v>
      </c>
      <c r="CD200" s="230">
        <v>4892</v>
      </c>
      <c r="CE200" s="228">
        <v>-119</v>
      </c>
      <c r="CF200" s="229">
        <v>-2.4299999999999999E-2</v>
      </c>
      <c r="CG200" s="228">
        <v>800</v>
      </c>
      <c r="CH200" s="228">
        <v>611</v>
      </c>
      <c r="CI200" s="228">
        <v>188</v>
      </c>
      <c r="CJ200" s="229">
        <v>0.30809999999999998</v>
      </c>
      <c r="CK200" s="228">
        <v>66</v>
      </c>
      <c r="CL200" s="228">
        <v>53</v>
      </c>
      <c r="CM200" s="228">
        <v>14</v>
      </c>
      <c r="CN200" s="229">
        <v>0.25890000000000002</v>
      </c>
      <c r="CO200" s="230">
        <v>3110</v>
      </c>
      <c r="CP200" s="230">
        <v>2845</v>
      </c>
      <c r="CQ200" s="228">
        <v>265</v>
      </c>
      <c r="CR200" s="229">
        <v>9.2999999999999999E-2</v>
      </c>
      <c r="CS200" s="230">
        <v>2523</v>
      </c>
      <c r="CT200" s="230">
        <v>2759</v>
      </c>
      <c r="CU200" s="228">
        <v>-236</v>
      </c>
      <c r="CV200" s="229">
        <v>-8.5699999999999998E-2</v>
      </c>
      <c r="CW200" s="230">
        <v>11272</v>
      </c>
      <c r="CX200" s="230">
        <v>11160</v>
      </c>
      <c r="CY200" s="228">
        <v>112</v>
      </c>
      <c r="CZ200" s="229">
        <v>0.01</v>
      </c>
      <c r="DA200" s="228">
        <v>28.75</v>
      </c>
      <c r="DB200" s="228">
        <v>29.62</v>
      </c>
      <c r="DC200" s="228">
        <v>-0.87</v>
      </c>
      <c r="DD200" s="228">
        <v>-0.87</v>
      </c>
      <c r="DE200" s="228">
        <v>36.42</v>
      </c>
      <c r="DF200" s="228">
        <v>36.44</v>
      </c>
      <c r="DG200" s="228">
        <v>-7.67</v>
      </c>
      <c r="DH200" s="228">
        <v>-0.02</v>
      </c>
      <c r="DI200" s="228">
        <v>28.71</v>
      </c>
      <c r="DJ200" s="228">
        <v>28.36</v>
      </c>
      <c r="DK200" s="228">
        <v>0.35</v>
      </c>
      <c r="DL200" s="228">
        <v>0.35</v>
      </c>
      <c r="DM200" s="228">
        <v>28.81</v>
      </c>
      <c r="DN200" s="228">
        <v>32.35</v>
      </c>
      <c r="DO200" s="228">
        <v>-3.54</v>
      </c>
      <c r="DP200" s="228">
        <v>-3.54</v>
      </c>
      <c r="DQ200" s="228">
        <v>0.81</v>
      </c>
      <c r="DR200" s="228">
        <v>0.97</v>
      </c>
      <c r="DS200" s="228">
        <v>-0.16</v>
      </c>
      <c r="DT200" s="229">
        <v>-0.16489999999999999</v>
      </c>
      <c r="DU200" s="228">
        <v>700</v>
      </c>
      <c r="DV200" s="228">
        <v>700</v>
      </c>
      <c r="DW200" s="228">
        <v>0.66</v>
      </c>
      <c r="DX200" s="228">
        <v>0.46</v>
      </c>
      <c r="DY200" s="228">
        <v>0.2</v>
      </c>
      <c r="DZ200" s="229">
        <v>0.43480000000000002</v>
      </c>
      <c r="EA200" s="229">
        <v>0.15359999999999999</v>
      </c>
      <c r="EB200" s="230">
        <v>9608800</v>
      </c>
      <c r="EC200" s="229">
        <v>5.7000000000000002E-3</v>
      </c>
      <c r="ED200" s="229">
        <v>0.15359999999999999</v>
      </c>
      <c r="EE200" s="228">
        <v>3.68</v>
      </c>
      <c r="EF200" s="229">
        <v>5.3E-3</v>
      </c>
      <c r="EG200" s="230">
        <v>5530415</v>
      </c>
      <c r="EH200" s="230">
        <v>7138374</v>
      </c>
      <c r="EI200" s="229">
        <v>-0.2253</v>
      </c>
      <c r="EJ200" s="229">
        <v>0.52410000000000001</v>
      </c>
      <c r="EK200" s="231">
        <v>5146.96</v>
      </c>
      <c r="EL200" s="231">
        <v>3188.8</v>
      </c>
      <c r="EM200" s="231">
        <v>1020.5</v>
      </c>
      <c r="EN200" s="228">
        <v>0</v>
      </c>
      <c r="EO200" s="231">
        <v>9356.26</v>
      </c>
      <c r="EP200" s="231">
        <v>27360.76</v>
      </c>
      <c r="EQ200" s="231">
        <v>-18004.5</v>
      </c>
      <c r="ER200" s="229">
        <v>-0.65800000000000003</v>
      </c>
      <c r="ES200" s="231">
        <v>3232.8</v>
      </c>
      <c r="ET200" s="231">
        <v>2420.2600000000002</v>
      </c>
      <c r="EU200" s="231">
        <v>5644.38</v>
      </c>
      <c r="EV200" s="231">
        <v>422818502</v>
      </c>
      <c r="EW200" s="231">
        <v>11297.43</v>
      </c>
      <c r="EX200" s="231">
        <v>11258.45</v>
      </c>
      <c r="EY200" s="228">
        <v>38.979999999999997</v>
      </c>
      <c r="EZ200" s="229">
        <v>3.5000000000000001E-3</v>
      </c>
      <c r="FA200" s="229">
        <v>0.38569999999999999</v>
      </c>
      <c r="FB200" s="227" t="s">
        <v>567</v>
      </c>
      <c r="FC200">
        <f t="shared" si="4"/>
        <v>0</v>
      </c>
    </row>
    <row r="201" spans="1:159" ht="17.25" thickBot="1" x14ac:dyDescent="0.3">
      <c r="A201" s="226">
        <v>45889</v>
      </c>
      <c r="B201" s="227" t="s">
        <v>161</v>
      </c>
      <c r="C201" s="227" t="s">
        <v>293</v>
      </c>
      <c r="D201" s="228">
        <v>1450</v>
      </c>
      <c r="E201" s="228">
        <v>8</v>
      </c>
      <c r="F201" s="228">
        <v>391.5</v>
      </c>
      <c r="G201" s="228">
        <v>389.95</v>
      </c>
      <c r="H201" s="228">
        <v>1.55</v>
      </c>
      <c r="I201" s="229">
        <v>4.0000000000000001E-3</v>
      </c>
      <c r="J201" s="228">
        <v>390.55</v>
      </c>
      <c r="K201" s="228">
        <v>389.15</v>
      </c>
      <c r="L201" s="228">
        <v>1.4</v>
      </c>
      <c r="M201" s="229">
        <v>3.5999999999999999E-3</v>
      </c>
      <c r="N201" s="228">
        <v>391.5</v>
      </c>
      <c r="O201" s="228">
        <v>389.95</v>
      </c>
      <c r="P201" s="228">
        <v>1.55</v>
      </c>
      <c r="Q201" s="229">
        <v>4.0000000000000001E-3</v>
      </c>
      <c r="R201" s="228">
        <v>393.75</v>
      </c>
      <c r="S201" s="228">
        <v>392.2</v>
      </c>
      <c r="T201" s="228">
        <v>1.55</v>
      </c>
      <c r="U201" s="229">
        <v>4.0000000000000001E-3</v>
      </c>
      <c r="V201" s="228">
        <v>395.7</v>
      </c>
      <c r="W201" s="228">
        <v>394.2</v>
      </c>
      <c r="X201" s="228">
        <v>1.5</v>
      </c>
      <c r="Y201" s="229">
        <v>3.8E-3</v>
      </c>
      <c r="Z201" s="228">
        <v>0.95</v>
      </c>
      <c r="AA201" s="228">
        <v>0.8</v>
      </c>
      <c r="AB201" s="228">
        <v>0.15</v>
      </c>
      <c r="AC201" s="229">
        <v>2.3999999999999998E-3</v>
      </c>
      <c r="AD201" s="228">
        <v>0.95</v>
      </c>
      <c r="AE201" s="228">
        <v>0.8</v>
      </c>
      <c r="AF201" s="228">
        <v>0.15</v>
      </c>
      <c r="AG201" s="229">
        <v>2.3999999999999998E-3</v>
      </c>
      <c r="AH201" s="228">
        <v>3.2</v>
      </c>
      <c r="AI201" s="228">
        <v>3.05</v>
      </c>
      <c r="AJ201" s="228">
        <v>0.15</v>
      </c>
      <c r="AK201" s="229">
        <v>8.2000000000000007E-3</v>
      </c>
      <c r="AL201" s="228">
        <v>5.15</v>
      </c>
      <c r="AM201" s="228">
        <v>5.05</v>
      </c>
      <c r="AN201" s="228">
        <v>0.1</v>
      </c>
      <c r="AO201" s="229">
        <v>1.32E-2</v>
      </c>
      <c r="AP201" s="228">
        <v>391.64</v>
      </c>
      <c r="AQ201" s="228">
        <v>393.91</v>
      </c>
      <c r="AR201" s="228">
        <v>0</v>
      </c>
      <c r="AS201" s="228">
        <v>302</v>
      </c>
      <c r="AT201" s="228">
        <v>228</v>
      </c>
      <c r="AU201" s="228">
        <v>74</v>
      </c>
      <c r="AV201" s="229">
        <v>0.3221</v>
      </c>
      <c r="AW201" s="228">
        <v>220</v>
      </c>
      <c r="AX201" s="228">
        <v>182</v>
      </c>
      <c r="AY201" s="228">
        <v>38</v>
      </c>
      <c r="AZ201" s="229">
        <v>0.20899999999999999</v>
      </c>
      <c r="BA201" s="228">
        <v>78</v>
      </c>
      <c r="BB201" s="228">
        <v>43</v>
      </c>
      <c r="BC201" s="228">
        <v>36</v>
      </c>
      <c r="BD201" s="229">
        <v>0.83640000000000003</v>
      </c>
      <c r="BE201" s="228">
        <v>3</v>
      </c>
      <c r="BF201" s="228">
        <v>3</v>
      </c>
      <c r="BG201" s="228">
        <v>0</v>
      </c>
      <c r="BH201" s="229">
        <v>-8.6199999999999999E-2</v>
      </c>
      <c r="BI201" s="230">
        <v>1133</v>
      </c>
      <c r="BJ201" s="228">
        <v>808</v>
      </c>
      <c r="BK201" s="228">
        <v>326</v>
      </c>
      <c r="BL201" s="229">
        <v>0.4032</v>
      </c>
      <c r="BM201" s="228">
        <v>618</v>
      </c>
      <c r="BN201" s="228">
        <v>555</v>
      </c>
      <c r="BO201" s="228">
        <v>63</v>
      </c>
      <c r="BP201" s="229">
        <v>0.11260000000000001</v>
      </c>
      <c r="BQ201" s="230">
        <v>2053</v>
      </c>
      <c r="BR201" s="230">
        <v>1591</v>
      </c>
      <c r="BS201" s="228">
        <v>462</v>
      </c>
      <c r="BT201" s="229">
        <v>0.29020000000000001</v>
      </c>
      <c r="BU201" s="230">
        <v>3181720</v>
      </c>
      <c r="BV201" s="230">
        <v>2158880</v>
      </c>
      <c r="BW201" s="230">
        <v>1022840</v>
      </c>
      <c r="BX201" s="229">
        <v>0.4738</v>
      </c>
      <c r="BY201" s="230">
        <v>2814</v>
      </c>
      <c r="BZ201" s="230">
        <v>2830</v>
      </c>
      <c r="CA201" s="228">
        <v>-16</v>
      </c>
      <c r="CB201" s="229">
        <v>-5.5999999999999999E-3</v>
      </c>
      <c r="CC201" s="230">
        <v>2635</v>
      </c>
      <c r="CD201" s="230">
        <v>2702</v>
      </c>
      <c r="CE201" s="228">
        <v>-67</v>
      </c>
      <c r="CF201" s="229">
        <v>-2.47E-2</v>
      </c>
      <c r="CG201" s="228">
        <v>163</v>
      </c>
      <c r="CH201" s="228">
        <v>113</v>
      </c>
      <c r="CI201" s="228">
        <v>49</v>
      </c>
      <c r="CJ201" s="229">
        <v>0.43640000000000001</v>
      </c>
      <c r="CK201" s="228">
        <v>16</v>
      </c>
      <c r="CL201" s="228">
        <v>15</v>
      </c>
      <c r="CM201" s="228">
        <v>1</v>
      </c>
      <c r="CN201" s="229">
        <v>9.7699999999999995E-2</v>
      </c>
      <c r="CO201" s="230">
        <v>1268</v>
      </c>
      <c r="CP201" s="230">
        <v>1239</v>
      </c>
      <c r="CQ201" s="228">
        <v>29</v>
      </c>
      <c r="CR201" s="229">
        <v>2.3400000000000001E-2</v>
      </c>
      <c r="CS201" s="228">
        <v>926</v>
      </c>
      <c r="CT201" s="228">
        <v>919</v>
      </c>
      <c r="CU201" s="228">
        <v>7</v>
      </c>
      <c r="CV201" s="229">
        <v>7.4999999999999997E-3</v>
      </c>
      <c r="CW201" s="230">
        <v>5008</v>
      </c>
      <c r="CX201" s="230">
        <v>4988</v>
      </c>
      <c r="CY201" s="228">
        <v>20</v>
      </c>
      <c r="CZ201" s="229">
        <v>4.0000000000000001E-3</v>
      </c>
      <c r="DA201" s="228">
        <v>23.15</v>
      </c>
      <c r="DB201" s="228">
        <v>24</v>
      </c>
      <c r="DC201" s="228">
        <v>-0.85</v>
      </c>
      <c r="DD201" s="228">
        <v>-0.85</v>
      </c>
      <c r="DE201" s="228">
        <v>35.56</v>
      </c>
      <c r="DF201" s="228">
        <v>35.65</v>
      </c>
      <c r="DG201" s="228">
        <v>-12.41</v>
      </c>
      <c r="DH201" s="228">
        <v>-0.09</v>
      </c>
      <c r="DI201" s="228">
        <v>22.87</v>
      </c>
      <c r="DJ201" s="228">
        <v>23.77</v>
      </c>
      <c r="DK201" s="228">
        <v>-0.9</v>
      </c>
      <c r="DL201" s="228">
        <v>-0.9</v>
      </c>
      <c r="DM201" s="228">
        <v>23.68</v>
      </c>
      <c r="DN201" s="228">
        <v>24.34</v>
      </c>
      <c r="DO201" s="228">
        <v>-0.66</v>
      </c>
      <c r="DP201" s="228">
        <v>-0.66</v>
      </c>
      <c r="DQ201" s="228">
        <v>0.73</v>
      </c>
      <c r="DR201" s="228">
        <v>0.74</v>
      </c>
      <c r="DS201" s="228">
        <v>-0.01</v>
      </c>
      <c r="DT201" s="229">
        <v>-1.35E-2</v>
      </c>
      <c r="DU201" s="228">
        <v>400</v>
      </c>
      <c r="DV201" s="228">
        <v>400</v>
      </c>
      <c r="DW201" s="228">
        <v>0.54</v>
      </c>
      <c r="DX201" s="228">
        <v>0.69</v>
      </c>
      <c r="DY201" s="228">
        <v>-0.15</v>
      </c>
      <c r="DZ201" s="229">
        <v>-0.21740000000000001</v>
      </c>
      <c r="EA201" s="229">
        <v>6.3500000000000001E-2</v>
      </c>
      <c r="EB201" s="230">
        <v>3265400</v>
      </c>
      <c r="EC201" s="229">
        <v>5.7000000000000002E-3</v>
      </c>
      <c r="ED201" s="229">
        <v>6.3500000000000001E-2</v>
      </c>
      <c r="EE201" s="228">
        <v>2.27</v>
      </c>
      <c r="EF201" s="229">
        <v>5.7999999999999996E-3</v>
      </c>
      <c r="EG201" s="230">
        <v>1398369</v>
      </c>
      <c r="EH201" s="230">
        <v>746973</v>
      </c>
      <c r="EI201" s="229">
        <v>0.872</v>
      </c>
      <c r="EJ201" s="229">
        <v>0.4395</v>
      </c>
      <c r="EK201" s="231">
        <v>1162.3599999999999</v>
      </c>
      <c r="EL201" s="228">
        <v>612.16</v>
      </c>
      <c r="EM201" s="228">
        <v>302.32</v>
      </c>
      <c r="EN201" s="228">
        <v>0</v>
      </c>
      <c r="EO201" s="231">
        <v>2076.83</v>
      </c>
      <c r="EP201" s="231">
        <v>1599.12</v>
      </c>
      <c r="EQ201" s="228">
        <v>477.71</v>
      </c>
      <c r="ER201" s="229">
        <v>0.29870000000000002</v>
      </c>
      <c r="ES201" s="231">
        <v>1327.17</v>
      </c>
      <c r="ET201" s="228">
        <v>924.13</v>
      </c>
      <c r="EU201" s="231">
        <v>2815.18</v>
      </c>
      <c r="EV201" s="231">
        <v>339616396</v>
      </c>
      <c r="EW201" s="231">
        <v>5066.49</v>
      </c>
      <c r="EX201" s="231">
        <v>5031.71</v>
      </c>
      <c r="EY201" s="228">
        <v>34.78</v>
      </c>
      <c r="EZ201" s="229">
        <v>6.8999999999999999E-3</v>
      </c>
      <c r="FA201" s="229">
        <v>0.37669999999999998</v>
      </c>
      <c r="FB201" s="227" t="s">
        <v>556</v>
      </c>
      <c r="FC201">
        <f t="shared" si="4"/>
        <v>0</v>
      </c>
    </row>
    <row r="202" spans="1:159" ht="17.25" thickBot="1" x14ac:dyDescent="0.3">
      <c r="A202" s="226">
        <v>45889</v>
      </c>
      <c r="B202" s="227" t="s">
        <v>227</v>
      </c>
      <c r="C202" s="227" t="s">
        <v>294</v>
      </c>
      <c r="D202" s="228">
        <v>5500</v>
      </c>
      <c r="E202" s="228">
        <v>8</v>
      </c>
      <c r="F202" s="228">
        <v>162.43</v>
      </c>
      <c r="G202" s="228">
        <v>159.43</v>
      </c>
      <c r="H202" s="228">
        <v>3</v>
      </c>
      <c r="I202" s="229">
        <v>1.8800000000000001E-2</v>
      </c>
      <c r="J202" s="228">
        <v>161.91999999999999</v>
      </c>
      <c r="K202" s="228">
        <v>159.22999999999999</v>
      </c>
      <c r="L202" s="228">
        <v>2.69</v>
      </c>
      <c r="M202" s="229">
        <v>1.6899999999999998E-2</v>
      </c>
      <c r="N202" s="228">
        <v>162.43</v>
      </c>
      <c r="O202" s="228">
        <v>159.43</v>
      </c>
      <c r="P202" s="228">
        <v>3</v>
      </c>
      <c r="Q202" s="229">
        <v>1.8800000000000001E-2</v>
      </c>
      <c r="R202" s="228">
        <v>163.27000000000001</v>
      </c>
      <c r="S202" s="228">
        <v>160.32</v>
      </c>
      <c r="T202" s="228">
        <v>2.95</v>
      </c>
      <c r="U202" s="229">
        <v>1.84E-2</v>
      </c>
      <c r="V202" s="228">
        <v>164.09</v>
      </c>
      <c r="W202" s="228">
        <v>161.13</v>
      </c>
      <c r="X202" s="228">
        <v>2.96</v>
      </c>
      <c r="Y202" s="229">
        <v>1.84E-2</v>
      </c>
      <c r="Z202" s="228">
        <v>0.51</v>
      </c>
      <c r="AA202" s="228">
        <v>0.2</v>
      </c>
      <c r="AB202" s="228">
        <v>0.31</v>
      </c>
      <c r="AC202" s="229">
        <v>3.0999999999999999E-3</v>
      </c>
      <c r="AD202" s="228">
        <v>0.51</v>
      </c>
      <c r="AE202" s="228">
        <v>0.2</v>
      </c>
      <c r="AF202" s="228">
        <v>0.31</v>
      </c>
      <c r="AG202" s="229">
        <v>3.0999999999999999E-3</v>
      </c>
      <c r="AH202" s="228">
        <v>1.35</v>
      </c>
      <c r="AI202" s="228">
        <v>1.0900000000000001</v>
      </c>
      <c r="AJ202" s="228">
        <v>0.26</v>
      </c>
      <c r="AK202" s="229">
        <v>8.3000000000000001E-3</v>
      </c>
      <c r="AL202" s="228">
        <v>2.17</v>
      </c>
      <c r="AM202" s="228">
        <v>1.9</v>
      </c>
      <c r="AN202" s="228">
        <v>0.27</v>
      </c>
      <c r="AO202" s="229">
        <v>1.34E-2</v>
      </c>
      <c r="AP202" s="228">
        <v>161.41</v>
      </c>
      <c r="AQ202" s="228">
        <v>162.38</v>
      </c>
      <c r="AR202" s="228">
        <v>0</v>
      </c>
      <c r="AS202" s="230">
        <v>1006</v>
      </c>
      <c r="AT202" s="228">
        <v>476</v>
      </c>
      <c r="AU202" s="228">
        <v>531</v>
      </c>
      <c r="AV202" s="229">
        <v>1.1158999999999999</v>
      </c>
      <c r="AW202" s="228">
        <v>777</v>
      </c>
      <c r="AX202" s="228">
        <v>402</v>
      </c>
      <c r="AY202" s="228">
        <v>374</v>
      </c>
      <c r="AZ202" s="229">
        <v>0.93089999999999995</v>
      </c>
      <c r="BA202" s="228">
        <v>209</v>
      </c>
      <c r="BB202" s="228">
        <v>66</v>
      </c>
      <c r="BC202" s="228">
        <v>143</v>
      </c>
      <c r="BD202" s="229">
        <v>2.1608000000000001</v>
      </c>
      <c r="BE202" s="228">
        <v>21</v>
      </c>
      <c r="BF202" s="228">
        <v>7</v>
      </c>
      <c r="BG202" s="228">
        <v>13</v>
      </c>
      <c r="BH202" s="229">
        <v>1.8519000000000001</v>
      </c>
      <c r="BI202" s="230">
        <v>4840</v>
      </c>
      <c r="BJ202" s="230">
        <v>1809</v>
      </c>
      <c r="BK202" s="230">
        <v>3031</v>
      </c>
      <c r="BL202" s="229">
        <v>1.6756</v>
      </c>
      <c r="BM202" s="230">
        <v>2813</v>
      </c>
      <c r="BN202" s="228">
        <v>971</v>
      </c>
      <c r="BO202" s="230">
        <v>1842</v>
      </c>
      <c r="BP202" s="229">
        <v>1.8962000000000001</v>
      </c>
      <c r="BQ202" s="230">
        <v>8659</v>
      </c>
      <c r="BR202" s="230">
        <v>3256</v>
      </c>
      <c r="BS202" s="230">
        <v>5403</v>
      </c>
      <c r="BT202" s="229">
        <v>1.6596</v>
      </c>
      <c r="BU202" s="230">
        <v>29516252</v>
      </c>
      <c r="BV202" s="230">
        <v>21771659</v>
      </c>
      <c r="BW202" s="230">
        <v>7744593</v>
      </c>
      <c r="BX202" s="229">
        <v>0.35570000000000002</v>
      </c>
      <c r="BY202" s="230">
        <v>3115</v>
      </c>
      <c r="BZ202" s="230">
        <v>3049</v>
      </c>
      <c r="CA202" s="228">
        <v>66</v>
      </c>
      <c r="CB202" s="229">
        <v>2.1600000000000001E-2</v>
      </c>
      <c r="CC202" s="230">
        <v>2740</v>
      </c>
      <c r="CD202" s="230">
        <v>2757</v>
      </c>
      <c r="CE202" s="228">
        <v>-18</v>
      </c>
      <c r="CF202" s="229">
        <v>-6.4000000000000003E-3</v>
      </c>
      <c r="CG202" s="228">
        <v>302</v>
      </c>
      <c r="CH202" s="228">
        <v>223</v>
      </c>
      <c r="CI202" s="228">
        <v>79</v>
      </c>
      <c r="CJ202" s="229">
        <v>0.35360000000000003</v>
      </c>
      <c r="CK202" s="228">
        <v>73</v>
      </c>
      <c r="CL202" s="228">
        <v>69</v>
      </c>
      <c r="CM202" s="228">
        <v>5</v>
      </c>
      <c r="CN202" s="229">
        <v>6.7699999999999996E-2</v>
      </c>
      <c r="CO202" s="230">
        <v>1847</v>
      </c>
      <c r="CP202" s="230">
        <v>2038</v>
      </c>
      <c r="CQ202" s="228">
        <v>-191</v>
      </c>
      <c r="CR202" s="229">
        <v>-9.3899999999999997E-2</v>
      </c>
      <c r="CS202" s="230">
        <v>1180</v>
      </c>
      <c r="CT202" s="230">
        <v>1099</v>
      </c>
      <c r="CU202" s="228">
        <v>80</v>
      </c>
      <c r="CV202" s="229">
        <v>7.3200000000000001E-2</v>
      </c>
      <c r="CW202" s="230">
        <v>6141</v>
      </c>
      <c r="CX202" s="230">
        <v>6186</v>
      </c>
      <c r="CY202" s="228">
        <v>-45</v>
      </c>
      <c r="CZ202" s="229">
        <v>-7.3000000000000001E-3</v>
      </c>
      <c r="DA202" s="228">
        <v>24.94</v>
      </c>
      <c r="DB202" s="228">
        <v>24.96</v>
      </c>
      <c r="DC202" s="228">
        <v>-0.02</v>
      </c>
      <c r="DD202" s="228">
        <v>-0.02</v>
      </c>
      <c r="DE202" s="228">
        <v>35.119999999999997</v>
      </c>
      <c r="DF202" s="228">
        <v>35.119999999999997</v>
      </c>
      <c r="DG202" s="228">
        <v>-10.18</v>
      </c>
      <c r="DH202" s="228">
        <v>0</v>
      </c>
      <c r="DI202" s="228">
        <v>24.65</v>
      </c>
      <c r="DJ202" s="228">
        <v>24.78</v>
      </c>
      <c r="DK202" s="228">
        <v>-0.13</v>
      </c>
      <c r="DL202" s="228">
        <v>-0.13</v>
      </c>
      <c r="DM202" s="228">
        <v>25.43</v>
      </c>
      <c r="DN202" s="228">
        <v>25.3</v>
      </c>
      <c r="DO202" s="228">
        <v>0.13</v>
      </c>
      <c r="DP202" s="228">
        <v>0.13</v>
      </c>
      <c r="DQ202" s="228">
        <v>0.64</v>
      </c>
      <c r="DR202" s="228">
        <v>0.54</v>
      </c>
      <c r="DS202" s="228">
        <v>0.1</v>
      </c>
      <c r="DT202" s="229">
        <v>0.1852</v>
      </c>
      <c r="DU202" s="228">
        <v>165</v>
      </c>
      <c r="DV202" s="228">
        <v>160</v>
      </c>
      <c r="DW202" s="228">
        <v>0.57999999999999996</v>
      </c>
      <c r="DX202" s="228">
        <v>0.54</v>
      </c>
      <c r="DY202" s="228">
        <v>0.04</v>
      </c>
      <c r="DZ202" s="229">
        <v>7.4099999999999999E-2</v>
      </c>
      <c r="EA202" s="229">
        <v>0.12039999999999999</v>
      </c>
      <c r="EB202" s="230">
        <v>17941000</v>
      </c>
      <c r="EC202" s="229">
        <v>5.1999999999999998E-3</v>
      </c>
      <c r="ED202" s="229">
        <v>0.12039999999999999</v>
      </c>
      <c r="EE202" s="228">
        <v>0.97</v>
      </c>
      <c r="EF202" s="229">
        <v>6.0000000000000001E-3</v>
      </c>
      <c r="EG202" s="230">
        <v>14161426</v>
      </c>
      <c r="EH202" s="230">
        <v>11081974</v>
      </c>
      <c r="EI202" s="229">
        <v>0.27789999999999998</v>
      </c>
      <c r="EJ202" s="229">
        <v>0.4798</v>
      </c>
      <c r="EK202" s="231">
        <v>4970.5200000000004</v>
      </c>
      <c r="EL202" s="231">
        <v>2763.62</v>
      </c>
      <c r="EM202" s="231">
        <v>1001.55</v>
      </c>
      <c r="EN202" s="228">
        <v>0</v>
      </c>
      <c r="EO202" s="231">
        <v>8735.69</v>
      </c>
      <c r="EP202" s="231">
        <v>3233.51</v>
      </c>
      <c r="EQ202" s="231">
        <v>5502.18</v>
      </c>
      <c r="ER202" s="229">
        <v>1.7016</v>
      </c>
      <c r="ES202" s="231">
        <v>1907</v>
      </c>
      <c r="ET202" s="231">
        <v>1117.8</v>
      </c>
      <c r="EU202" s="231">
        <v>3116.85</v>
      </c>
      <c r="EV202" s="231">
        <v>1667975279</v>
      </c>
      <c r="EW202" s="231">
        <v>6141.65</v>
      </c>
      <c r="EX202" s="231">
        <v>6128.93</v>
      </c>
      <c r="EY202" s="228">
        <v>12.72</v>
      </c>
      <c r="EZ202" s="229">
        <v>2.0999999999999999E-3</v>
      </c>
      <c r="FA202" s="229">
        <v>0.22670000000000001</v>
      </c>
      <c r="FB202" s="227" t="s">
        <v>555</v>
      </c>
      <c r="FC202">
        <f t="shared" si="4"/>
        <v>0</v>
      </c>
    </row>
    <row r="203" spans="1:159" ht="17.25" thickBot="1" x14ac:dyDescent="0.3">
      <c r="A203" s="226">
        <v>45889</v>
      </c>
      <c r="B203" s="227" t="s">
        <v>221</v>
      </c>
      <c r="C203" s="227" t="s">
        <v>665</v>
      </c>
      <c r="D203" s="228">
        <v>800</v>
      </c>
      <c r="E203" s="228">
        <v>8</v>
      </c>
      <c r="F203" s="228">
        <v>689.85</v>
      </c>
      <c r="G203" s="228">
        <v>685.3</v>
      </c>
      <c r="H203" s="228">
        <v>4.55</v>
      </c>
      <c r="I203" s="229">
        <v>6.6E-3</v>
      </c>
      <c r="J203" s="228">
        <v>689</v>
      </c>
      <c r="K203" s="228">
        <v>682.75</v>
      </c>
      <c r="L203" s="228">
        <v>6.25</v>
      </c>
      <c r="M203" s="229">
        <v>9.1999999999999998E-3</v>
      </c>
      <c r="N203" s="228">
        <v>689.85</v>
      </c>
      <c r="O203" s="228">
        <v>685.3</v>
      </c>
      <c r="P203" s="228">
        <v>4.55</v>
      </c>
      <c r="Q203" s="229">
        <v>6.6E-3</v>
      </c>
      <c r="R203" s="228">
        <v>694</v>
      </c>
      <c r="S203" s="228">
        <v>688.85</v>
      </c>
      <c r="T203" s="228">
        <v>5.15</v>
      </c>
      <c r="U203" s="229">
        <v>7.4999999999999997E-3</v>
      </c>
      <c r="V203" s="228">
        <v>697.7</v>
      </c>
      <c r="W203" s="228">
        <v>691.85</v>
      </c>
      <c r="X203" s="228">
        <v>5.85</v>
      </c>
      <c r="Y203" s="229">
        <v>8.5000000000000006E-3</v>
      </c>
      <c r="Z203" s="228">
        <v>0.85</v>
      </c>
      <c r="AA203" s="228">
        <v>2.5499999999999998</v>
      </c>
      <c r="AB203" s="228">
        <v>-1.7</v>
      </c>
      <c r="AC203" s="229">
        <v>1.1999999999999999E-3</v>
      </c>
      <c r="AD203" s="228">
        <v>0.85</v>
      </c>
      <c r="AE203" s="228">
        <v>2.5499999999999998</v>
      </c>
      <c r="AF203" s="228">
        <v>-1.7</v>
      </c>
      <c r="AG203" s="229">
        <v>1.1999999999999999E-3</v>
      </c>
      <c r="AH203" s="228">
        <v>5</v>
      </c>
      <c r="AI203" s="228">
        <v>6.1</v>
      </c>
      <c r="AJ203" s="228">
        <v>-1.1000000000000001</v>
      </c>
      <c r="AK203" s="229">
        <v>7.3000000000000001E-3</v>
      </c>
      <c r="AL203" s="228">
        <v>8.6999999999999993</v>
      </c>
      <c r="AM203" s="228">
        <v>9.1</v>
      </c>
      <c r="AN203" s="228">
        <v>-0.4</v>
      </c>
      <c r="AO203" s="229">
        <v>1.26E-2</v>
      </c>
      <c r="AP203" s="228">
        <v>690.72</v>
      </c>
      <c r="AQ203" s="228">
        <v>694.45</v>
      </c>
      <c r="AR203" s="228">
        <v>0</v>
      </c>
      <c r="AS203" s="228">
        <v>147</v>
      </c>
      <c r="AT203" s="228">
        <v>134</v>
      </c>
      <c r="AU203" s="228">
        <v>14</v>
      </c>
      <c r="AV203" s="229">
        <v>0.1012</v>
      </c>
      <c r="AW203" s="228">
        <v>104</v>
      </c>
      <c r="AX203" s="228">
        <v>98</v>
      </c>
      <c r="AY203" s="228">
        <v>6</v>
      </c>
      <c r="AZ203" s="229">
        <v>6.1600000000000002E-2</v>
      </c>
      <c r="BA203" s="228">
        <v>40</v>
      </c>
      <c r="BB203" s="228">
        <v>34</v>
      </c>
      <c r="BC203" s="228">
        <v>6</v>
      </c>
      <c r="BD203" s="229">
        <v>0.18459999999999999</v>
      </c>
      <c r="BE203" s="228">
        <v>3</v>
      </c>
      <c r="BF203" s="228">
        <v>2</v>
      </c>
      <c r="BG203" s="228">
        <v>1</v>
      </c>
      <c r="BH203" s="229">
        <v>0.5897</v>
      </c>
      <c r="BI203" s="228">
        <v>310</v>
      </c>
      <c r="BJ203" s="228">
        <v>253</v>
      </c>
      <c r="BK203" s="228">
        <v>57</v>
      </c>
      <c r="BL203" s="229">
        <v>0.2248</v>
      </c>
      <c r="BM203" s="228">
        <v>103</v>
      </c>
      <c r="BN203" s="228">
        <v>99</v>
      </c>
      <c r="BO203" s="228">
        <v>4</v>
      </c>
      <c r="BP203" s="229">
        <v>3.8899999999999997E-2</v>
      </c>
      <c r="BQ203" s="228">
        <v>560</v>
      </c>
      <c r="BR203" s="228">
        <v>486</v>
      </c>
      <c r="BS203" s="228">
        <v>74</v>
      </c>
      <c r="BT203" s="229">
        <v>0.15279999999999999</v>
      </c>
      <c r="BU203" s="230">
        <v>724998</v>
      </c>
      <c r="BV203" s="230">
        <v>654533</v>
      </c>
      <c r="BW203" s="230">
        <v>70465</v>
      </c>
      <c r="BX203" s="229">
        <v>0.1077</v>
      </c>
      <c r="BY203" s="228">
        <v>733</v>
      </c>
      <c r="BZ203" s="228">
        <v>746</v>
      </c>
      <c r="CA203" s="228">
        <v>-14</v>
      </c>
      <c r="CB203" s="229">
        <v>-1.8100000000000002E-2</v>
      </c>
      <c r="CC203" s="228">
        <v>615</v>
      </c>
      <c r="CD203" s="228">
        <v>639</v>
      </c>
      <c r="CE203" s="228">
        <v>-24</v>
      </c>
      <c r="CF203" s="229">
        <v>-3.7699999999999997E-2</v>
      </c>
      <c r="CG203" s="228">
        <v>109</v>
      </c>
      <c r="CH203" s="228">
        <v>99</v>
      </c>
      <c r="CI203" s="228">
        <v>10</v>
      </c>
      <c r="CJ203" s="229">
        <v>0.1003</v>
      </c>
      <c r="CK203" s="228">
        <v>9</v>
      </c>
      <c r="CL203" s="228">
        <v>8</v>
      </c>
      <c r="CM203" s="228">
        <v>1</v>
      </c>
      <c r="CN203" s="229">
        <v>7.2800000000000004E-2</v>
      </c>
      <c r="CO203" s="228">
        <v>264</v>
      </c>
      <c r="CP203" s="228">
        <v>261</v>
      </c>
      <c r="CQ203" s="228">
        <v>2</v>
      </c>
      <c r="CR203" s="229">
        <v>9.2999999999999992E-3</v>
      </c>
      <c r="CS203" s="228">
        <v>173</v>
      </c>
      <c r="CT203" s="228">
        <v>174</v>
      </c>
      <c r="CU203" s="228">
        <v>-1</v>
      </c>
      <c r="CV203" s="229">
        <v>-7.3000000000000001E-3</v>
      </c>
      <c r="CW203" s="230">
        <v>1169</v>
      </c>
      <c r="CX203" s="230">
        <v>1182</v>
      </c>
      <c r="CY203" s="228">
        <v>-12</v>
      </c>
      <c r="CZ203" s="229">
        <v>-1.0500000000000001E-2</v>
      </c>
      <c r="DA203" s="228">
        <v>23.71</v>
      </c>
      <c r="DB203" s="228">
        <v>23.43</v>
      </c>
      <c r="DC203" s="228">
        <v>0.28000000000000003</v>
      </c>
      <c r="DD203" s="228">
        <v>0.28000000000000003</v>
      </c>
      <c r="DE203" s="228">
        <v>32.21</v>
      </c>
      <c r="DF203" s="228">
        <v>32.28</v>
      </c>
      <c r="DG203" s="228">
        <v>-8.5</v>
      </c>
      <c r="DH203" s="228">
        <v>-7.0000000000000007E-2</v>
      </c>
      <c r="DI203" s="228">
        <v>23.87</v>
      </c>
      <c r="DJ203" s="228">
        <v>23.16</v>
      </c>
      <c r="DK203" s="228">
        <v>0.71</v>
      </c>
      <c r="DL203" s="228">
        <v>0.71</v>
      </c>
      <c r="DM203" s="228">
        <v>23.21</v>
      </c>
      <c r="DN203" s="228">
        <v>24.09</v>
      </c>
      <c r="DO203" s="228">
        <v>-0.88</v>
      </c>
      <c r="DP203" s="228">
        <v>-0.88</v>
      </c>
      <c r="DQ203" s="228">
        <v>0.65</v>
      </c>
      <c r="DR203" s="228">
        <v>0.67</v>
      </c>
      <c r="DS203" s="228">
        <v>-0.02</v>
      </c>
      <c r="DT203" s="229">
        <v>-2.9899999999999999E-2</v>
      </c>
      <c r="DU203" s="228">
        <v>700</v>
      </c>
      <c r="DV203" s="228">
        <v>660</v>
      </c>
      <c r="DW203" s="228">
        <v>0.33</v>
      </c>
      <c r="DX203" s="228">
        <v>0.39</v>
      </c>
      <c r="DY203" s="228">
        <v>-0.06</v>
      </c>
      <c r="DZ203" s="229">
        <v>-0.15379999999999999</v>
      </c>
      <c r="EA203" s="229">
        <v>0.16089999999999999</v>
      </c>
      <c r="EB203" s="230">
        <v>1556000</v>
      </c>
      <c r="EC203" s="229">
        <v>6.0000000000000001E-3</v>
      </c>
      <c r="ED203" s="229">
        <v>0.16089999999999999</v>
      </c>
      <c r="EE203" s="228">
        <v>3.73</v>
      </c>
      <c r="EF203" s="229">
        <v>5.4000000000000003E-3</v>
      </c>
      <c r="EG203" s="230">
        <v>243670</v>
      </c>
      <c r="EH203" s="230">
        <v>294170</v>
      </c>
      <c r="EI203" s="229">
        <v>-0.17169999999999999</v>
      </c>
      <c r="EJ203" s="229">
        <v>0.33610000000000001</v>
      </c>
      <c r="EK203" s="228">
        <v>318.18</v>
      </c>
      <c r="EL203" s="228">
        <v>102.96</v>
      </c>
      <c r="EM203" s="228">
        <v>147.57</v>
      </c>
      <c r="EN203" s="228">
        <v>0</v>
      </c>
      <c r="EO203" s="228">
        <v>568.71</v>
      </c>
      <c r="EP203" s="228">
        <v>485.23</v>
      </c>
      <c r="EQ203" s="228">
        <v>83.48</v>
      </c>
      <c r="ER203" s="229">
        <v>0.17199999999999999</v>
      </c>
      <c r="ES203" s="228">
        <v>274.12</v>
      </c>
      <c r="ET203" s="228">
        <v>170.2</v>
      </c>
      <c r="EU203" s="228">
        <v>733.54</v>
      </c>
      <c r="EV203" s="231">
        <v>36328758</v>
      </c>
      <c r="EW203" s="231">
        <v>1177.8599999999999</v>
      </c>
      <c r="EX203" s="231">
        <v>1184.6199999999999</v>
      </c>
      <c r="EY203" s="228">
        <v>-6.76</v>
      </c>
      <c r="EZ203" s="229">
        <v>-5.7000000000000002E-3</v>
      </c>
      <c r="FA203" s="229">
        <v>0.46660000000000001</v>
      </c>
      <c r="FB203" s="227" t="s">
        <v>556</v>
      </c>
      <c r="FC203">
        <f t="shared" si="4"/>
        <v>0</v>
      </c>
    </row>
    <row r="204" spans="1:159" ht="17.25" thickBot="1" x14ac:dyDescent="0.3">
      <c r="A204" s="226">
        <v>45889</v>
      </c>
      <c r="B204" s="227" t="s">
        <v>221</v>
      </c>
      <c r="C204" s="227" t="s">
        <v>295</v>
      </c>
      <c r="D204" s="228">
        <v>175</v>
      </c>
      <c r="E204" s="228">
        <v>8</v>
      </c>
      <c r="F204" s="231">
        <v>3098.8</v>
      </c>
      <c r="G204" s="231">
        <v>3023.1</v>
      </c>
      <c r="H204" s="228">
        <v>75.7</v>
      </c>
      <c r="I204" s="229">
        <v>2.5000000000000001E-2</v>
      </c>
      <c r="J204" s="231">
        <v>3098.6</v>
      </c>
      <c r="K204" s="231">
        <v>3016.2</v>
      </c>
      <c r="L204" s="228">
        <v>82.4</v>
      </c>
      <c r="M204" s="229">
        <v>2.7300000000000001E-2</v>
      </c>
      <c r="N204" s="231">
        <v>3098.8</v>
      </c>
      <c r="O204" s="231">
        <v>3023.1</v>
      </c>
      <c r="P204" s="228">
        <v>75.7</v>
      </c>
      <c r="Q204" s="229">
        <v>2.5000000000000001E-2</v>
      </c>
      <c r="R204" s="231">
        <v>3116</v>
      </c>
      <c r="S204" s="231">
        <v>3041.1</v>
      </c>
      <c r="T204" s="228">
        <v>74.900000000000006</v>
      </c>
      <c r="U204" s="229">
        <v>2.46E-2</v>
      </c>
      <c r="V204" s="231">
        <v>3119.9</v>
      </c>
      <c r="W204" s="231">
        <v>3045.5</v>
      </c>
      <c r="X204" s="228">
        <v>74.400000000000006</v>
      </c>
      <c r="Y204" s="229">
        <v>2.4400000000000002E-2</v>
      </c>
      <c r="Z204" s="228">
        <v>0.2</v>
      </c>
      <c r="AA204" s="228">
        <v>6.9</v>
      </c>
      <c r="AB204" s="228">
        <v>-6.7</v>
      </c>
      <c r="AC204" s="229">
        <v>1E-4</v>
      </c>
      <c r="AD204" s="228">
        <v>0.2</v>
      </c>
      <c r="AE204" s="228">
        <v>6.9</v>
      </c>
      <c r="AF204" s="228">
        <v>-6.7</v>
      </c>
      <c r="AG204" s="229">
        <v>1E-4</v>
      </c>
      <c r="AH204" s="228">
        <v>17.399999999999999</v>
      </c>
      <c r="AI204" s="228">
        <v>24.9</v>
      </c>
      <c r="AJ204" s="228">
        <v>-7.5</v>
      </c>
      <c r="AK204" s="229">
        <v>5.5999999999999999E-3</v>
      </c>
      <c r="AL204" s="228">
        <v>21.3</v>
      </c>
      <c r="AM204" s="228">
        <v>29.3</v>
      </c>
      <c r="AN204" s="228">
        <v>-8</v>
      </c>
      <c r="AO204" s="229">
        <v>6.8999999999999999E-3</v>
      </c>
      <c r="AP204" s="231">
        <v>3073.19</v>
      </c>
      <c r="AQ204" s="231">
        <v>3091.39</v>
      </c>
      <c r="AR204" s="228">
        <v>0</v>
      </c>
      <c r="AS204" s="230">
        <v>2736</v>
      </c>
      <c r="AT204" s="228">
        <v>832</v>
      </c>
      <c r="AU204" s="230">
        <v>1905</v>
      </c>
      <c r="AV204" s="229">
        <v>2.2907000000000002</v>
      </c>
      <c r="AW204" s="230">
        <v>2144</v>
      </c>
      <c r="AX204" s="228">
        <v>601</v>
      </c>
      <c r="AY204" s="230">
        <v>1543</v>
      </c>
      <c r="AZ204" s="229">
        <v>2.5670000000000002</v>
      </c>
      <c r="BA204" s="228">
        <v>516</v>
      </c>
      <c r="BB204" s="228">
        <v>197</v>
      </c>
      <c r="BC204" s="228">
        <v>318</v>
      </c>
      <c r="BD204" s="229">
        <v>1.6140000000000001</v>
      </c>
      <c r="BE204" s="228">
        <v>76</v>
      </c>
      <c r="BF204" s="228">
        <v>33</v>
      </c>
      <c r="BG204" s="228">
        <v>43</v>
      </c>
      <c r="BH204" s="229">
        <v>1.3061</v>
      </c>
      <c r="BI204" s="230">
        <v>18682</v>
      </c>
      <c r="BJ204" s="230">
        <v>4603</v>
      </c>
      <c r="BK204" s="230">
        <v>14079</v>
      </c>
      <c r="BL204" s="229">
        <v>3.0583</v>
      </c>
      <c r="BM204" s="230">
        <v>7896</v>
      </c>
      <c r="BN204" s="230">
        <v>1945</v>
      </c>
      <c r="BO204" s="230">
        <v>5951</v>
      </c>
      <c r="BP204" s="229">
        <v>3.0600999999999998</v>
      </c>
      <c r="BQ204" s="230">
        <v>29315</v>
      </c>
      <c r="BR204" s="230">
        <v>7380</v>
      </c>
      <c r="BS204" s="230">
        <v>21935</v>
      </c>
      <c r="BT204" s="229">
        <v>2.9723000000000002</v>
      </c>
      <c r="BU204" s="230">
        <v>5055457</v>
      </c>
      <c r="BV204" s="230">
        <v>2816967</v>
      </c>
      <c r="BW204" s="230">
        <v>2238490</v>
      </c>
      <c r="BX204" s="229">
        <v>0.79459999999999997</v>
      </c>
      <c r="BY204" s="230">
        <v>9866</v>
      </c>
      <c r="BZ204" s="230">
        <v>10120</v>
      </c>
      <c r="CA204" s="228">
        <v>-254</v>
      </c>
      <c r="CB204" s="229">
        <v>-2.5100000000000001E-2</v>
      </c>
      <c r="CC204" s="230">
        <v>8230</v>
      </c>
      <c r="CD204" s="230">
        <v>8672</v>
      </c>
      <c r="CE204" s="228">
        <v>-442</v>
      </c>
      <c r="CF204" s="229">
        <v>-5.0999999999999997E-2</v>
      </c>
      <c r="CG204" s="230">
        <v>1446</v>
      </c>
      <c r="CH204" s="230">
        <v>1274</v>
      </c>
      <c r="CI204" s="228">
        <v>172</v>
      </c>
      <c r="CJ204" s="229">
        <v>0.13469999999999999</v>
      </c>
      <c r="CK204" s="228">
        <v>191</v>
      </c>
      <c r="CL204" s="228">
        <v>174</v>
      </c>
      <c r="CM204" s="228">
        <v>17</v>
      </c>
      <c r="CN204" s="229">
        <v>9.6100000000000005E-2</v>
      </c>
      <c r="CO204" s="230">
        <v>5782</v>
      </c>
      <c r="CP204" s="230">
        <v>6918</v>
      </c>
      <c r="CQ204" s="230">
        <v>-1137</v>
      </c>
      <c r="CR204" s="229">
        <v>-0.1643</v>
      </c>
      <c r="CS204" s="230">
        <v>4010</v>
      </c>
      <c r="CT204" s="230">
        <v>4252</v>
      </c>
      <c r="CU204" s="228">
        <v>-242</v>
      </c>
      <c r="CV204" s="229">
        <v>-5.6899999999999999E-2</v>
      </c>
      <c r="CW204" s="230">
        <v>19658</v>
      </c>
      <c r="CX204" s="230">
        <v>21291</v>
      </c>
      <c r="CY204" s="230">
        <v>-1632</v>
      </c>
      <c r="CZ204" s="229">
        <v>-7.6700000000000004E-2</v>
      </c>
      <c r="DA204" s="228">
        <v>20.39</v>
      </c>
      <c r="DB204" s="228">
        <v>22.06</v>
      </c>
      <c r="DC204" s="228">
        <v>-1.67</v>
      </c>
      <c r="DD204" s="228">
        <v>-1.67</v>
      </c>
      <c r="DE204" s="228">
        <v>24.43</v>
      </c>
      <c r="DF204" s="228">
        <v>24.22</v>
      </c>
      <c r="DG204" s="228">
        <v>-4.04</v>
      </c>
      <c r="DH204" s="228">
        <v>0.21</v>
      </c>
      <c r="DI204" s="228">
        <v>20.32</v>
      </c>
      <c r="DJ204" s="228">
        <v>22.23</v>
      </c>
      <c r="DK204" s="228">
        <v>-1.91</v>
      </c>
      <c r="DL204" s="228">
        <v>-1.91</v>
      </c>
      <c r="DM204" s="228">
        <v>20.56</v>
      </c>
      <c r="DN204" s="228">
        <v>21.66</v>
      </c>
      <c r="DO204" s="228">
        <v>-1.1000000000000001</v>
      </c>
      <c r="DP204" s="228">
        <v>-1.1000000000000001</v>
      </c>
      <c r="DQ204" s="228">
        <v>0.69</v>
      </c>
      <c r="DR204" s="228">
        <v>0.61</v>
      </c>
      <c r="DS204" s="228">
        <v>0.08</v>
      </c>
      <c r="DT204" s="229">
        <v>0.13109999999999999</v>
      </c>
      <c r="DU204" s="231">
        <v>3300</v>
      </c>
      <c r="DV204" s="231">
        <v>3000</v>
      </c>
      <c r="DW204" s="228">
        <v>0.42</v>
      </c>
      <c r="DX204" s="228">
        <v>0.42</v>
      </c>
      <c r="DY204" s="228">
        <v>0</v>
      </c>
      <c r="DZ204" s="229">
        <v>0</v>
      </c>
      <c r="EA204" s="229">
        <v>0.16589999999999999</v>
      </c>
      <c r="EB204" s="230">
        <v>4673550</v>
      </c>
      <c r="EC204" s="229">
        <v>5.5999999999999999E-3</v>
      </c>
      <c r="ED204" s="229">
        <v>0.16589999999999999</v>
      </c>
      <c r="EE204" s="228">
        <v>18.2</v>
      </c>
      <c r="EF204" s="229">
        <v>5.8999999999999999E-3</v>
      </c>
      <c r="EG204" s="230">
        <v>3260033</v>
      </c>
      <c r="EH204" s="230">
        <v>2117724</v>
      </c>
      <c r="EI204" s="229">
        <v>0.53939999999999999</v>
      </c>
      <c r="EJ204" s="229">
        <v>0.64490000000000003</v>
      </c>
      <c r="EK204" s="231">
        <v>19079.59</v>
      </c>
      <c r="EL204" s="231">
        <v>7717.92</v>
      </c>
      <c r="EM204" s="231">
        <v>2717.24</v>
      </c>
      <c r="EN204" s="228">
        <v>0</v>
      </c>
      <c r="EO204" s="231">
        <v>29514.75</v>
      </c>
      <c r="EP204" s="231">
        <v>7360.2</v>
      </c>
      <c r="EQ204" s="231">
        <v>22154.55</v>
      </c>
      <c r="ER204" s="229">
        <v>3.01</v>
      </c>
      <c r="ES204" s="231">
        <v>6008.89</v>
      </c>
      <c r="ET204" s="231">
        <v>3957.87</v>
      </c>
      <c r="EU204" s="231">
        <v>9875.59</v>
      </c>
      <c r="EV204" s="231">
        <v>204305778</v>
      </c>
      <c r="EW204" s="231">
        <v>19842.349999999999</v>
      </c>
      <c r="EX204" s="231">
        <v>21204.63</v>
      </c>
      <c r="EY204" s="231">
        <v>-1362.28</v>
      </c>
      <c r="EZ204" s="229">
        <v>-6.4199999999999993E-2</v>
      </c>
      <c r="FA204" s="229">
        <v>0.3105</v>
      </c>
      <c r="FB204" s="227" t="s">
        <v>556</v>
      </c>
      <c r="FC204">
        <f t="shared" si="4"/>
        <v>0</v>
      </c>
    </row>
    <row r="205" spans="1:159" ht="17.25" thickBot="1" x14ac:dyDescent="0.3">
      <c r="A205" s="226">
        <v>45889</v>
      </c>
      <c r="B205" s="227" t="s">
        <v>221</v>
      </c>
      <c r="C205" s="227" t="s">
        <v>296</v>
      </c>
      <c r="D205" s="228">
        <v>600</v>
      </c>
      <c r="E205" s="228">
        <v>8</v>
      </c>
      <c r="F205" s="231">
        <v>1525.1</v>
      </c>
      <c r="G205" s="231">
        <v>1499.2</v>
      </c>
      <c r="H205" s="228">
        <v>25.9</v>
      </c>
      <c r="I205" s="229">
        <v>1.7299999999999999E-2</v>
      </c>
      <c r="J205" s="231">
        <v>1524.1</v>
      </c>
      <c r="K205" s="231">
        <v>1496.7</v>
      </c>
      <c r="L205" s="228">
        <v>27.4</v>
      </c>
      <c r="M205" s="229">
        <v>1.83E-2</v>
      </c>
      <c r="N205" s="231">
        <v>1525.1</v>
      </c>
      <c r="O205" s="231">
        <v>1499.2</v>
      </c>
      <c r="P205" s="228">
        <v>25.9</v>
      </c>
      <c r="Q205" s="229">
        <v>1.7299999999999999E-2</v>
      </c>
      <c r="R205" s="231">
        <v>1533.4</v>
      </c>
      <c r="S205" s="231">
        <v>1508.4</v>
      </c>
      <c r="T205" s="228">
        <v>25</v>
      </c>
      <c r="U205" s="229">
        <v>1.66E-2</v>
      </c>
      <c r="V205" s="231">
        <v>1535.5</v>
      </c>
      <c r="W205" s="231">
        <v>1512</v>
      </c>
      <c r="X205" s="228">
        <v>23.5</v>
      </c>
      <c r="Y205" s="229">
        <v>1.55E-2</v>
      </c>
      <c r="Z205" s="228">
        <v>1</v>
      </c>
      <c r="AA205" s="228">
        <v>2.5</v>
      </c>
      <c r="AB205" s="228">
        <v>-1.5</v>
      </c>
      <c r="AC205" s="229">
        <v>6.9999999999999999E-4</v>
      </c>
      <c r="AD205" s="228">
        <v>1</v>
      </c>
      <c r="AE205" s="228">
        <v>2.5</v>
      </c>
      <c r="AF205" s="228">
        <v>-1.5</v>
      </c>
      <c r="AG205" s="229">
        <v>6.9999999999999999E-4</v>
      </c>
      <c r="AH205" s="228">
        <v>9.3000000000000007</v>
      </c>
      <c r="AI205" s="228">
        <v>11.7</v>
      </c>
      <c r="AJ205" s="228">
        <v>-2.4</v>
      </c>
      <c r="AK205" s="229">
        <v>6.1000000000000004E-3</v>
      </c>
      <c r="AL205" s="228">
        <v>11.4</v>
      </c>
      <c r="AM205" s="228">
        <v>15.3</v>
      </c>
      <c r="AN205" s="228">
        <v>-3.9</v>
      </c>
      <c r="AO205" s="229">
        <v>7.4999999999999997E-3</v>
      </c>
      <c r="AP205" s="231">
        <v>1517.22</v>
      </c>
      <c r="AQ205" s="231">
        <v>1525.19</v>
      </c>
      <c r="AR205" s="228">
        <v>0</v>
      </c>
      <c r="AS205" s="228">
        <v>622</v>
      </c>
      <c r="AT205" s="228">
        <v>396</v>
      </c>
      <c r="AU205" s="228">
        <v>226</v>
      </c>
      <c r="AV205" s="229">
        <v>0.57140000000000002</v>
      </c>
      <c r="AW205" s="228">
        <v>506</v>
      </c>
      <c r="AX205" s="228">
        <v>339</v>
      </c>
      <c r="AY205" s="228">
        <v>168</v>
      </c>
      <c r="AZ205" s="229">
        <v>0.49430000000000002</v>
      </c>
      <c r="BA205" s="228">
        <v>114</v>
      </c>
      <c r="BB205" s="228">
        <v>55</v>
      </c>
      <c r="BC205" s="228">
        <v>58</v>
      </c>
      <c r="BD205" s="229">
        <v>1.0579000000000001</v>
      </c>
      <c r="BE205" s="228">
        <v>2</v>
      </c>
      <c r="BF205" s="228">
        <v>2</v>
      </c>
      <c r="BG205" s="228">
        <v>0</v>
      </c>
      <c r="BH205" s="229">
        <v>0.15</v>
      </c>
      <c r="BI205" s="230">
        <v>2374</v>
      </c>
      <c r="BJ205" s="230">
        <v>1189</v>
      </c>
      <c r="BK205" s="230">
        <v>1185</v>
      </c>
      <c r="BL205" s="229">
        <v>0.99670000000000003</v>
      </c>
      <c r="BM205" s="230">
        <v>1174</v>
      </c>
      <c r="BN205" s="228">
        <v>620</v>
      </c>
      <c r="BO205" s="228">
        <v>553</v>
      </c>
      <c r="BP205" s="229">
        <v>0.89219999999999999</v>
      </c>
      <c r="BQ205" s="230">
        <v>4170</v>
      </c>
      <c r="BR205" s="230">
        <v>2205</v>
      </c>
      <c r="BS205" s="230">
        <v>1965</v>
      </c>
      <c r="BT205" s="229">
        <v>0.89090000000000003</v>
      </c>
      <c r="BU205" s="230">
        <v>2356964</v>
      </c>
      <c r="BV205" s="230">
        <v>1833208</v>
      </c>
      <c r="BW205" s="230">
        <v>523756</v>
      </c>
      <c r="BX205" s="229">
        <v>0.28570000000000001</v>
      </c>
      <c r="BY205" s="230">
        <v>2437</v>
      </c>
      <c r="BZ205" s="230">
        <v>2530</v>
      </c>
      <c r="CA205" s="228">
        <v>-93</v>
      </c>
      <c r="CB205" s="229">
        <v>-3.6700000000000003E-2</v>
      </c>
      <c r="CC205" s="230">
        <v>2227</v>
      </c>
      <c r="CD205" s="230">
        <v>2335</v>
      </c>
      <c r="CE205" s="228">
        <v>-108</v>
      </c>
      <c r="CF205" s="229">
        <v>-4.6100000000000002E-2</v>
      </c>
      <c r="CG205" s="228">
        <v>203</v>
      </c>
      <c r="CH205" s="228">
        <v>189</v>
      </c>
      <c r="CI205" s="228">
        <v>15</v>
      </c>
      <c r="CJ205" s="229">
        <v>7.8100000000000003E-2</v>
      </c>
      <c r="CK205" s="228">
        <v>6</v>
      </c>
      <c r="CL205" s="228">
        <v>6</v>
      </c>
      <c r="CM205" s="228">
        <v>0</v>
      </c>
      <c r="CN205" s="229">
        <v>0</v>
      </c>
      <c r="CO205" s="228">
        <v>952</v>
      </c>
      <c r="CP205" s="228">
        <v>978</v>
      </c>
      <c r="CQ205" s="228">
        <v>-26</v>
      </c>
      <c r="CR205" s="229">
        <v>-2.6200000000000001E-2</v>
      </c>
      <c r="CS205" s="228">
        <v>861</v>
      </c>
      <c r="CT205" s="228">
        <v>817</v>
      </c>
      <c r="CU205" s="228">
        <v>43</v>
      </c>
      <c r="CV205" s="229">
        <v>5.3199999999999997E-2</v>
      </c>
      <c r="CW205" s="230">
        <v>4250</v>
      </c>
      <c r="CX205" s="230">
        <v>4325</v>
      </c>
      <c r="CY205" s="228">
        <v>-75</v>
      </c>
      <c r="CZ205" s="229">
        <v>-1.7399999999999999E-2</v>
      </c>
      <c r="DA205" s="228">
        <v>23.54</v>
      </c>
      <c r="DB205" s="228">
        <v>23.87</v>
      </c>
      <c r="DC205" s="228">
        <v>-0.33</v>
      </c>
      <c r="DD205" s="228">
        <v>-0.33</v>
      </c>
      <c r="DE205" s="228">
        <v>31</v>
      </c>
      <c r="DF205" s="228">
        <v>30.98</v>
      </c>
      <c r="DG205" s="228">
        <v>-7.46</v>
      </c>
      <c r="DH205" s="228">
        <v>0.02</v>
      </c>
      <c r="DI205" s="228">
        <v>23</v>
      </c>
      <c r="DJ205" s="228">
        <v>23.65</v>
      </c>
      <c r="DK205" s="228">
        <v>-0.65</v>
      </c>
      <c r="DL205" s="228">
        <v>-0.65</v>
      </c>
      <c r="DM205" s="228">
        <v>24.63</v>
      </c>
      <c r="DN205" s="228">
        <v>24.31</v>
      </c>
      <c r="DO205" s="228">
        <v>0.32</v>
      </c>
      <c r="DP205" s="228">
        <v>0.32</v>
      </c>
      <c r="DQ205" s="228">
        <v>0.9</v>
      </c>
      <c r="DR205" s="228">
        <v>0.84</v>
      </c>
      <c r="DS205" s="228">
        <v>0.06</v>
      </c>
      <c r="DT205" s="229">
        <v>7.1400000000000005E-2</v>
      </c>
      <c r="DU205" s="231">
        <v>1600</v>
      </c>
      <c r="DV205" s="231">
        <v>1500</v>
      </c>
      <c r="DW205" s="228">
        <v>0.49</v>
      </c>
      <c r="DX205" s="228">
        <v>0.52</v>
      </c>
      <c r="DY205" s="228">
        <v>-0.03</v>
      </c>
      <c r="DZ205" s="229">
        <v>-5.7700000000000001E-2</v>
      </c>
      <c r="EA205" s="229">
        <v>8.5999999999999993E-2</v>
      </c>
      <c r="EB205" s="230">
        <v>1277400</v>
      </c>
      <c r="EC205" s="229">
        <v>5.4000000000000003E-3</v>
      </c>
      <c r="ED205" s="229">
        <v>8.5999999999999993E-2</v>
      </c>
      <c r="EE205" s="228">
        <v>7.97</v>
      </c>
      <c r="EF205" s="229">
        <v>5.3E-3</v>
      </c>
      <c r="EG205" s="230">
        <v>1490412</v>
      </c>
      <c r="EH205" s="230">
        <v>1202445</v>
      </c>
      <c r="EI205" s="229">
        <v>0.23949999999999999</v>
      </c>
      <c r="EJ205" s="229">
        <v>0.63229999999999997</v>
      </c>
      <c r="EK205" s="231">
        <v>2414.15</v>
      </c>
      <c r="EL205" s="231">
        <v>1150.1099999999999</v>
      </c>
      <c r="EM205" s="228">
        <v>619.73</v>
      </c>
      <c r="EN205" s="228">
        <v>0</v>
      </c>
      <c r="EO205" s="231">
        <v>4183.99</v>
      </c>
      <c r="EP205" s="231">
        <v>2179.5500000000002</v>
      </c>
      <c r="EQ205" s="231">
        <v>2004.43</v>
      </c>
      <c r="ER205" s="229">
        <v>0.91969999999999996</v>
      </c>
      <c r="ES205" s="228">
        <v>981.3</v>
      </c>
      <c r="ET205" s="228">
        <v>817.84</v>
      </c>
      <c r="EU205" s="231">
        <v>2438.14</v>
      </c>
      <c r="EV205" s="231">
        <v>127301710</v>
      </c>
      <c r="EW205" s="231">
        <v>4237.2700000000004</v>
      </c>
      <c r="EX205" s="231">
        <v>4266.4399999999996</v>
      </c>
      <c r="EY205" s="228">
        <v>-29.17</v>
      </c>
      <c r="EZ205" s="229">
        <v>-6.7999999999999996E-3</v>
      </c>
      <c r="FA205" s="229">
        <v>0.21890000000000001</v>
      </c>
      <c r="FB205" s="227" t="s">
        <v>556</v>
      </c>
      <c r="FC205">
        <f t="shared" si="4"/>
        <v>0</v>
      </c>
    </row>
    <row r="206" spans="1:159" ht="17.25" thickBot="1" x14ac:dyDescent="0.3">
      <c r="A206" s="226">
        <v>45889</v>
      </c>
      <c r="B206" s="227" t="s">
        <v>184</v>
      </c>
      <c r="C206" s="227" t="s">
        <v>596</v>
      </c>
      <c r="D206" s="228">
        <v>200</v>
      </c>
      <c r="E206" s="228">
        <v>8</v>
      </c>
      <c r="F206" s="231">
        <v>3178.8</v>
      </c>
      <c r="G206" s="231">
        <v>3158.2</v>
      </c>
      <c r="H206" s="228">
        <v>20.6</v>
      </c>
      <c r="I206" s="229">
        <v>6.4999999999999997E-3</v>
      </c>
      <c r="J206" s="231">
        <v>3180</v>
      </c>
      <c r="K206" s="231">
        <v>3152.4</v>
      </c>
      <c r="L206" s="228">
        <v>27.6</v>
      </c>
      <c r="M206" s="229">
        <v>8.8000000000000005E-3</v>
      </c>
      <c r="N206" s="231">
        <v>3178.8</v>
      </c>
      <c r="O206" s="231">
        <v>3158.2</v>
      </c>
      <c r="P206" s="228">
        <v>20.6</v>
      </c>
      <c r="Q206" s="229">
        <v>6.4999999999999997E-3</v>
      </c>
      <c r="R206" s="231">
        <v>3197.8</v>
      </c>
      <c r="S206" s="231">
        <v>3176.4</v>
      </c>
      <c r="T206" s="228">
        <v>21.4</v>
      </c>
      <c r="U206" s="229">
        <v>6.7000000000000002E-3</v>
      </c>
      <c r="V206" s="231">
        <v>3203.8</v>
      </c>
      <c r="W206" s="231">
        <v>3192</v>
      </c>
      <c r="X206" s="228">
        <v>11.8</v>
      </c>
      <c r="Y206" s="229">
        <v>3.7000000000000002E-3</v>
      </c>
      <c r="Z206" s="228">
        <v>-1.2</v>
      </c>
      <c r="AA206" s="228">
        <v>5.8</v>
      </c>
      <c r="AB206" s="228">
        <v>-7</v>
      </c>
      <c r="AC206" s="229">
        <v>-4.0000000000000002E-4</v>
      </c>
      <c r="AD206" s="228">
        <v>-1.2</v>
      </c>
      <c r="AE206" s="228">
        <v>5.8</v>
      </c>
      <c r="AF206" s="228">
        <v>-7</v>
      </c>
      <c r="AG206" s="229">
        <v>-4.0000000000000002E-4</v>
      </c>
      <c r="AH206" s="228">
        <v>17.8</v>
      </c>
      <c r="AI206" s="228">
        <v>24</v>
      </c>
      <c r="AJ206" s="228">
        <v>-6.2</v>
      </c>
      <c r="AK206" s="229">
        <v>5.5999999999999999E-3</v>
      </c>
      <c r="AL206" s="228">
        <v>23.8</v>
      </c>
      <c r="AM206" s="228">
        <v>39.6</v>
      </c>
      <c r="AN206" s="228">
        <v>-15.8</v>
      </c>
      <c r="AO206" s="229">
        <v>7.4999999999999997E-3</v>
      </c>
      <c r="AP206" s="231">
        <v>3196.08</v>
      </c>
      <c r="AQ206" s="231">
        <v>3208.44</v>
      </c>
      <c r="AR206" s="228">
        <v>0</v>
      </c>
      <c r="AS206" s="228">
        <v>160</v>
      </c>
      <c r="AT206" s="228">
        <v>133</v>
      </c>
      <c r="AU206" s="228">
        <v>27</v>
      </c>
      <c r="AV206" s="229">
        <v>0.2006</v>
      </c>
      <c r="AW206" s="228">
        <v>137</v>
      </c>
      <c r="AX206" s="228">
        <v>116</v>
      </c>
      <c r="AY206" s="228">
        <v>21</v>
      </c>
      <c r="AZ206" s="229">
        <v>0.17710000000000001</v>
      </c>
      <c r="BA206" s="228">
        <v>22</v>
      </c>
      <c r="BB206" s="228">
        <v>16</v>
      </c>
      <c r="BC206" s="228">
        <v>6</v>
      </c>
      <c r="BD206" s="229">
        <v>0.38150000000000001</v>
      </c>
      <c r="BE206" s="228">
        <v>1</v>
      </c>
      <c r="BF206" s="228">
        <v>1</v>
      </c>
      <c r="BG206" s="228">
        <v>0</v>
      </c>
      <c r="BH206" s="229">
        <v>6.25E-2</v>
      </c>
      <c r="BI206" s="228">
        <v>886</v>
      </c>
      <c r="BJ206" s="230">
        <v>1134</v>
      </c>
      <c r="BK206" s="228">
        <v>-248</v>
      </c>
      <c r="BL206" s="229">
        <v>-0.21879999999999999</v>
      </c>
      <c r="BM206" s="228">
        <v>185</v>
      </c>
      <c r="BN206" s="228">
        <v>230</v>
      </c>
      <c r="BO206" s="228">
        <v>-45</v>
      </c>
      <c r="BP206" s="229">
        <v>-0.1958</v>
      </c>
      <c r="BQ206" s="230">
        <v>1230</v>
      </c>
      <c r="BR206" s="230">
        <v>1497</v>
      </c>
      <c r="BS206" s="228">
        <v>-266</v>
      </c>
      <c r="BT206" s="229">
        <v>-0.17799999999999999</v>
      </c>
      <c r="BU206" s="230">
        <v>430991</v>
      </c>
      <c r="BV206" s="230">
        <v>356491</v>
      </c>
      <c r="BW206" s="230">
        <v>74500</v>
      </c>
      <c r="BX206" s="229">
        <v>0.20899999999999999</v>
      </c>
      <c r="BY206" s="228">
        <v>520</v>
      </c>
      <c r="BZ206" s="228">
        <v>509</v>
      </c>
      <c r="CA206" s="228">
        <v>11</v>
      </c>
      <c r="CB206" s="229">
        <v>2.07E-2</v>
      </c>
      <c r="CC206" s="228">
        <v>500</v>
      </c>
      <c r="CD206" s="228">
        <v>497</v>
      </c>
      <c r="CE206" s="228">
        <v>3</v>
      </c>
      <c r="CF206" s="229">
        <v>6.0000000000000001E-3</v>
      </c>
      <c r="CG206" s="228">
        <v>17</v>
      </c>
      <c r="CH206" s="228">
        <v>10</v>
      </c>
      <c r="CI206" s="228">
        <v>7</v>
      </c>
      <c r="CJ206" s="229">
        <v>0.75329999999999997</v>
      </c>
      <c r="CK206" s="228">
        <v>3</v>
      </c>
      <c r="CL206" s="228">
        <v>2</v>
      </c>
      <c r="CM206" s="228">
        <v>0</v>
      </c>
      <c r="CN206" s="229">
        <v>0.15790000000000001</v>
      </c>
      <c r="CO206" s="228">
        <v>171</v>
      </c>
      <c r="CP206" s="228">
        <v>202</v>
      </c>
      <c r="CQ206" s="228">
        <v>-31</v>
      </c>
      <c r="CR206" s="229">
        <v>-0.153</v>
      </c>
      <c r="CS206" s="228">
        <v>110</v>
      </c>
      <c r="CT206" s="228">
        <v>105</v>
      </c>
      <c r="CU206" s="228">
        <v>5</v>
      </c>
      <c r="CV206" s="229">
        <v>4.8300000000000003E-2</v>
      </c>
      <c r="CW206" s="228">
        <v>801</v>
      </c>
      <c r="CX206" s="228">
        <v>816</v>
      </c>
      <c r="CY206" s="228">
        <v>-15</v>
      </c>
      <c r="CZ206" s="229">
        <v>-1.8599999999999998E-2</v>
      </c>
      <c r="DA206" s="228">
        <v>33.979999999999997</v>
      </c>
      <c r="DB206" s="228">
        <v>33.06</v>
      </c>
      <c r="DC206" s="228">
        <v>0.92</v>
      </c>
      <c r="DD206" s="228">
        <v>0.92</v>
      </c>
      <c r="DE206" s="228">
        <v>44.18</v>
      </c>
      <c r="DF206" s="228">
        <v>44.28</v>
      </c>
      <c r="DG206" s="228">
        <v>-10.199999999999999</v>
      </c>
      <c r="DH206" s="228">
        <v>-0.1</v>
      </c>
      <c r="DI206" s="228">
        <v>33.97</v>
      </c>
      <c r="DJ206" s="228">
        <v>33.36</v>
      </c>
      <c r="DK206" s="228">
        <v>0.61</v>
      </c>
      <c r="DL206" s="228">
        <v>0.61</v>
      </c>
      <c r="DM206" s="228">
        <v>34.03</v>
      </c>
      <c r="DN206" s="228">
        <v>31.57</v>
      </c>
      <c r="DO206" s="228">
        <v>2.46</v>
      </c>
      <c r="DP206" s="228">
        <v>2.46</v>
      </c>
      <c r="DQ206" s="228">
        <v>0.65</v>
      </c>
      <c r="DR206" s="228">
        <v>0.52</v>
      </c>
      <c r="DS206" s="228">
        <v>0.13</v>
      </c>
      <c r="DT206" s="229">
        <v>0.25</v>
      </c>
      <c r="DU206" s="231">
        <v>3500</v>
      </c>
      <c r="DV206" s="231">
        <v>2900</v>
      </c>
      <c r="DW206" s="228">
        <v>0.21</v>
      </c>
      <c r="DX206" s="228">
        <v>0.2</v>
      </c>
      <c r="DY206" s="228">
        <v>0.01</v>
      </c>
      <c r="DZ206" s="229">
        <v>0.05</v>
      </c>
      <c r="EA206" s="229">
        <v>3.7499999999999999E-2</v>
      </c>
      <c r="EB206" s="230">
        <v>37600</v>
      </c>
      <c r="EC206" s="229">
        <v>6.0000000000000001E-3</v>
      </c>
      <c r="ED206" s="229">
        <v>3.7499999999999999E-2</v>
      </c>
      <c r="EE206" s="228">
        <v>12.36</v>
      </c>
      <c r="EF206" s="229">
        <v>3.8999999999999998E-3</v>
      </c>
      <c r="EG206" s="230">
        <v>212979</v>
      </c>
      <c r="EH206" s="230">
        <v>138713</v>
      </c>
      <c r="EI206" s="229">
        <v>0.53539999999999999</v>
      </c>
      <c r="EJ206" s="229">
        <v>0.49419999999999997</v>
      </c>
      <c r="EK206" s="228">
        <v>930.79</v>
      </c>
      <c r="EL206" s="228">
        <v>180.71</v>
      </c>
      <c r="EM206" s="228">
        <v>160.79</v>
      </c>
      <c r="EN206" s="228">
        <v>0</v>
      </c>
      <c r="EO206" s="231">
        <v>1272.28</v>
      </c>
      <c r="EP206" s="231">
        <v>1523.41</v>
      </c>
      <c r="EQ206" s="228">
        <v>-251.13</v>
      </c>
      <c r="ER206" s="229">
        <v>-0.1648</v>
      </c>
      <c r="ES206" s="228">
        <v>172.65</v>
      </c>
      <c r="ET206" s="228">
        <v>102.11</v>
      </c>
      <c r="EU206" s="228">
        <v>520.04999999999995</v>
      </c>
      <c r="EV206" s="231">
        <v>21637874</v>
      </c>
      <c r="EW206" s="228">
        <v>794.81</v>
      </c>
      <c r="EX206" s="228">
        <v>807.74</v>
      </c>
      <c r="EY206" s="228">
        <v>-12.93</v>
      </c>
      <c r="EZ206" s="229">
        <v>-1.6E-2</v>
      </c>
      <c r="FA206" s="229">
        <v>0.11650000000000001</v>
      </c>
      <c r="FB206" s="227" t="s">
        <v>555</v>
      </c>
      <c r="FC206">
        <f t="shared" si="4"/>
        <v>0</v>
      </c>
    </row>
    <row r="207" spans="1:159" ht="17.25" thickBot="1" x14ac:dyDescent="0.3">
      <c r="A207" s="226">
        <v>45889</v>
      </c>
      <c r="B207" s="227" t="s">
        <v>184</v>
      </c>
      <c r="C207" s="227" t="s">
        <v>664</v>
      </c>
      <c r="D207" s="228">
        <v>725</v>
      </c>
      <c r="E207" s="228">
        <v>8</v>
      </c>
      <c r="F207" s="228">
        <v>833.6</v>
      </c>
      <c r="G207" s="228">
        <v>832.1</v>
      </c>
      <c r="H207" s="228">
        <v>1.5</v>
      </c>
      <c r="I207" s="229">
        <v>1.8E-3</v>
      </c>
      <c r="J207" s="228">
        <v>833.75</v>
      </c>
      <c r="K207" s="228">
        <v>828.6</v>
      </c>
      <c r="L207" s="228">
        <v>5.15</v>
      </c>
      <c r="M207" s="229">
        <v>6.1999999999999998E-3</v>
      </c>
      <c r="N207" s="228">
        <v>833.6</v>
      </c>
      <c r="O207" s="228">
        <v>832.1</v>
      </c>
      <c r="P207" s="228">
        <v>1.5</v>
      </c>
      <c r="Q207" s="229">
        <v>1.8E-3</v>
      </c>
      <c r="R207" s="228">
        <v>830.7</v>
      </c>
      <c r="S207" s="228">
        <v>830</v>
      </c>
      <c r="T207" s="228">
        <v>0.7</v>
      </c>
      <c r="U207" s="229">
        <v>8.0000000000000004E-4</v>
      </c>
      <c r="V207" s="228">
        <v>823.5</v>
      </c>
      <c r="W207" s="228">
        <v>823.5</v>
      </c>
      <c r="X207" s="228">
        <v>0</v>
      </c>
      <c r="Y207" s="229">
        <v>0</v>
      </c>
      <c r="Z207" s="228">
        <v>-0.15</v>
      </c>
      <c r="AA207" s="228">
        <v>3.5</v>
      </c>
      <c r="AB207" s="228">
        <v>-3.65</v>
      </c>
      <c r="AC207" s="229">
        <v>-2.0000000000000001E-4</v>
      </c>
      <c r="AD207" s="228">
        <v>-0.15</v>
      </c>
      <c r="AE207" s="228">
        <v>3.5</v>
      </c>
      <c r="AF207" s="228">
        <v>-3.65</v>
      </c>
      <c r="AG207" s="229">
        <v>-2.0000000000000001E-4</v>
      </c>
      <c r="AH207" s="228">
        <v>-3.05</v>
      </c>
      <c r="AI207" s="228">
        <v>1.4</v>
      </c>
      <c r="AJ207" s="228">
        <v>-4.45</v>
      </c>
      <c r="AK207" s="229">
        <v>-3.7000000000000002E-3</v>
      </c>
      <c r="AL207" s="228">
        <v>-10.25</v>
      </c>
      <c r="AM207" s="228">
        <v>-5.0999999999999996</v>
      </c>
      <c r="AN207" s="228">
        <v>-5.15</v>
      </c>
      <c r="AO207" s="229">
        <v>-1.23E-2</v>
      </c>
      <c r="AP207" s="228">
        <v>833.51</v>
      </c>
      <c r="AQ207" s="228">
        <v>831.38</v>
      </c>
      <c r="AR207" s="228">
        <v>0</v>
      </c>
      <c r="AS207" s="228">
        <v>8</v>
      </c>
      <c r="AT207" s="228">
        <v>14</v>
      </c>
      <c r="AU207" s="228">
        <v>-6</v>
      </c>
      <c r="AV207" s="229">
        <v>-0.4304</v>
      </c>
      <c r="AW207" s="228">
        <v>7</v>
      </c>
      <c r="AX207" s="228">
        <v>13</v>
      </c>
      <c r="AY207" s="228">
        <v>-6</v>
      </c>
      <c r="AZ207" s="229">
        <v>-0.48199999999999998</v>
      </c>
      <c r="BA207" s="228">
        <v>1</v>
      </c>
      <c r="BB207" s="228">
        <v>0</v>
      </c>
      <c r="BC207" s="228">
        <v>0</v>
      </c>
      <c r="BD207" s="229">
        <v>1</v>
      </c>
      <c r="BE207" s="228">
        <v>0</v>
      </c>
      <c r="BF207" s="228">
        <v>0</v>
      </c>
      <c r="BG207" s="228">
        <v>0</v>
      </c>
      <c r="BH207" s="229">
        <v>0</v>
      </c>
      <c r="BI207" s="228">
        <v>13</v>
      </c>
      <c r="BJ207" s="228">
        <v>18</v>
      </c>
      <c r="BK207" s="228">
        <v>-5</v>
      </c>
      <c r="BL207" s="229">
        <v>-0.29110000000000003</v>
      </c>
      <c r="BM207" s="228">
        <v>13</v>
      </c>
      <c r="BN207" s="228">
        <v>10</v>
      </c>
      <c r="BO207" s="228">
        <v>3</v>
      </c>
      <c r="BP207" s="229">
        <v>0.28660000000000002</v>
      </c>
      <c r="BQ207" s="228">
        <v>33</v>
      </c>
      <c r="BR207" s="228">
        <v>41</v>
      </c>
      <c r="BS207" s="228">
        <v>-8</v>
      </c>
      <c r="BT207" s="229">
        <v>-0.19969999999999999</v>
      </c>
      <c r="BU207" s="230">
        <v>709432</v>
      </c>
      <c r="BV207" s="230">
        <v>867243</v>
      </c>
      <c r="BW207" s="230">
        <v>-157811</v>
      </c>
      <c r="BX207" s="229">
        <v>-0.182</v>
      </c>
      <c r="BY207" s="228">
        <v>707</v>
      </c>
      <c r="BZ207" s="228">
        <v>714</v>
      </c>
      <c r="CA207" s="228">
        <v>-7</v>
      </c>
      <c r="CB207" s="229">
        <v>-0.01</v>
      </c>
      <c r="CC207" s="228">
        <v>589</v>
      </c>
      <c r="CD207" s="228">
        <v>595</v>
      </c>
      <c r="CE207" s="228">
        <v>-6</v>
      </c>
      <c r="CF207" s="229">
        <v>-1.0500000000000001E-2</v>
      </c>
      <c r="CG207" s="228">
        <v>114</v>
      </c>
      <c r="CH207" s="228">
        <v>114</v>
      </c>
      <c r="CI207" s="228">
        <v>-1</v>
      </c>
      <c r="CJ207" s="229">
        <v>-7.9000000000000008E-3</v>
      </c>
      <c r="CK207" s="228">
        <v>4</v>
      </c>
      <c r="CL207" s="228">
        <v>4</v>
      </c>
      <c r="CM207" s="228">
        <v>0</v>
      </c>
      <c r="CN207" s="229">
        <v>0</v>
      </c>
      <c r="CO207" s="228">
        <v>225</v>
      </c>
      <c r="CP207" s="228">
        <v>234</v>
      </c>
      <c r="CQ207" s="228">
        <v>-9</v>
      </c>
      <c r="CR207" s="229">
        <v>-3.7199999999999997E-2</v>
      </c>
      <c r="CS207" s="228">
        <v>197</v>
      </c>
      <c r="CT207" s="228">
        <v>207</v>
      </c>
      <c r="CU207" s="228">
        <v>-10</v>
      </c>
      <c r="CV207" s="229">
        <v>-4.7300000000000002E-2</v>
      </c>
      <c r="CW207" s="230">
        <v>1129</v>
      </c>
      <c r="CX207" s="230">
        <v>1155</v>
      </c>
      <c r="CY207" s="228">
        <v>-26</v>
      </c>
      <c r="CZ207" s="229">
        <v>-2.2200000000000001E-2</v>
      </c>
      <c r="DA207" s="228">
        <v>40.78</v>
      </c>
      <c r="DB207" s="228">
        <v>38.159999999999997</v>
      </c>
      <c r="DC207" s="228">
        <v>2.62</v>
      </c>
      <c r="DD207" s="228">
        <v>2.62</v>
      </c>
      <c r="DE207" s="228">
        <v>59.3</v>
      </c>
      <c r="DF207" s="228">
        <v>59.45</v>
      </c>
      <c r="DG207" s="228">
        <v>-18.52</v>
      </c>
      <c r="DH207" s="228">
        <v>-0.15</v>
      </c>
      <c r="DI207" s="228">
        <v>33.630000000000003</v>
      </c>
      <c r="DJ207" s="228">
        <v>35.85</v>
      </c>
      <c r="DK207" s="228">
        <v>-2.2200000000000002</v>
      </c>
      <c r="DL207" s="228">
        <v>-2.2200000000000002</v>
      </c>
      <c r="DM207" s="228">
        <v>47.8</v>
      </c>
      <c r="DN207" s="228">
        <v>42.27</v>
      </c>
      <c r="DO207" s="228">
        <v>5.53</v>
      </c>
      <c r="DP207" s="228">
        <v>5.53</v>
      </c>
      <c r="DQ207" s="228">
        <v>0.88</v>
      </c>
      <c r="DR207" s="228">
        <v>0.88</v>
      </c>
      <c r="DS207" s="228">
        <v>0</v>
      </c>
      <c r="DT207" s="229">
        <v>0</v>
      </c>
      <c r="DU207" s="228">
        <v>860</v>
      </c>
      <c r="DV207" s="228">
        <v>860</v>
      </c>
      <c r="DW207" s="228">
        <v>1.02</v>
      </c>
      <c r="DX207" s="228">
        <v>0.56000000000000005</v>
      </c>
      <c r="DY207" s="228">
        <v>0.46</v>
      </c>
      <c r="DZ207" s="229">
        <v>0.82140000000000002</v>
      </c>
      <c r="EA207" s="229">
        <v>0.1668</v>
      </c>
      <c r="EB207" s="230">
        <v>1425350</v>
      </c>
      <c r="EC207" s="229">
        <v>-3.5000000000000001E-3</v>
      </c>
      <c r="ED207" s="229">
        <v>0.1668</v>
      </c>
      <c r="EE207" s="228">
        <v>-2.13</v>
      </c>
      <c r="EF207" s="229">
        <v>-2.5999999999999999E-3</v>
      </c>
      <c r="EG207" s="230">
        <v>248170</v>
      </c>
      <c r="EH207" s="230">
        <v>377879</v>
      </c>
      <c r="EI207" s="229">
        <v>-0.34329999999999999</v>
      </c>
      <c r="EJ207" s="229">
        <v>0.3498</v>
      </c>
      <c r="EK207" s="228">
        <v>13.08</v>
      </c>
      <c r="EL207" s="228">
        <v>11.34</v>
      </c>
      <c r="EM207" s="228">
        <v>7.91</v>
      </c>
      <c r="EN207" s="228">
        <v>0</v>
      </c>
      <c r="EO207" s="228">
        <v>32.340000000000003</v>
      </c>
      <c r="EP207" s="228">
        <v>41.6</v>
      </c>
      <c r="EQ207" s="228">
        <v>-9.26</v>
      </c>
      <c r="ER207" s="229">
        <v>-0.22259999999999999</v>
      </c>
      <c r="ES207" s="228">
        <v>234.07</v>
      </c>
      <c r="ET207" s="228">
        <v>187.52</v>
      </c>
      <c r="EU207" s="228">
        <v>706.47</v>
      </c>
      <c r="EV207" s="231">
        <v>16037381</v>
      </c>
      <c r="EW207" s="231">
        <v>1128.06</v>
      </c>
      <c r="EX207" s="231">
        <v>1151.6500000000001</v>
      </c>
      <c r="EY207" s="228">
        <v>-23.59</v>
      </c>
      <c r="EZ207" s="229">
        <v>-2.0500000000000001E-2</v>
      </c>
      <c r="FA207" s="229">
        <v>0.84489999999999998</v>
      </c>
      <c r="FB207" s="227" t="s">
        <v>556</v>
      </c>
      <c r="FC207">
        <f t="shared" si="4"/>
        <v>0</v>
      </c>
    </row>
    <row r="208" spans="1:159" ht="17.25" thickBot="1" x14ac:dyDescent="0.3">
      <c r="A208" s="226">
        <v>45889</v>
      </c>
      <c r="B208" s="227" t="s">
        <v>168</v>
      </c>
      <c r="C208" s="227" t="s">
        <v>297</v>
      </c>
      <c r="D208" s="228">
        <v>175</v>
      </c>
      <c r="E208" s="228">
        <v>8</v>
      </c>
      <c r="F208" s="231">
        <v>3603.7</v>
      </c>
      <c r="G208" s="231">
        <v>3573.8</v>
      </c>
      <c r="H208" s="228">
        <v>29.9</v>
      </c>
      <c r="I208" s="229">
        <v>8.3999999999999995E-3</v>
      </c>
      <c r="J208" s="231">
        <v>3595</v>
      </c>
      <c r="K208" s="231">
        <v>3568.1</v>
      </c>
      <c r="L208" s="228">
        <v>26.9</v>
      </c>
      <c r="M208" s="229">
        <v>7.4999999999999997E-3</v>
      </c>
      <c r="N208" s="231">
        <v>3603.7</v>
      </c>
      <c r="O208" s="231">
        <v>3573.8</v>
      </c>
      <c r="P208" s="228">
        <v>29.9</v>
      </c>
      <c r="Q208" s="229">
        <v>8.3999999999999995E-3</v>
      </c>
      <c r="R208" s="231">
        <v>3624.6</v>
      </c>
      <c r="S208" s="231">
        <v>3594.3</v>
      </c>
      <c r="T208" s="228">
        <v>30.3</v>
      </c>
      <c r="U208" s="229">
        <v>8.3999999999999995E-3</v>
      </c>
      <c r="V208" s="231">
        <v>3640.7</v>
      </c>
      <c r="W208" s="231">
        <v>3613.3</v>
      </c>
      <c r="X208" s="228">
        <v>27.4</v>
      </c>
      <c r="Y208" s="229">
        <v>7.6E-3</v>
      </c>
      <c r="Z208" s="228">
        <v>8.6999999999999993</v>
      </c>
      <c r="AA208" s="228">
        <v>5.7</v>
      </c>
      <c r="AB208" s="228">
        <v>3</v>
      </c>
      <c r="AC208" s="229">
        <v>2.3999999999999998E-3</v>
      </c>
      <c r="AD208" s="228">
        <v>8.6999999999999993</v>
      </c>
      <c r="AE208" s="228">
        <v>5.7</v>
      </c>
      <c r="AF208" s="228">
        <v>3</v>
      </c>
      <c r="AG208" s="229">
        <v>2.3999999999999998E-3</v>
      </c>
      <c r="AH208" s="228">
        <v>29.6</v>
      </c>
      <c r="AI208" s="228">
        <v>26.2</v>
      </c>
      <c r="AJ208" s="228">
        <v>3.4</v>
      </c>
      <c r="AK208" s="229">
        <v>8.2000000000000007E-3</v>
      </c>
      <c r="AL208" s="228">
        <v>45.7</v>
      </c>
      <c r="AM208" s="228">
        <v>45.2</v>
      </c>
      <c r="AN208" s="228">
        <v>0.5</v>
      </c>
      <c r="AO208" s="229">
        <v>1.2699999999999999E-2</v>
      </c>
      <c r="AP208" s="231">
        <v>3591.45</v>
      </c>
      <c r="AQ208" s="231">
        <v>3616.89</v>
      </c>
      <c r="AR208" s="228">
        <v>0</v>
      </c>
      <c r="AS208" s="228">
        <v>485</v>
      </c>
      <c r="AT208" s="228">
        <v>341</v>
      </c>
      <c r="AU208" s="228">
        <v>145</v>
      </c>
      <c r="AV208" s="229">
        <v>0.42509999999999998</v>
      </c>
      <c r="AW208" s="228">
        <v>370</v>
      </c>
      <c r="AX208" s="228">
        <v>296</v>
      </c>
      <c r="AY208" s="228">
        <v>74</v>
      </c>
      <c r="AZ208" s="229">
        <v>0.24959999999999999</v>
      </c>
      <c r="BA208" s="228">
        <v>114</v>
      </c>
      <c r="BB208" s="228">
        <v>43</v>
      </c>
      <c r="BC208" s="228">
        <v>71</v>
      </c>
      <c r="BD208" s="229">
        <v>1.6549</v>
      </c>
      <c r="BE208" s="228">
        <v>2</v>
      </c>
      <c r="BF208" s="228">
        <v>2</v>
      </c>
      <c r="BG208" s="228">
        <v>0</v>
      </c>
      <c r="BH208" s="229">
        <v>9.3799999999999994E-2</v>
      </c>
      <c r="BI208" s="230">
        <v>2437</v>
      </c>
      <c r="BJ208" s="230">
        <v>1751</v>
      </c>
      <c r="BK208" s="228">
        <v>687</v>
      </c>
      <c r="BL208" s="229">
        <v>0.3921</v>
      </c>
      <c r="BM208" s="230">
        <v>1114</v>
      </c>
      <c r="BN208" s="228">
        <v>971</v>
      </c>
      <c r="BO208" s="228">
        <v>143</v>
      </c>
      <c r="BP208" s="229">
        <v>0.14729999999999999</v>
      </c>
      <c r="BQ208" s="230">
        <v>4037</v>
      </c>
      <c r="BR208" s="230">
        <v>3062</v>
      </c>
      <c r="BS208" s="228">
        <v>974</v>
      </c>
      <c r="BT208" s="229">
        <v>0.31819999999999998</v>
      </c>
      <c r="BU208" s="230">
        <v>546617</v>
      </c>
      <c r="BV208" s="230">
        <v>551821</v>
      </c>
      <c r="BW208" s="230">
        <v>-5204</v>
      </c>
      <c r="BX208" s="229">
        <v>-9.4000000000000004E-3</v>
      </c>
      <c r="BY208" s="230">
        <v>3625</v>
      </c>
      <c r="BZ208" s="230">
        <v>3582</v>
      </c>
      <c r="CA208" s="228">
        <v>44</v>
      </c>
      <c r="CB208" s="229">
        <v>1.2200000000000001E-2</v>
      </c>
      <c r="CC208" s="230">
        <v>3344</v>
      </c>
      <c r="CD208" s="230">
        <v>3364</v>
      </c>
      <c r="CE208" s="228">
        <v>-20</v>
      </c>
      <c r="CF208" s="229">
        <v>-5.7999999999999996E-3</v>
      </c>
      <c r="CG208" s="228">
        <v>273</v>
      </c>
      <c r="CH208" s="228">
        <v>211</v>
      </c>
      <c r="CI208" s="228">
        <v>63</v>
      </c>
      <c r="CJ208" s="229">
        <v>0.29899999999999999</v>
      </c>
      <c r="CK208" s="228">
        <v>7</v>
      </c>
      <c r="CL208" s="228">
        <v>7</v>
      </c>
      <c r="CM208" s="228">
        <v>0</v>
      </c>
      <c r="CN208" s="229">
        <v>4.4999999999999998E-2</v>
      </c>
      <c r="CO208" s="228">
        <v>884</v>
      </c>
      <c r="CP208" s="228">
        <v>965</v>
      </c>
      <c r="CQ208" s="228">
        <v>-81</v>
      </c>
      <c r="CR208" s="229">
        <v>-8.3799999999999999E-2</v>
      </c>
      <c r="CS208" s="228">
        <v>865</v>
      </c>
      <c r="CT208" s="228">
        <v>769</v>
      </c>
      <c r="CU208" s="228">
        <v>95</v>
      </c>
      <c r="CV208" s="229">
        <v>0.124</v>
      </c>
      <c r="CW208" s="230">
        <v>5374</v>
      </c>
      <c r="CX208" s="230">
        <v>5316</v>
      </c>
      <c r="CY208" s="228">
        <v>58</v>
      </c>
      <c r="CZ208" s="229">
        <v>1.09E-2</v>
      </c>
      <c r="DA208" s="228">
        <v>17.350000000000001</v>
      </c>
      <c r="DB208" s="228">
        <v>17.27</v>
      </c>
      <c r="DC208" s="228">
        <v>0.08</v>
      </c>
      <c r="DD208" s="228">
        <v>0.08</v>
      </c>
      <c r="DE208" s="228">
        <v>26.8</v>
      </c>
      <c r="DF208" s="228">
        <v>26.84</v>
      </c>
      <c r="DG208" s="228">
        <v>-9.4499999999999993</v>
      </c>
      <c r="DH208" s="228">
        <v>-0.04</v>
      </c>
      <c r="DI208" s="228">
        <v>16.489999999999998</v>
      </c>
      <c r="DJ208" s="228">
        <v>16.670000000000002</v>
      </c>
      <c r="DK208" s="228">
        <v>-0.18</v>
      </c>
      <c r="DL208" s="228">
        <v>-0.18</v>
      </c>
      <c r="DM208" s="228">
        <v>19.23</v>
      </c>
      <c r="DN208" s="228">
        <v>18.350000000000001</v>
      </c>
      <c r="DO208" s="228">
        <v>0.88</v>
      </c>
      <c r="DP208" s="228">
        <v>0.88</v>
      </c>
      <c r="DQ208" s="228">
        <v>0.98</v>
      </c>
      <c r="DR208" s="228">
        <v>0.8</v>
      </c>
      <c r="DS208" s="228">
        <v>0.18</v>
      </c>
      <c r="DT208" s="229">
        <v>0.22500000000000001</v>
      </c>
      <c r="DU208" s="231">
        <v>3600</v>
      </c>
      <c r="DV208" s="231">
        <v>3500</v>
      </c>
      <c r="DW208" s="228">
        <v>0.46</v>
      </c>
      <c r="DX208" s="228">
        <v>0.55000000000000004</v>
      </c>
      <c r="DY208" s="228">
        <v>-0.09</v>
      </c>
      <c r="DZ208" s="229">
        <v>-0.1636</v>
      </c>
      <c r="EA208" s="229">
        <v>7.7399999999999997E-2</v>
      </c>
      <c r="EB208" s="230">
        <v>603575</v>
      </c>
      <c r="EC208" s="229">
        <v>5.7999999999999996E-3</v>
      </c>
      <c r="ED208" s="229">
        <v>7.7399999999999997E-2</v>
      </c>
      <c r="EE208" s="228">
        <v>25.44</v>
      </c>
      <c r="EF208" s="229">
        <v>7.1000000000000004E-3</v>
      </c>
      <c r="EG208" s="230">
        <v>326264</v>
      </c>
      <c r="EH208" s="230">
        <v>294508</v>
      </c>
      <c r="EI208" s="229">
        <v>0.10780000000000001</v>
      </c>
      <c r="EJ208" s="229">
        <v>0.59689999999999999</v>
      </c>
      <c r="EK208" s="231">
        <v>2471.9</v>
      </c>
      <c r="EL208" s="231">
        <v>1086.3399999999999</v>
      </c>
      <c r="EM208" s="228">
        <v>484.58</v>
      </c>
      <c r="EN208" s="228">
        <v>0</v>
      </c>
      <c r="EO208" s="231">
        <v>4042.82</v>
      </c>
      <c r="EP208" s="231">
        <v>3046.72</v>
      </c>
      <c r="EQ208" s="228">
        <v>996.11</v>
      </c>
      <c r="ER208" s="229">
        <v>0.32690000000000002</v>
      </c>
      <c r="ES208" s="228">
        <v>885.85</v>
      </c>
      <c r="ET208" s="228">
        <v>816.89</v>
      </c>
      <c r="EU208" s="231">
        <v>3626.81</v>
      </c>
      <c r="EV208" s="231">
        <v>83488668</v>
      </c>
      <c r="EW208" s="231">
        <v>5329.55</v>
      </c>
      <c r="EX208" s="231">
        <v>5240.43</v>
      </c>
      <c r="EY208" s="228">
        <v>89.12</v>
      </c>
      <c r="EZ208" s="229">
        <v>1.7000000000000001E-2</v>
      </c>
      <c r="FA208" s="229">
        <v>0.17860000000000001</v>
      </c>
      <c r="FB208" s="227" t="s">
        <v>555</v>
      </c>
      <c r="FC208">
        <f t="shared" si="4"/>
        <v>0</v>
      </c>
    </row>
    <row r="209" spans="1:159" ht="17.25" thickBot="1" x14ac:dyDescent="0.3">
      <c r="A209" s="226">
        <v>45889</v>
      </c>
      <c r="B209" s="227" t="s">
        <v>170</v>
      </c>
      <c r="C209" s="227" t="s">
        <v>298</v>
      </c>
      <c r="D209" s="228">
        <v>250</v>
      </c>
      <c r="E209" s="228">
        <v>8</v>
      </c>
      <c r="F209" s="231">
        <v>3664.6</v>
      </c>
      <c r="G209" s="231">
        <v>3652.5</v>
      </c>
      <c r="H209" s="228">
        <v>12.1</v>
      </c>
      <c r="I209" s="229">
        <v>3.3E-3</v>
      </c>
      <c r="J209" s="231">
        <v>3663.8</v>
      </c>
      <c r="K209" s="231">
        <v>3651.6</v>
      </c>
      <c r="L209" s="228">
        <v>12.2</v>
      </c>
      <c r="M209" s="229">
        <v>3.3E-3</v>
      </c>
      <c r="N209" s="231">
        <v>3664.6</v>
      </c>
      <c r="O209" s="231">
        <v>3652.5</v>
      </c>
      <c r="P209" s="228">
        <v>12.1</v>
      </c>
      <c r="Q209" s="229">
        <v>3.3E-3</v>
      </c>
      <c r="R209" s="231">
        <v>3683.7</v>
      </c>
      <c r="S209" s="231">
        <v>3672.1</v>
      </c>
      <c r="T209" s="228">
        <v>11.6</v>
      </c>
      <c r="U209" s="229">
        <v>3.2000000000000002E-3</v>
      </c>
      <c r="V209" s="231">
        <v>3688.7</v>
      </c>
      <c r="W209" s="231">
        <v>3688.7</v>
      </c>
      <c r="X209" s="228">
        <v>0</v>
      </c>
      <c r="Y209" s="229">
        <v>0</v>
      </c>
      <c r="Z209" s="228">
        <v>0.8</v>
      </c>
      <c r="AA209" s="228">
        <v>0.9</v>
      </c>
      <c r="AB209" s="228">
        <v>-0.1</v>
      </c>
      <c r="AC209" s="229">
        <v>2.0000000000000001E-4</v>
      </c>
      <c r="AD209" s="228">
        <v>0.8</v>
      </c>
      <c r="AE209" s="228">
        <v>0.9</v>
      </c>
      <c r="AF209" s="228">
        <v>-0.1</v>
      </c>
      <c r="AG209" s="229">
        <v>2.0000000000000001E-4</v>
      </c>
      <c r="AH209" s="228">
        <v>19.899999999999999</v>
      </c>
      <c r="AI209" s="228">
        <v>20.5</v>
      </c>
      <c r="AJ209" s="228">
        <v>-0.6</v>
      </c>
      <c r="AK209" s="229">
        <v>5.4000000000000003E-3</v>
      </c>
      <c r="AL209" s="228">
        <v>24.9</v>
      </c>
      <c r="AM209" s="228">
        <v>37.1</v>
      </c>
      <c r="AN209" s="228">
        <v>-12.2</v>
      </c>
      <c r="AO209" s="229">
        <v>6.7999999999999996E-3</v>
      </c>
      <c r="AP209" s="231">
        <v>3663.49</v>
      </c>
      <c r="AQ209" s="231">
        <v>3684.39</v>
      </c>
      <c r="AR209" s="228">
        <v>0</v>
      </c>
      <c r="AS209" s="228">
        <v>96</v>
      </c>
      <c r="AT209" s="228">
        <v>109</v>
      </c>
      <c r="AU209" s="228">
        <v>-13</v>
      </c>
      <c r="AV209" s="229">
        <v>-0.12180000000000001</v>
      </c>
      <c r="AW209" s="228">
        <v>90</v>
      </c>
      <c r="AX209" s="228">
        <v>90</v>
      </c>
      <c r="AY209" s="228">
        <v>0</v>
      </c>
      <c r="AZ209" s="229">
        <v>-2E-3</v>
      </c>
      <c r="BA209" s="228">
        <v>6</v>
      </c>
      <c r="BB209" s="228">
        <v>19</v>
      </c>
      <c r="BC209" s="228">
        <v>-13</v>
      </c>
      <c r="BD209" s="229">
        <v>-0.69799999999999995</v>
      </c>
      <c r="BE209" s="228">
        <v>0</v>
      </c>
      <c r="BF209" s="228">
        <v>0</v>
      </c>
      <c r="BG209" s="228">
        <v>0</v>
      </c>
      <c r="BH209" s="229">
        <v>-1</v>
      </c>
      <c r="BI209" s="228">
        <v>344</v>
      </c>
      <c r="BJ209" s="228">
        <v>322</v>
      </c>
      <c r="BK209" s="228">
        <v>22</v>
      </c>
      <c r="BL209" s="229">
        <v>6.9400000000000003E-2</v>
      </c>
      <c r="BM209" s="228">
        <v>62</v>
      </c>
      <c r="BN209" s="228">
        <v>85</v>
      </c>
      <c r="BO209" s="228">
        <v>-23</v>
      </c>
      <c r="BP209" s="229">
        <v>-0.27360000000000001</v>
      </c>
      <c r="BQ209" s="228">
        <v>502</v>
      </c>
      <c r="BR209" s="228">
        <v>516</v>
      </c>
      <c r="BS209" s="228">
        <v>-14</v>
      </c>
      <c r="BT209" s="229">
        <v>-2.7699999999999999E-2</v>
      </c>
      <c r="BU209" s="230">
        <v>231770</v>
      </c>
      <c r="BV209" s="230">
        <v>199299</v>
      </c>
      <c r="BW209" s="230">
        <v>32471</v>
      </c>
      <c r="BX209" s="229">
        <v>0.16289999999999999</v>
      </c>
      <c r="BY209" s="228">
        <v>907</v>
      </c>
      <c r="BZ209" s="228">
        <v>920</v>
      </c>
      <c r="CA209" s="228">
        <v>-13</v>
      </c>
      <c r="CB209" s="229">
        <v>-1.43E-2</v>
      </c>
      <c r="CC209" s="228">
        <v>877</v>
      </c>
      <c r="CD209" s="228">
        <v>891</v>
      </c>
      <c r="CE209" s="228">
        <v>-13</v>
      </c>
      <c r="CF209" s="229">
        <v>-1.4999999999999999E-2</v>
      </c>
      <c r="CG209" s="228">
        <v>29</v>
      </c>
      <c r="CH209" s="228">
        <v>29</v>
      </c>
      <c r="CI209" s="228">
        <v>0</v>
      </c>
      <c r="CJ209" s="229">
        <v>6.3E-3</v>
      </c>
      <c r="CK209" s="228">
        <v>0</v>
      </c>
      <c r="CL209" s="228">
        <v>0</v>
      </c>
      <c r="CM209" s="228">
        <v>0</v>
      </c>
      <c r="CN209" s="229">
        <v>0</v>
      </c>
      <c r="CO209" s="228">
        <v>240</v>
      </c>
      <c r="CP209" s="228">
        <v>230</v>
      </c>
      <c r="CQ209" s="228">
        <v>10</v>
      </c>
      <c r="CR209" s="229">
        <v>4.4699999999999997E-2</v>
      </c>
      <c r="CS209" s="228">
        <v>132</v>
      </c>
      <c r="CT209" s="228">
        <v>130</v>
      </c>
      <c r="CU209" s="228">
        <v>2</v>
      </c>
      <c r="CV209" s="229">
        <v>1.26E-2</v>
      </c>
      <c r="CW209" s="230">
        <v>1279</v>
      </c>
      <c r="CX209" s="230">
        <v>1280</v>
      </c>
      <c r="CY209" s="228">
        <v>-1</v>
      </c>
      <c r="CZ209" s="229">
        <v>-1E-3</v>
      </c>
      <c r="DA209" s="228">
        <v>27.44</v>
      </c>
      <c r="DB209" s="228">
        <v>27.39</v>
      </c>
      <c r="DC209" s="228">
        <v>0.05</v>
      </c>
      <c r="DD209" s="228">
        <v>0.05</v>
      </c>
      <c r="DE209" s="228">
        <v>27.34</v>
      </c>
      <c r="DF209" s="228">
        <v>27.4</v>
      </c>
      <c r="DG209" s="228">
        <v>0.1</v>
      </c>
      <c r="DH209" s="228">
        <v>-0.06</v>
      </c>
      <c r="DI209" s="228">
        <v>26.89</v>
      </c>
      <c r="DJ209" s="228">
        <v>26.64</v>
      </c>
      <c r="DK209" s="228">
        <v>0.25</v>
      </c>
      <c r="DL209" s="228">
        <v>0.25</v>
      </c>
      <c r="DM209" s="228">
        <v>30.44</v>
      </c>
      <c r="DN209" s="228">
        <v>30.22</v>
      </c>
      <c r="DO209" s="228">
        <v>0.22</v>
      </c>
      <c r="DP209" s="228">
        <v>0.22</v>
      </c>
      <c r="DQ209" s="228">
        <v>0.55000000000000004</v>
      </c>
      <c r="DR209" s="228">
        <v>0.56999999999999995</v>
      </c>
      <c r="DS209" s="228">
        <v>-0.02</v>
      </c>
      <c r="DT209" s="229">
        <v>-3.5099999999999999E-2</v>
      </c>
      <c r="DU209" s="231">
        <v>3700</v>
      </c>
      <c r="DV209" s="231">
        <v>3500</v>
      </c>
      <c r="DW209" s="228">
        <v>0.18</v>
      </c>
      <c r="DX209" s="228">
        <v>0.27</v>
      </c>
      <c r="DY209" s="228">
        <v>-0.09</v>
      </c>
      <c r="DZ209" s="229">
        <v>-0.33329999999999999</v>
      </c>
      <c r="EA209" s="229">
        <v>3.2599999999999997E-2</v>
      </c>
      <c r="EB209" s="230">
        <v>80250</v>
      </c>
      <c r="EC209" s="229">
        <v>5.1999999999999998E-3</v>
      </c>
      <c r="ED209" s="229">
        <v>3.2599999999999997E-2</v>
      </c>
      <c r="EE209" s="228">
        <v>20.9</v>
      </c>
      <c r="EF209" s="229">
        <v>5.7000000000000002E-3</v>
      </c>
      <c r="EG209" s="230">
        <v>166966</v>
      </c>
      <c r="EH209" s="230">
        <v>133760</v>
      </c>
      <c r="EI209" s="229">
        <v>0.24829999999999999</v>
      </c>
      <c r="EJ209" s="229">
        <v>0.72040000000000004</v>
      </c>
      <c r="EK209" s="228">
        <v>358.99</v>
      </c>
      <c r="EL209" s="228">
        <v>57.68</v>
      </c>
      <c r="EM209" s="228">
        <v>95.74</v>
      </c>
      <c r="EN209" s="228">
        <v>0</v>
      </c>
      <c r="EO209" s="228">
        <v>512.41</v>
      </c>
      <c r="EP209" s="228">
        <v>523.17999999999995</v>
      </c>
      <c r="EQ209" s="228">
        <v>-10.77</v>
      </c>
      <c r="ER209" s="229">
        <v>-2.06E-2</v>
      </c>
      <c r="ES209" s="228">
        <v>248.73</v>
      </c>
      <c r="ET209" s="228">
        <v>124.33</v>
      </c>
      <c r="EU209" s="228">
        <v>907.23</v>
      </c>
      <c r="EV209" s="231">
        <v>21452008</v>
      </c>
      <c r="EW209" s="231">
        <v>1280.3</v>
      </c>
      <c r="EX209" s="231">
        <v>1278.28</v>
      </c>
      <c r="EY209" s="228">
        <v>2.02</v>
      </c>
      <c r="EZ209" s="229">
        <v>1.6000000000000001E-3</v>
      </c>
      <c r="FA209" s="229">
        <v>0.16270000000000001</v>
      </c>
      <c r="FB209" s="227" t="s">
        <v>556</v>
      </c>
      <c r="FC209">
        <f t="shared" si="4"/>
        <v>0</v>
      </c>
    </row>
    <row r="210" spans="1:159" ht="17.25" thickBot="1" x14ac:dyDescent="0.3">
      <c r="A210" s="226">
        <v>45889</v>
      </c>
      <c r="B210" s="227" t="s">
        <v>161</v>
      </c>
      <c r="C210" s="227" t="s">
        <v>299</v>
      </c>
      <c r="D210" s="228">
        <v>375</v>
      </c>
      <c r="E210" s="228">
        <v>8</v>
      </c>
      <c r="F210" s="231">
        <v>1288.2</v>
      </c>
      <c r="G210" s="231">
        <v>1302</v>
      </c>
      <c r="H210" s="228">
        <v>-13.8</v>
      </c>
      <c r="I210" s="229">
        <v>-1.06E-2</v>
      </c>
      <c r="J210" s="231">
        <v>1285.3</v>
      </c>
      <c r="K210" s="231">
        <v>1297.4000000000001</v>
      </c>
      <c r="L210" s="228">
        <v>-12.1</v>
      </c>
      <c r="M210" s="229">
        <v>-9.2999999999999992E-3</v>
      </c>
      <c r="N210" s="231">
        <v>1288.2</v>
      </c>
      <c r="O210" s="231">
        <v>1302</v>
      </c>
      <c r="P210" s="228">
        <v>-13.8</v>
      </c>
      <c r="Q210" s="229">
        <v>-1.06E-2</v>
      </c>
      <c r="R210" s="231">
        <v>1296.3</v>
      </c>
      <c r="S210" s="231">
        <v>1309.4000000000001</v>
      </c>
      <c r="T210" s="228">
        <v>-13.1</v>
      </c>
      <c r="U210" s="229">
        <v>-0.01</v>
      </c>
      <c r="V210" s="231">
        <v>1301</v>
      </c>
      <c r="W210" s="231">
        <v>1316.4</v>
      </c>
      <c r="X210" s="228">
        <v>-15.4</v>
      </c>
      <c r="Y210" s="229">
        <v>-1.17E-2</v>
      </c>
      <c r="Z210" s="228">
        <v>2.9</v>
      </c>
      <c r="AA210" s="228">
        <v>4.5999999999999996</v>
      </c>
      <c r="AB210" s="228">
        <v>-1.7</v>
      </c>
      <c r="AC210" s="229">
        <v>2.3E-3</v>
      </c>
      <c r="AD210" s="228">
        <v>2.9</v>
      </c>
      <c r="AE210" s="228">
        <v>4.5999999999999996</v>
      </c>
      <c r="AF210" s="228">
        <v>-1.7</v>
      </c>
      <c r="AG210" s="229">
        <v>2.3E-3</v>
      </c>
      <c r="AH210" s="228">
        <v>11</v>
      </c>
      <c r="AI210" s="228">
        <v>12</v>
      </c>
      <c r="AJ210" s="228">
        <v>-1</v>
      </c>
      <c r="AK210" s="229">
        <v>8.6E-3</v>
      </c>
      <c r="AL210" s="228">
        <v>15.7</v>
      </c>
      <c r="AM210" s="228">
        <v>19</v>
      </c>
      <c r="AN210" s="228">
        <v>-3.3</v>
      </c>
      <c r="AO210" s="229">
        <v>1.2200000000000001E-2</v>
      </c>
      <c r="AP210" s="231">
        <v>1293.25</v>
      </c>
      <c r="AQ210" s="231">
        <v>1299.9100000000001</v>
      </c>
      <c r="AR210" s="228">
        <v>0</v>
      </c>
      <c r="AS210" s="228">
        <v>89</v>
      </c>
      <c r="AT210" s="228">
        <v>80</v>
      </c>
      <c r="AU210" s="228">
        <v>9</v>
      </c>
      <c r="AV210" s="229">
        <v>0.11020000000000001</v>
      </c>
      <c r="AW210" s="228">
        <v>74</v>
      </c>
      <c r="AX210" s="228">
        <v>65</v>
      </c>
      <c r="AY210" s="228">
        <v>9</v>
      </c>
      <c r="AZ210" s="229">
        <v>0.1419</v>
      </c>
      <c r="BA210" s="228">
        <v>14</v>
      </c>
      <c r="BB210" s="228">
        <v>15</v>
      </c>
      <c r="BC210" s="228">
        <v>-1</v>
      </c>
      <c r="BD210" s="229">
        <v>-5.6800000000000003E-2</v>
      </c>
      <c r="BE210" s="228">
        <v>1</v>
      </c>
      <c r="BF210" s="228">
        <v>0</v>
      </c>
      <c r="BG210" s="228">
        <v>1</v>
      </c>
      <c r="BH210" s="229">
        <v>2.2000000000000002</v>
      </c>
      <c r="BI210" s="228">
        <v>101</v>
      </c>
      <c r="BJ210" s="228">
        <v>85</v>
      </c>
      <c r="BK210" s="228">
        <v>15</v>
      </c>
      <c r="BL210" s="229">
        <v>0.1764</v>
      </c>
      <c r="BM210" s="228">
        <v>34</v>
      </c>
      <c r="BN210" s="228">
        <v>38</v>
      </c>
      <c r="BO210" s="228">
        <v>-4</v>
      </c>
      <c r="BP210" s="229">
        <v>-0.1084</v>
      </c>
      <c r="BQ210" s="228">
        <v>224</v>
      </c>
      <c r="BR210" s="228">
        <v>204</v>
      </c>
      <c r="BS210" s="228">
        <v>20</v>
      </c>
      <c r="BT210" s="229">
        <v>9.69E-2</v>
      </c>
      <c r="BU210" s="230">
        <v>817273</v>
      </c>
      <c r="BV210" s="230">
        <v>927080</v>
      </c>
      <c r="BW210" s="230">
        <v>-109807</v>
      </c>
      <c r="BX210" s="229">
        <v>-0.11840000000000001</v>
      </c>
      <c r="BY210" s="228">
        <v>359</v>
      </c>
      <c r="BZ210" s="228">
        <v>334</v>
      </c>
      <c r="CA210" s="228">
        <v>25</v>
      </c>
      <c r="CB210" s="229">
        <v>7.3499999999999996E-2</v>
      </c>
      <c r="CC210" s="228">
        <v>335</v>
      </c>
      <c r="CD210" s="228">
        <v>318</v>
      </c>
      <c r="CE210" s="228">
        <v>17</v>
      </c>
      <c r="CF210" s="229">
        <v>5.4699999999999999E-2</v>
      </c>
      <c r="CG210" s="228">
        <v>22</v>
      </c>
      <c r="CH210" s="228">
        <v>16</v>
      </c>
      <c r="CI210" s="228">
        <v>7</v>
      </c>
      <c r="CJ210" s="229">
        <v>0.42330000000000001</v>
      </c>
      <c r="CK210" s="228">
        <v>1</v>
      </c>
      <c r="CL210" s="228">
        <v>1</v>
      </c>
      <c r="CM210" s="228">
        <v>1</v>
      </c>
      <c r="CN210" s="229">
        <v>0.84619999999999995</v>
      </c>
      <c r="CO210" s="228">
        <v>117</v>
      </c>
      <c r="CP210" s="228">
        <v>115</v>
      </c>
      <c r="CQ210" s="228">
        <v>2</v>
      </c>
      <c r="CR210" s="229">
        <v>1.6799999999999999E-2</v>
      </c>
      <c r="CS210" s="228">
        <v>63</v>
      </c>
      <c r="CT210" s="228">
        <v>62</v>
      </c>
      <c r="CU210" s="228">
        <v>2</v>
      </c>
      <c r="CV210" s="229">
        <v>2.5899999999999999E-2</v>
      </c>
      <c r="CW210" s="228">
        <v>539</v>
      </c>
      <c r="CX210" s="228">
        <v>511</v>
      </c>
      <c r="CY210" s="228">
        <v>28</v>
      </c>
      <c r="CZ210" s="229">
        <v>5.5E-2</v>
      </c>
      <c r="DA210" s="228">
        <v>31</v>
      </c>
      <c r="DB210" s="228">
        <v>29.93</v>
      </c>
      <c r="DC210" s="228">
        <v>1.07</v>
      </c>
      <c r="DD210" s="228">
        <v>1.07</v>
      </c>
      <c r="DE210" s="228">
        <v>44.61</v>
      </c>
      <c r="DF210" s="228">
        <v>44.7</v>
      </c>
      <c r="DG210" s="228">
        <v>-13.61</v>
      </c>
      <c r="DH210" s="228">
        <v>-0.09</v>
      </c>
      <c r="DI210" s="228">
        <v>31.61</v>
      </c>
      <c r="DJ210" s="228">
        <v>30.57</v>
      </c>
      <c r="DK210" s="228">
        <v>1.04</v>
      </c>
      <c r="DL210" s="228">
        <v>1.04</v>
      </c>
      <c r="DM210" s="228">
        <v>29.21</v>
      </c>
      <c r="DN210" s="228">
        <v>28.5</v>
      </c>
      <c r="DO210" s="228">
        <v>0.71</v>
      </c>
      <c r="DP210" s="228">
        <v>0.71</v>
      </c>
      <c r="DQ210" s="228">
        <v>0.54</v>
      </c>
      <c r="DR210" s="228">
        <v>0.54</v>
      </c>
      <c r="DS210" s="228">
        <v>0</v>
      </c>
      <c r="DT210" s="229">
        <v>0</v>
      </c>
      <c r="DU210" s="231">
        <v>1400</v>
      </c>
      <c r="DV210" s="231">
        <v>1300</v>
      </c>
      <c r="DW210" s="228">
        <v>0.34</v>
      </c>
      <c r="DX210" s="228">
        <v>0.45</v>
      </c>
      <c r="DY210" s="228">
        <v>-0.11</v>
      </c>
      <c r="DZ210" s="229">
        <v>-0.24440000000000001</v>
      </c>
      <c r="EA210" s="229">
        <v>6.5699999999999995E-2</v>
      </c>
      <c r="EB210" s="230">
        <v>127125</v>
      </c>
      <c r="EC210" s="229">
        <v>6.3E-3</v>
      </c>
      <c r="ED210" s="229">
        <v>6.5699999999999995E-2</v>
      </c>
      <c r="EE210" s="228">
        <v>6.66</v>
      </c>
      <c r="EF210" s="229">
        <v>5.1000000000000004E-3</v>
      </c>
      <c r="EG210" s="230">
        <v>529588</v>
      </c>
      <c r="EH210" s="230">
        <v>630187</v>
      </c>
      <c r="EI210" s="229">
        <v>-0.15959999999999999</v>
      </c>
      <c r="EJ210" s="229">
        <v>0.64800000000000002</v>
      </c>
      <c r="EK210" s="228">
        <v>105.33</v>
      </c>
      <c r="EL210" s="228">
        <v>35.130000000000003</v>
      </c>
      <c r="EM210" s="228">
        <v>89.51</v>
      </c>
      <c r="EN210" s="228">
        <v>0</v>
      </c>
      <c r="EO210" s="228">
        <v>229.96</v>
      </c>
      <c r="EP210" s="228">
        <v>210.32</v>
      </c>
      <c r="EQ210" s="228">
        <v>19.64</v>
      </c>
      <c r="ER210" s="229">
        <v>9.3399999999999997E-2</v>
      </c>
      <c r="ES210" s="228">
        <v>126.43</v>
      </c>
      <c r="ET210" s="228">
        <v>63.92</v>
      </c>
      <c r="EU210" s="228">
        <v>359.22</v>
      </c>
      <c r="EV210" s="231">
        <v>49292045</v>
      </c>
      <c r="EW210" s="228">
        <v>549.57000000000005</v>
      </c>
      <c r="EX210" s="228">
        <v>525.41999999999996</v>
      </c>
      <c r="EY210" s="228">
        <v>24.15</v>
      </c>
      <c r="EZ210" s="229">
        <v>4.5999999999999999E-2</v>
      </c>
      <c r="FA210" s="229">
        <v>8.4900000000000003E-2</v>
      </c>
      <c r="FB210" s="227" t="s">
        <v>567</v>
      </c>
      <c r="FC210">
        <f t="shared" si="4"/>
        <v>0</v>
      </c>
    </row>
    <row r="211" spans="1:159" ht="17.25" thickBot="1" x14ac:dyDescent="0.3">
      <c r="A211" s="226">
        <v>45889</v>
      </c>
      <c r="B211" s="227" t="s">
        <v>197</v>
      </c>
      <c r="C211" s="227" t="s">
        <v>482</v>
      </c>
      <c r="D211" s="228">
        <v>100</v>
      </c>
      <c r="E211" s="228">
        <v>8</v>
      </c>
      <c r="F211" s="231">
        <v>5468</v>
      </c>
      <c r="G211" s="231">
        <v>5514.5</v>
      </c>
      <c r="H211" s="228">
        <v>-46.5</v>
      </c>
      <c r="I211" s="229">
        <v>-8.3999999999999995E-3</v>
      </c>
      <c r="J211" s="231">
        <v>5453</v>
      </c>
      <c r="K211" s="231">
        <v>5496</v>
      </c>
      <c r="L211" s="228">
        <v>-43</v>
      </c>
      <c r="M211" s="229">
        <v>-7.7999999999999996E-3</v>
      </c>
      <c r="N211" s="231">
        <v>5468</v>
      </c>
      <c r="O211" s="231">
        <v>5514.5</v>
      </c>
      <c r="P211" s="228">
        <v>-46.5</v>
      </c>
      <c r="Q211" s="229">
        <v>-8.3999999999999995E-3</v>
      </c>
      <c r="R211" s="231">
        <v>5497</v>
      </c>
      <c r="S211" s="231">
        <v>5543.5</v>
      </c>
      <c r="T211" s="228">
        <v>-46.5</v>
      </c>
      <c r="U211" s="229">
        <v>-8.3999999999999995E-3</v>
      </c>
      <c r="V211" s="231">
        <v>5528.5</v>
      </c>
      <c r="W211" s="231">
        <v>5572</v>
      </c>
      <c r="X211" s="228">
        <v>-43.5</v>
      </c>
      <c r="Y211" s="229">
        <v>-7.7999999999999996E-3</v>
      </c>
      <c r="Z211" s="228">
        <v>15</v>
      </c>
      <c r="AA211" s="228">
        <v>18.5</v>
      </c>
      <c r="AB211" s="228">
        <v>-3.5</v>
      </c>
      <c r="AC211" s="229">
        <v>2.8E-3</v>
      </c>
      <c r="AD211" s="228">
        <v>15</v>
      </c>
      <c r="AE211" s="228">
        <v>18.5</v>
      </c>
      <c r="AF211" s="228">
        <v>-3.5</v>
      </c>
      <c r="AG211" s="229">
        <v>2.8E-3</v>
      </c>
      <c r="AH211" s="228">
        <v>44</v>
      </c>
      <c r="AI211" s="228">
        <v>47.5</v>
      </c>
      <c r="AJ211" s="228">
        <v>-3.5</v>
      </c>
      <c r="AK211" s="229">
        <v>8.0999999999999996E-3</v>
      </c>
      <c r="AL211" s="228">
        <v>75.5</v>
      </c>
      <c r="AM211" s="228">
        <v>76</v>
      </c>
      <c r="AN211" s="228">
        <v>-0.5</v>
      </c>
      <c r="AO211" s="229">
        <v>1.38E-2</v>
      </c>
      <c r="AP211" s="231">
        <v>5467</v>
      </c>
      <c r="AQ211" s="231">
        <v>5494.82</v>
      </c>
      <c r="AR211" s="228">
        <v>0</v>
      </c>
      <c r="AS211" s="228">
        <v>427</v>
      </c>
      <c r="AT211" s="228">
        <v>400</v>
      </c>
      <c r="AU211" s="228">
        <v>26</v>
      </c>
      <c r="AV211" s="229">
        <v>6.6100000000000006E-2</v>
      </c>
      <c r="AW211" s="228">
        <v>265</v>
      </c>
      <c r="AX211" s="228">
        <v>330</v>
      </c>
      <c r="AY211" s="228">
        <v>-65</v>
      </c>
      <c r="AZ211" s="229">
        <v>-0.19600000000000001</v>
      </c>
      <c r="BA211" s="228">
        <v>155</v>
      </c>
      <c r="BB211" s="228">
        <v>64</v>
      </c>
      <c r="BC211" s="228">
        <v>91</v>
      </c>
      <c r="BD211" s="229">
        <v>1.4244000000000001</v>
      </c>
      <c r="BE211" s="228">
        <v>6</v>
      </c>
      <c r="BF211" s="228">
        <v>6</v>
      </c>
      <c r="BG211" s="228">
        <v>0</v>
      </c>
      <c r="BH211" s="229">
        <v>-1.6899999999999998E-2</v>
      </c>
      <c r="BI211" s="230">
        <v>2216</v>
      </c>
      <c r="BJ211" s="230">
        <v>2623</v>
      </c>
      <c r="BK211" s="228">
        <v>-406</v>
      </c>
      <c r="BL211" s="229">
        <v>-0.15490000000000001</v>
      </c>
      <c r="BM211" s="230">
        <v>1212</v>
      </c>
      <c r="BN211" s="230">
        <v>1317</v>
      </c>
      <c r="BO211" s="228">
        <v>-105</v>
      </c>
      <c r="BP211" s="229">
        <v>-7.9399999999999998E-2</v>
      </c>
      <c r="BQ211" s="230">
        <v>3855</v>
      </c>
      <c r="BR211" s="230">
        <v>4340</v>
      </c>
      <c r="BS211" s="228">
        <v>-484</v>
      </c>
      <c r="BT211" s="229">
        <v>-0.1116</v>
      </c>
      <c r="BU211" s="230">
        <v>659757</v>
      </c>
      <c r="BV211" s="230">
        <v>580581</v>
      </c>
      <c r="BW211" s="230">
        <v>79176</v>
      </c>
      <c r="BX211" s="229">
        <v>0.13639999999999999</v>
      </c>
      <c r="BY211" s="230">
        <v>3484</v>
      </c>
      <c r="BZ211" s="230">
        <v>3408</v>
      </c>
      <c r="CA211" s="228">
        <v>77</v>
      </c>
      <c r="CB211" s="229">
        <v>2.2499999999999999E-2</v>
      </c>
      <c r="CC211" s="230">
        <v>3183</v>
      </c>
      <c r="CD211" s="230">
        <v>3212</v>
      </c>
      <c r="CE211" s="228">
        <v>-30</v>
      </c>
      <c r="CF211" s="229">
        <v>-9.2999999999999992E-3</v>
      </c>
      <c r="CG211" s="228">
        <v>283</v>
      </c>
      <c r="CH211" s="228">
        <v>180</v>
      </c>
      <c r="CI211" s="228">
        <v>103</v>
      </c>
      <c r="CJ211" s="229">
        <v>0.5726</v>
      </c>
      <c r="CK211" s="228">
        <v>19</v>
      </c>
      <c r="CL211" s="228">
        <v>15</v>
      </c>
      <c r="CM211" s="228">
        <v>3</v>
      </c>
      <c r="CN211" s="229">
        <v>0.21429999999999999</v>
      </c>
      <c r="CO211" s="230">
        <v>1677</v>
      </c>
      <c r="CP211" s="230">
        <v>1590</v>
      </c>
      <c r="CQ211" s="228">
        <v>87</v>
      </c>
      <c r="CR211" s="229">
        <v>5.4600000000000003E-2</v>
      </c>
      <c r="CS211" s="228">
        <v>911</v>
      </c>
      <c r="CT211" s="228">
        <v>905</v>
      </c>
      <c r="CU211" s="228">
        <v>6</v>
      </c>
      <c r="CV211" s="229">
        <v>6.1999999999999998E-3</v>
      </c>
      <c r="CW211" s="230">
        <v>6072</v>
      </c>
      <c r="CX211" s="230">
        <v>5903</v>
      </c>
      <c r="CY211" s="228">
        <v>169</v>
      </c>
      <c r="CZ211" s="229">
        <v>2.86E-2</v>
      </c>
      <c r="DA211" s="228">
        <v>30.98</v>
      </c>
      <c r="DB211" s="228">
        <v>29.6</v>
      </c>
      <c r="DC211" s="228">
        <v>1.38</v>
      </c>
      <c r="DD211" s="228">
        <v>1.38</v>
      </c>
      <c r="DE211" s="228">
        <v>47.83</v>
      </c>
      <c r="DF211" s="228">
        <v>47.94</v>
      </c>
      <c r="DG211" s="228">
        <v>-16.850000000000001</v>
      </c>
      <c r="DH211" s="228">
        <v>-0.11</v>
      </c>
      <c r="DI211" s="228">
        <v>31.01</v>
      </c>
      <c r="DJ211" s="228">
        <v>29.81</v>
      </c>
      <c r="DK211" s="228">
        <v>1.2</v>
      </c>
      <c r="DL211" s="228">
        <v>1.2</v>
      </c>
      <c r="DM211" s="228">
        <v>30.91</v>
      </c>
      <c r="DN211" s="228">
        <v>29.18</v>
      </c>
      <c r="DO211" s="228">
        <v>1.73</v>
      </c>
      <c r="DP211" s="228">
        <v>1.73</v>
      </c>
      <c r="DQ211" s="228">
        <v>0.54</v>
      </c>
      <c r="DR211" s="228">
        <v>0.56999999999999995</v>
      </c>
      <c r="DS211" s="228">
        <v>-0.03</v>
      </c>
      <c r="DT211" s="229">
        <v>-5.2600000000000001E-2</v>
      </c>
      <c r="DU211" s="231">
        <v>6000</v>
      </c>
      <c r="DV211" s="231">
        <v>5000</v>
      </c>
      <c r="DW211" s="228">
        <v>0.55000000000000004</v>
      </c>
      <c r="DX211" s="228">
        <v>0.5</v>
      </c>
      <c r="DY211" s="228">
        <v>0.05</v>
      </c>
      <c r="DZ211" s="229">
        <v>0.1</v>
      </c>
      <c r="EA211" s="229">
        <v>8.6599999999999996E-2</v>
      </c>
      <c r="EB211" s="230">
        <v>357200</v>
      </c>
      <c r="EC211" s="229">
        <v>5.3E-3</v>
      </c>
      <c r="ED211" s="229">
        <v>8.6599999999999996E-2</v>
      </c>
      <c r="EE211" s="228">
        <v>27.82</v>
      </c>
      <c r="EF211" s="229">
        <v>5.1000000000000004E-3</v>
      </c>
      <c r="EG211" s="230">
        <v>400861</v>
      </c>
      <c r="EH211" s="230">
        <v>239166</v>
      </c>
      <c r="EI211" s="229">
        <v>0.67610000000000003</v>
      </c>
      <c r="EJ211" s="229">
        <v>0.60760000000000003</v>
      </c>
      <c r="EK211" s="231">
        <v>2329.9899999999998</v>
      </c>
      <c r="EL211" s="231">
        <v>1192.96</v>
      </c>
      <c r="EM211" s="228">
        <v>427.45</v>
      </c>
      <c r="EN211" s="228">
        <v>0</v>
      </c>
      <c r="EO211" s="231">
        <v>3950.4</v>
      </c>
      <c r="EP211" s="231">
        <v>4479.01</v>
      </c>
      <c r="EQ211" s="228">
        <v>-528.61</v>
      </c>
      <c r="ER211" s="229">
        <v>-0.11799999999999999</v>
      </c>
      <c r="ES211" s="231">
        <v>1745.13</v>
      </c>
      <c r="ET211" s="228">
        <v>866.63</v>
      </c>
      <c r="EU211" s="231">
        <v>3485.92</v>
      </c>
      <c r="EV211" s="231">
        <v>44787316</v>
      </c>
      <c r="EW211" s="231">
        <v>6097.68</v>
      </c>
      <c r="EX211" s="231">
        <v>5955.28</v>
      </c>
      <c r="EY211" s="228">
        <v>142.4</v>
      </c>
      <c r="EZ211" s="229">
        <v>2.3900000000000001E-2</v>
      </c>
      <c r="FA211" s="229">
        <v>0.24790000000000001</v>
      </c>
      <c r="FB211" s="227" t="s">
        <v>567</v>
      </c>
      <c r="FC211">
        <f t="shared" si="4"/>
        <v>0</v>
      </c>
    </row>
    <row r="212" spans="1:159" ht="17.25" thickBot="1" x14ac:dyDescent="0.3">
      <c r="A212" s="226">
        <v>45889</v>
      </c>
      <c r="B212" s="227" t="s">
        <v>162</v>
      </c>
      <c r="C212" s="227" t="s">
        <v>300</v>
      </c>
      <c r="D212" s="228">
        <v>350</v>
      </c>
      <c r="E212" s="228">
        <v>8</v>
      </c>
      <c r="F212" s="231">
        <v>3206.8</v>
      </c>
      <c r="G212" s="231">
        <v>3228.3</v>
      </c>
      <c r="H212" s="228">
        <v>-21.5</v>
      </c>
      <c r="I212" s="229">
        <v>-6.7000000000000002E-3</v>
      </c>
      <c r="J212" s="231">
        <v>3229.8</v>
      </c>
      <c r="K212" s="231">
        <v>3251.9</v>
      </c>
      <c r="L212" s="228">
        <v>-22.1</v>
      </c>
      <c r="M212" s="229">
        <v>-6.7999999999999996E-3</v>
      </c>
      <c r="N212" s="231">
        <v>3206.8</v>
      </c>
      <c r="O212" s="231">
        <v>3228.3</v>
      </c>
      <c r="P212" s="228">
        <v>-21.5</v>
      </c>
      <c r="Q212" s="229">
        <v>-6.7000000000000002E-3</v>
      </c>
      <c r="R212" s="231">
        <v>3220</v>
      </c>
      <c r="S212" s="231">
        <v>3237.9</v>
      </c>
      <c r="T212" s="228">
        <v>-17.899999999999999</v>
      </c>
      <c r="U212" s="229">
        <v>-5.4999999999999997E-3</v>
      </c>
      <c r="V212" s="231">
        <v>3228.2</v>
      </c>
      <c r="W212" s="231">
        <v>3244.4</v>
      </c>
      <c r="X212" s="228">
        <v>-16.2</v>
      </c>
      <c r="Y212" s="229">
        <v>-5.0000000000000001E-3</v>
      </c>
      <c r="Z212" s="228">
        <v>-23</v>
      </c>
      <c r="AA212" s="228">
        <v>-23.6</v>
      </c>
      <c r="AB212" s="228">
        <v>0.6</v>
      </c>
      <c r="AC212" s="229">
        <v>-7.1000000000000004E-3</v>
      </c>
      <c r="AD212" s="228">
        <v>-23</v>
      </c>
      <c r="AE212" s="228">
        <v>-23.6</v>
      </c>
      <c r="AF212" s="228">
        <v>0.6</v>
      </c>
      <c r="AG212" s="229">
        <v>-7.1000000000000004E-3</v>
      </c>
      <c r="AH212" s="228">
        <v>-9.8000000000000007</v>
      </c>
      <c r="AI212" s="228">
        <v>-14</v>
      </c>
      <c r="AJ212" s="228">
        <v>4.2</v>
      </c>
      <c r="AK212" s="229">
        <v>-3.0000000000000001E-3</v>
      </c>
      <c r="AL212" s="228">
        <v>-1.6</v>
      </c>
      <c r="AM212" s="228">
        <v>-7.5</v>
      </c>
      <c r="AN212" s="228">
        <v>5.9</v>
      </c>
      <c r="AO212" s="229">
        <v>-5.0000000000000001E-4</v>
      </c>
      <c r="AP212" s="231">
        <v>3215.3</v>
      </c>
      <c r="AQ212" s="231">
        <v>3225.83</v>
      </c>
      <c r="AR212" s="228">
        <v>0</v>
      </c>
      <c r="AS212" s="228">
        <v>552</v>
      </c>
      <c r="AT212" s="228">
        <v>673</v>
      </c>
      <c r="AU212" s="228">
        <v>-121</v>
      </c>
      <c r="AV212" s="229">
        <v>-0.1802</v>
      </c>
      <c r="AW212" s="228">
        <v>461</v>
      </c>
      <c r="AX212" s="228">
        <v>556</v>
      </c>
      <c r="AY212" s="228">
        <v>-95</v>
      </c>
      <c r="AZ212" s="229">
        <v>-0.17119999999999999</v>
      </c>
      <c r="BA212" s="228">
        <v>89</v>
      </c>
      <c r="BB212" s="228">
        <v>113</v>
      </c>
      <c r="BC212" s="228">
        <v>-24</v>
      </c>
      <c r="BD212" s="229">
        <v>-0.21240000000000001</v>
      </c>
      <c r="BE212" s="228">
        <v>2</v>
      </c>
      <c r="BF212" s="228">
        <v>4</v>
      </c>
      <c r="BG212" s="228">
        <v>-2</v>
      </c>
      <c r="BH212" s="229">
        <v>-0.48720000000000002</v>
      </c>
      <c r="BI212" s="230">
        <v>1012</v>
      </c>
      <c r="BJ212" s="230">
        <v>2140</v>
      </c>
      <c r="BK212" s="230">
        <v>-1128</v>
      </c>
      <c r="BL212" s="229">
        <v>-0.52700000000000002</v>
      </c>
      <c r="BM212" s="228">
        <v>894</v>
      </c>
      <c r="BN212" s="230">
        <v>1325</v>
      </c>
      <c r="BO212" s="228">
        <v>-431</v>
      </c>
      <c r="BP212" s="229">
        <v>-0.32519999999999999</v>
      </c>
      <c r="BQ212" s="230">
        <v>2458</v>
      </c>
      <c r="BR212" s="230">
        <v>4137</v>
      </c>
      <c r="BS212" s="230">
        <v>-1680</v>
      </c>
      <c r="BT212" s="229">
        <v>-0.40600000000000003</v>
      </c>
      <c r="BU212" s="230">
        <v>945194</v>
      </c>
      <c r="BV212" s="230">
        <v>1291702</v>
      </c>
      <c r="BW212" s="230">
        <v>-346508</v>
      </c>
      <c r="BX212" s="229">
        <v>-0.26829999999999998</v>
      </c>
      <c r="BY212" s="230">
        <v>3026</v>
      </c>
      <c r="BZ212" s="230">
        <v>3006</v>
      </c>
      <c r="CA212" s="228">
        <v>21</v>
      </c>
      <c r="CB212" s="229">
        <v>6.7999999999999996E-3</v>
      </c>
      <c r="CC212" s="230">
        <v>2725</v>
      </c>
      <c r="CD212" s="230">
        <v>2729</v>
      </c>
      <c r="CE212" s="228">
        <v>-4</v>
      </c>
      <c r="CF212" s="229">
        <v>-1.6000000000000001E-3</v>
      </c>
      <c r="CG212" s="228">
        <v>288</v>
      </c>
      <c r="CH212" s="228">
        <v>264</v>
      </c>
      <c r="CI212" s="228">
        <v>24</v>
      </c>
      <c r="CJ212" s="229">
        <v>9.0399999999999994E-2</v>
      </c>
      <c r="CK212" s="228">
        <v>13</v>
      </c>
      <c r="CL212" s="228">
        <v>12</v>
      </c>
      <c r="CM212" s="228">
        <v>1</v>
      </c>
      <c r="CN212" s="229">
        <v>7.2700000000000001E-2</v>
      </c>
      <c r="CO212" s="230">
        <v>1057</v>
      </c>
      <c r="CP212" s="230">
        <v>1062</v>
      </c>
      <c r="CQ212" s="228">
        <v>-5</v>
      </c>
      <c r="CR212" s="229">
        <v>-5.1000000000000004E-3</v>
      </c>
      <c r="CS212" s="228">
        <v>990</v>
      </c>
      <c r="CT212" s="230">
        <v>1047</v>
      </c>
      <c r="CU212" s="228">
        <v>-57</v>
      </c>
      <c r="CV212" s="229">
        <v>-5.4699999999999999E-2</v>
      </c>
      <c r="CW212" s="230">
        <v>5073</v>
      </c>
      <c r="CX212" s="230">
        <v>5115</v>
      </c>
      <c r="CY212" s="228">
        <v>-42</v>
      </c>
      <c r="CZ212" s="229">
        <v>-8.2000000000000007E-3</v>
      </c>
      <c r="DA212" s="228">
        <v>25.96</v>
      </c>
      <c r="DB212" s="228">
        <v>25.65</v>
      </c>
      <c r="DC212" s="228">
        <v>0.31</v>
      </c>
      <c r="DD212" s="228">
        <v>0.31</v>
      </c>
      <c r="DE212" s="228">
        <v>33.049999999999997</v>
      </c>
      <c r="DF212" s="228">
        <v>33.119999999999997</v>
      </c>
      <c r="DG212" s="228">
        <v>-7.09</v>
      </c>
      <c r="DH212" s="228">
        <v>-7.0000000000000007E-2</v>
      </c>
      <c r="DI212" s="228">
        <v>24.55</v>
      </c>
      <c r="DJ212" s="228">
        <v>24.04</v>
      </c>
      <c r="DK212" s="228">
        <v>0.51</v>
      </c>
      <c r="DL212" s="228">
        <v>0.51</v>
      </c>
      <c r="DM212" s="228">
        <v>27.57</v>
      </c>
      <c r="DN212" s="228">
        <v>28.26</v>
      </c>
      <c r="DO212" s="228">
        <v>-0.69</v>
      </c>
      <c r="DP212" s="228">
        <v>-0.69</v>
      </c>
      <c r="DQ212" s="228">
        <v>0.94</v>
      </c>
      <c r="DR212" s="228">
        <v>0.99</v>
      </c>
      <c r="DS212" s="228">
        <v>-0.05</v>
      </c>
      <c r="DT212" s="229">
        <v>-5.0500000000000003E-2</v>
      </c>
      <c r="DU212" s="231">
        <v>3300</v>
      </c>
      <c r="DV212" s="231">
        <v>3000</v>
      </c>
      <c r="DW212" s="228">
        <v>0.88</v>
      </c>
      <c r="DX212" s="228">
        <v>0.62</v>
      </c>
      <c r="DY212" s="228">
        <v>0.26</v>
      </c>
      <c r="DZ212" s="229">
        <v>0.4194</v>
      </c>
      <c r="EA212" s="229">
        <v>9.9599999999999994E-2</v>
      </c>
      <c r="EB212" s="230">
        <v>863100</v>
      </c>
      <c r="EC212" s="229">
        <v>4.1000000000000003E-3</v>
      </c>
      <c r="ED212" s="229">
        <v>9.9599999999999994E-2</v>
      </c>
      <c r="EE212" s="228">
        <v>10.53</v>
      </c>
      <c r="EF212" s="229">
        <v>3.3E-3</v>
      </c>
      <c r="EG212" s="230">
        <v>671984</v>
      </c>
      <c r="EH212" s="230">
        <v>782304</v>
      </c>
      <c r="EI212" s="229">
        <v>-0.14099999999999999</v>
      </c>
      <c r="EJ212" s="229">
        <v>0.71089999999999998</v>
      </c>
      <c r="EK212" s="231">
        <v>1046.6099999999999</v>
      </c>
      <c r="EL212" s="228">
        <v>873.27</v>
      </c>
      <c r="EM212" s="228">
        <v>553.41999999999996</v>
      </c>
      <c r="EN212" s="228">
        <v>0</v>
      </c>
      <c r="EO212" s="231">
        <v>2473.3000000000002</v>
      </c>
      <c r="EP212" s="231">
        <v>4174.41</v>
      </c>
      <c r="EQ212" s="231">
        <v>-1701.11</v>
      </c>
      <c r="ER212" s="229">
        <v>-0.40749999999999997</v>
      </c>
      <c r="ES212" s="231">
        <v>1047.06</v>
      </c>
      <c r="ET212" s="228">
        <v>919.92</v>
      </c>
      <c r="EU212" s="231">
        <v>3027.77</v>
      </c>
      <c r="EV212" s="231">
        <v>47159260</v>
      </c>
      <c r="EW212" s="231">
        <v>4994.76</v>
      </c>
      <c r="EX212" s="231">
        <v>5052.34</v>
      </c>
      <c r="EY212" s="228">
        <v>-57.58</v>
      </c>
      <c r="EZ212" s="229">
        <v>-1.14E-2</v>
      </c>
      <c r="FA212" s="229">
        <v>0.33550000000000002</v>
      </c>
      <c r="FB212" s="227" t="s">
        <v>567</v>
      </c>
      <c r="FC212">
        <f t="shared" si="4"/>
        <v>0</v>
      </c>
    </row>
    <row r="213" spans="1:159" ht="17.25" thickBot="1" x14ac:dyDescent="0.3">
      <c r="A213" s="226">
        <v>45889</v>
      </c>
      <c r="B213" s="227" t="s">
        <v>157</v>
      </c>
      <c r="C213" s="227" t="s">
        <v>302</v>
      </c>
      <c r="D213" s="228">
        <v>50</v>
      </c>
      <c r="E213" s="228">
        <v>8</v>
      </c>
      <c r="F213" s="231">
        <v>12904</v>
      </c>
      <c r="G213" s="231">
        <v>12870</v>
      </c>
      <c r="H213" s="228">
        <v>34</v>
      </c>
      <c r="I213" s="229">
        <v>2.5999999999999999E-3</v>
      </c>
      <c r="J213" s="231">
        <v>12874</v>
      </c>
      <c r="K213" s="231">
        <v>12863</v>
      </c>
      <c r="L213" s="228">
        <v>11</v>
      </c>
      <c r="M213" s="229">
        <v>8.9999999999999998E-4</v>
      </c>
      <c r="N213" s="231">
        <v>12904</v>
      </c>
      <c r="O213" s="231">
        <v>12870</v>
      </c>
      <c r="P213" s="228">
        <v>34</v>
      </c>
      <c r="Q213" s="229">
        <v>2.5999999999999999E-3</v>
      </c>
      <c r="R213" s="231">
        <v>12980</v>
      </c>
      <c r="S213" s="231">
        <v>12941</v>
      </c>
      <c r="T213" s="228">
        <v>39</v>
      </c>
      <c r="U213" s="229">
        <v>3.0000000000000001E-3</v>
      </c>
      <c r="V213" s="231">
        <v>13045</v>
      </c>
      <c r="W213" s="231">
        <v>13001</v>
      </c>
      <c r="X213" s="228">
        <v>44</v>
      </c>
      <c r="Y213" s="229">
        <v>3.3999999999999998E-3</v>
      </c>
      <c r="Z213" s="228">
        <v>30</v>
      </c>
      <c r="AA213" s="228">
        <v>7</v>
      </c>
      <c r="AB213" s="228">
        <v>23</v>
      </c>
      <c r="AC213" s="229">
        <v>2.3E-3</v>
      </c>
      <c r="AD213" s="228">
        <v>30</v>
      </c>
      <c r="AE213" s="228">
        <v>7</v>
      </c>
      <c r="AF213" s="228">
        <v>23</v>
      </c>
      <c r="AG213" s="229">
        <v>2.3E-3</v>
      </c>
      <c r="AH213" s="228">
        <v>106</v>
      </c>
      <c r="AI213" s="228">
        <v>78</v>
      </c>
      <c r="AJ213" s="228">
        <v>28</v>
      </c>
      <c r="AK213" s="229">
        <v>8.2000000000000007E-3</v>
      </c>
      <c r="AL213" s="228">
        <v>171</v>
      </c>
      <c r="AM213" s="228">
        <v>138</v>
      </c>
      <c r="AN213" s="228">
        <v>33</v>
      </c>
      <c r="AO213" s="229">
        <v>1.3299999999999999E-2</v>
      </c>
      <c r="AP213" s="231">
        <v>12891.98</v>
      </c>
      <c r="AQ213" s="231">
        <v>12970.09</v>
      </c>
      <c r="AR213" s="228">
        <v>0</v>
      </c>
      <c r="AS213" s="228">
        <v>384</v>
      </c>
      <c r="AT213" s="228">
        <v>460</v>
      </c>
      <c r="AU213" s="228">
        <v>-76</v>
      </c>
      <c r="AV213" s="229">
        <v>-0.1656</v>
      </c>
      <c r="AW213" s="228">
        <v>314</v>
      </c>
      <c r="AX213" s="228">
        <v>436</v>
      </c>
      <c r="AY213" s="228">
        <v>-122</v>
      </c>
      <c r="AZ213" s="229">
        <v>-0.2797</v>
      </c>
      <c r="BA213" s="228">
        <v>65</v>
      </c>
      <c r="BB213" s="228">
        <v>20</v>
      </c>
      <c r="BC213" s="228">
        <v>45</v>
      </c>
      <c r="BD213" s="229">
        <v>2.2444000000000002</v>
      </c>
      <c r="BE213" s="228">
        <v>4</v>
      </c>
      <c r="BF213" s="228">
        <v>3</v>
      </c>
      <c r="BG213" s="228">
        <v>1</v>
      </c>
      <c r="BH213" s="229">
        <v>0.28000000000000003</v>
      </c>
      <c r="BI213" s="230">
        <v>2472</v>
      </c>
      <c r="BJ213" s="230">
        <v>3910</v>
      </c>
      <c r="BK213" s="230">
        <v>-1438</v>
      </c>
      <c r="BL213" s="229">
        <v>-0.36780000000000002</v>
      </c>
      <c r="BM213" s="230">
        <v>1136</v>
      </c>
      <c r="BN213" s="230">
        <v>1802</v>
      </c>
      <c r="BO213" s="228">
        <v>-666</v>
      </c>
      <c r="BP213" s="229">
        <v>-0.36959999999999998</v>
      </c>
      <c r="BQ213" s="230">
        <v>3991</v>
      </c>
      <c r="BR213" s="230">
        <v>6171</v>
      </c>
      <c r="BS213" s="230">
        <v>-2180</v>
      </c>
      <c r="BT213" s="229">
        <v>-0.3533</v>
      </c>
      <c r="BU213" s="230">
        <v>293908</v>
      </c>
      <c r="BV213" s="230">
        <v>354332</v>
      </c>
      <c r="BW213" s="230">
        <v>-60424</v>
      </c>
      <c r="BX213" s="229">
        <v>-0.17050000000000001</v>
      </c>
      <c r="BY213" s="230">
        <v>3102</v>
      </c>
      <c r="BZ213" s="230">
        <v>3115</v>
      </c>
      <c r="CA213" s="228">
        <v>-14</v>
      </c>
      <c r="CB213" s="229">
        <v>-4.4000000000000003E-3</v>
      </c>
      <c r="CC213" s="230">
        <v>2977</v>
      </c>
      <c r="CD213" s="230">
        <v>3031</v>
      </c>
      <c r="CE213" s="228">
        <v>-54</v>
      </c>
      <c r="CF213" s="229">
        <v>-1.77E-2</v>
      </c>
      <c r="CG213" s="228">
        <v>97</v>
      </c>
      <c r="CH213" s="228">
        <v>59</v>
      </c>
      <c r="CI213" s="228">
        <v>38</v>
      </c>
      <c r="CJ213" s="229">
        <v>0.63929999999999998</v>
      </c>
      <c r="CK213" s="228">
        <v>28</v>
      </c>
      <c r="CL213" s="228">
        <v>25</v>
      </c>
      <c r="CM213" s="228">
        <v>2</v>
      </c>
      <c r="CN213" s="229">
        <v>9.1600000000000001E-2</v>
      </c>
      <c r="CO213" s="230">
        <v>1036</v>
      </c>
      <c r="CP213" s="230">
        <v>1085</v>
      </c>
      <c r="CQ213" s="228">
        <v>-49</v>
      </c>
      <c r="CR213" s="229">
        <v>-4.4900000000000002E-2</v>
      </c>
      <c r="CS213" s="228">
        <v>697</v>
      </c>
      <c r="CT213" s="228">
        <v>654</v>
      </c>
      <c r="CU213" s="228">
        <v>43</v>
      </c>
      <c r="CV213" s="229">
        <v>6.5699999999999995E-2</v>
      </c>
      <c r="CW213" s="230">
        <v>4835</v>
      </c>
      <c r="CX213" s="230">
        <v>4855</v>
      </c>
      <c r="CY213" s="228">
        <v>-19</v>
      </c>
      <c r="CZ213" s="229">
        <v>-4.0000000000000001E-3</v>
      </c>
      <c r="DA213" s="228">
        <v>18.93</v>
      </c>
      <c r="DB213" s="228">
        <v>19.25</v>
      </c>
      <c r="DC213" s="228">
        <v>-0.32</v>
      </c>
      <c r="DD213" s="228">
        <v>-0.32</v>
      </c>
      <c r="DE213" s="228">
        <v>26.54</v>
      </c>
      <c r="DF213" s="228">
        <v>26.6</v>
      </c>
      <c r="DG213" s="228">
        <v>-7.61</v>
      </c>
      <c r="DH213" s="228">
        <v>-0.06</v>
      </c>
      <c r="DI213" s="228">
        <v>18.72</v>
      </c>
      <c r="DJ213" s="228">
        <v>18.940000000000001</v>
      </c>
      <c r="DK213" s="228">
        <v>-0.22</v>
      </c>
      <c r="DL213" s="228">
        <v>-0.22</v>
      </c>
      <c r="DM213" s="228">
        <v>19.39</v>
      </c>
      <c r="DN213" s="228">
        <v>19.899999999999999</v>
      </c>
      <c r="DO213" s="228">
        <v>-0.51</v>
      </c>
      <c r="DP213" s="228">
        <v>-0.51</v>
      </c>
      <c r="DQ213" s="228">
        <v>0.67</v>
      </c>
      <c r="DR213" s="228">
        <v>0.6</v>
      </c>
      <c r="DS213" s="228">
        <v>7.0000000000000007E-2</v>
      </c>
      <c r="DT213" s="229">
        <v>0.1167</v>
      </c>
      <c r="DU213" s="231">
        <v>13000</v>
      </c>
      <c r="DV213" s="231">
        <v>12800</v>
      </c>
      <c r="DW213" s="228">
        <v>0.46</v>
      </c>
      <c r="DX213" s="228">
        <v>0.46</v>
      </c>
      <c r="DY213" s="228">
        <v>0</v>
      </c>
      <c r="DZ213" s="229">
        <v>0</v>
      </c>
      <c r="EA213" s="229">
        <v>4.0099999999999997E-2</v>
      </c>
      <c r="EB213" s="230">
        <v>65400</v>
      </c>
      <c r="EC213" s="229">
        <v>5.8999999999999999E-3</v>
      </c>
      <c r="ED213" s="229">
        <v>4.0099999999999997E-2</v>
      </c>
      <c r="EE213" s="228">
        <v>78.11</v>
      </c>
      <c r="EF213" s="229">
        <v>6.1000000000000004E-3</v>
      </c>
      <c r="EG213" s="230">
        <v>205408</v>
      </c>
      <c r="EH213" s="230">
        <v>243155</v>
      </c>
      <c r="EI213" s="229">
        <v>-0.1552</v>
      </c>
      <c r="EJ213" s="229">
        <v>0.69889999999999997</v>
      </c>
      <c r="EK213" s="231">
        <v>2520.2399999999998</v>
      </c>
      <c r="EL213" s="231">
        <v>1120.82</v>
      </c>
      <c r="EM213" s="228">
        <v>383.65</v>
      </c>
      <c r="EN213" s="228">
        <v>0</v>
      </c>
      <c r="EO213" s="231">
        <v>4024.71</v>
      </c>
      <c r="EP213" s="231">
        <v>6177.12</v>
      </c>
      <c r="EQ213" s="231">
        <v>-2152.42</v>
      </c>
      <c r="ER213" s="229">
        <v>-0.34839999999999999</v>
      </c>
      <c r="ES213" s="231">
        <v>1043.04</v>
      </c>
      <c r="ET213" s="228">
        <v>659.38</v>
      </c>
      <c r="EU213" s="231">
        <v>3102.67</v>
      </c>
      <c r="EV213" s="231">
        <v>23924132</v>
      </c>
      <c r="EW213" s="231">
        <v>4805.09</v>
      </c>
      <c r="EX213" s="231">
        <v>4815.01</v>
      </c>
      <c r="EY213" s="228">
        <v>-9.92</v>
      </c>
      <c r="EZ213" s="229">
        <v>-2.0999999999999999E-3</v>
      </c>
      <c r="FA213" s="229">
        <v>0.15659999999999999</v>
      </c>
      <c r="FB213" s="227" t="s">
        <v>556</v>
      </c>
      <c r="FC213">
        <f t="shared" si="4"/>
        <v>0</v>
      </c>
    </row>
    <row r="214" spans="1:159" ht="17.25" thickBot="1" x14ac:dyDescent="0.3">
      <c r="A214" s="226">
        <v>45889</v>
      </c>
      <c r="B214" s="227" t="s">
        <v>172</v>
      </c>
      <c r="C214" s="227" t="s">
        <v>594</v>
      </c>
      <c r="D214" s="228">
        <v>4425</v>
      </c>
      <c r="E214" s="228">
        <v>8</v>
      </c>
      <c r="F214" s="228">
        <v>137.32</v>
      </c>
      <c r="G214" s="228">
        <v>137.97</v>
      </c>
      <c r="H214" s="228">
        <v>-0.65</v>
      </c>
      <c r="I214" s="229">
        <v>-4.7000000000000002E-3</v>
      </c>
      <c r="J214" s="228">
        <v>136.91</v>
      </c>
      <c r="K214" s="228">
        <v>137.53</v>
      </c>
      <c r="L214" s="228">
        <v>-0.62</v>
      </c>
      <c r="M214" s="229">
        <v>-4.4999999999999997E-3</v>
      </c>
      <c r="N214" s="228">
        <v>137.32</v>
      </c>
      <c r="O214" s="228">
        <v>137.97</v>
      </c>
      <c r="P214" s="228">
        <v>-0.65</v>
      </c>
      <c r="Q214" s="229">
        <v>-4.7000000000000002E-3</v>
      </c>
      <c r="R214" s="228">
        <v>138</v>
      </c>
      <c r="S214" s="228">
        <v>138.47999999999999</v>
      </c>
      <c r="T214" s="228">
        <v>-0.48</v>
      </c>
      <c r="U214" s="229">
        <v>-3.5000000000000001E-3</v>
      </c>
      <c r="V214" s="228">
        <v>139.02000000000001</v>
      </c>
      <c r="W214" s="228">
        <v>139.02000000000001</v>
      </c>
      <c r="X214" s="228">
        <v>0</v>
      </c>
      <c r="Y214" s="229">
        <v>0</v>
      </c>
      <c r="Z214" s="228">
        <v>0.41</v>
      </c>
      <c r="AA214" s="228">
        <v>0.44</v>
      </c>
      <c r="AB214" s="228">
        <v>-0.03</v>
      </c>
      <c r="AC214" s="229">
        <v>3.0000000000000001E-3</v>
      </c>
      <c r="AD214" s="228">
        <v>0.41</v>
      </c>
      <c r="AE214" s="228">
        <v>0.44</v>
      </c>
      <c r="AF214" s="228">
        <v>-0.03</v>
      </c>
      <c r="AG214" s="229">
        <v>3.0000000000000001E-3</v>
      </c>
      <c r="AH214" s="228">
        <v>1.0900000000000001</v>
      </c>
      <c r="AI214" s="228">
        <v>0.95</v>
      </c>
      <c r="AJ214" s="228">
        <v>0.14000000000000001</v>
      </c>
      <c r="AK214" s="229">
        <v>8.0000000000000002E-3</v>
      </c>
      <c r="AL214" s="228">
        <v>2.11</v>
      </c>
      <c r="AM214" s="228">
        <v>1.49</v>
      </c>
      <c r="AN214" s="228">
        <v>0.62</v>
      </c>
      <c r="AO214" s="229">
        <v>1.54E-2</v>
      </c>
      <c r="AP214" s="228">
        <v>137.71</v>
      </c>
      <c r="AQ214" s="228">
        <v>138.41999999999999</v>
      </c>
      <c r="AR214" s="228">
        <v>0</v>
      </c>
      <c r="AS214" s="228">
        <v>111</v>
      </c>
      <c r="AT214" s="228">
        <v>195</v>
      </c>
      <c r="AU214" s="228">
        <v>-84</v>
      </c>
      <c r="AV214" s="229">
        <v>-0.43209999999999998</v>
      </c>
      <c r="AW214" s="228">
        <v>84</v>
      </c>
      <c r="AX214" s="228">
        <v>163</v>
      </c>
      <c r="AY214" s="228">
        <v>-79</v>
      </c>
      <c r="AZ214" s="229">
        <v>-0.48380000000000001</v>
      </c>
      <c r="BA214" s="228">
        <v>26</v>
      </c>
      <c r="BB214" s="228">
        <v>31</v>
      </c>
      <c r="BC214" s="228">
        <v>-5</v>
      </c>
      <c r="BD214" s="229">
        <v>-0.161</v>
      </c>
      <c r="BE214" s="228">
        <v>1</v>
      </c>
      <c r="BF214" s="228">
        <v>1</v>
      </c>
      <c r="BG214" s="228">
        <v>0</v>
      </c>
      <c r="BH214" s="229">
        <v>-0.33329999999999999</v>
      </c>
      <c r="BI214" s="228">
        <v>245</v>
      </c>
      <c r="BJ214" s="228">
        <v>337</v>
      </c>
      <c r="BK214" s="228">
        <v>-92</v>
      </c>
      <c r="BL214" s="229">
        <v>-0.27329999999999999</v>
      </c>
      <c r="BM214" s="228">
        <v>146</v>
      </c>
      <c r="BN214" s="228">
        <v>144</v>
      </c>
      <c r="BO214" s="228">
        <v>2</v>
      </c>
      <c r="BP214" s="229">
        <v>1.35E-2</v>
      </c>
      <c r="BQ214" s="228">
        <v>502</v>
      </c>
      <c r="BR214" s="228">
        <v>676</v>
      </c>
      <c r="BS214" s="228">
        <v>-174</v>
      </c>
      <c r="BT214" s="229">
        <v>-0.25790000000000002</v>
      </c>
      <c r="BU214" s="230">
        <v>7225572</v>
      </c>
      <c r="BV214" s="230">
        <v>8403752</v>
      </c>
      <c r="BW214" s="230">
        <v>-1178180</v>
      </c>
      <c r="BX214" s="229">
        <v>-0.14019999999999999</v>
      </c>
      <c r="BY214" s="230">
        <v>1227</v>
      </c>
      <c r="BZ214" s="230">
        <v>1227</v>
      </c>
      <c r="CA214" s="228">
        <v>0</v>
      </c>
      <c r="CB214" s="229">
        <v>-2.9999999999999997E-4</v>
      </c>
      <c r="CC214" s="230">
        <v>1143</v>
      </c>
      <c r="CD214" s="230">
        <v>1150</v>
      </c>
      <c r="CE214" s="228">
        <v>-7</v>
      </c>
      <c r="CF214" s="229">
        <v>-6.0000000000000001E-3</v>
      </c>
      <c r="CG214" s="228">
        <v>79</v>
      </c>
      <c r="CH214" s="228">
        <v>73</v>
      </c>
      <c r="CI214" s="228">
        <v>7</v>
      </c>
      <c r="CJ214" s="229">
        <v>8.9499999999999996E-2</v>
      </c>
      <c r="CK214" s="228">
        <v>4</v>
      </c>
      <c r="CL214" s="228">
        <v>4</v>
      </c>
      <c r="CM214" s="228">
        <v>0</v>
      </c>
      <c r="CN214" s="229">
        <v>0</v>
      </c>
      <c r="CO214" s="228">
        <v>412</v>
      </c>
      <c r="CP214" s="228">
        <v>422</v>
      </c>
      <c r="CQ214" s="228">
        <v>-10</v>
      </c>
      <c r="CR214" s="229">
        <v>-2.4E-2</v>
      </c>
      <c r="CS214" s="228">
        <v>301</v>
      </c>
      <c r="CT214" s="228">
        <v>288</v>
      </c>
      <c r="CU214" s="228">
        <v>13</v>
      </c>
      <c r="CV214" s="229">
        <v>4.6300000000000001E-2</v>
      </c>
      <c r="CW214" s="230">
        <v>1940</v>
      </c>
      <c r="CX214" s="230">
        <v>1937</v>
      </c>
      <c r="CY214" s="228">
        <v>3</v>
      </c>
      <c r="CZ214" s="229">
        <v>1.4E-3</v>
      </c>
      <c r="DA214" s="228">
        <v>27.64</v>
      </c>
      <c r="DB214" s="228">
        <v>26.58</v>
      </c>
      <c r="DC214" s="228">
        <v>1.06</v>
      </c>
      <c r="DD214" s="228">
        <v>1.06</v>
      </c>
      <c r="DE214" s="228">
        <v>44.87</v>
      </c>
      <c r="DF214" s="228">
        <v>44.97</v>
      </c>
      <c r="DG214" s="228">
        <v>-17.23</v>
      </c>
      <c r="DH214" s="228">
        <v>-0.1</v>
      </c>
      <c r="DI214" s="228">
        <v>28.23</v>
      </c>
      <c r="DJ214" s="228">
        <v>26.29</v>
      </c>
      <c r="DK214" s="228">
        <v>1.94</v>
      </c>
      <c r="DL214" s="228">
        <v>1.94</v>
      </c>
      <c r="DM214" s="228">
        <v>26.66</v>
      </c>
      <c r="DN214" s="228">
        <v>27.24</v>
      </c>
      <c r="DO214" s="228">
        <v>-0.57999999999999996</v>
      </c>
      <c r="DP214" s="228">
        <v>-0.57999999999999996</v>
      </c>
      <c r="DQ214" s="228">
        <v>0.73</v>
      </c>
      <c r="DR214" s="228">
        <v>0.68</v>
      </c>
      <c r="DS214" s="228">
        <v>0.05</v>
      </c>
      <c r="DT214" s="229">
        <v>7.3499999999999996E-2</v>
      </c>
      <c r="DU214" s="228">
        <v>135</v>
      </c>
      <c r="DV214" s="228">
        <v>135</v>
      </c>
      <c r="DW214" s="228">
        <v>0.6</v>
      </c>
      <c r="DX214" s="228">
        <v>0.43</v>
      </c>
      <c r="DY214" s="228">
        <v>0.17</v>
      </c>
      <c r="DZ214" s="229">
        <v>0.39529999999999998</v>
      </c>
      <c r="EA214" s="229">
        <v>6.8099999999999994E-2</v>
      </c>
      <c r="EB214" s="230">
        <v>5615325</v>
      </c>
      <c r="EC214" s="229">
        <v>5.0000000000000001E-3</v>
      </c>
      <c r="ED214" s="229">
        <v>6.8099999999999994E-2</v>
      </c>
      <c r="EE214" s="228">
        <v>0.71</v>
      </c>
      <c r="EF214" s="229">
        <v>5.1999999999999998E-3</v>
      </c>
      <c r="EG214" s="230">
        <v>3155967</v>
      </c>
      <c r="EH214" s="230">
        <v>3783918</v>
      </c>
      <c r="EI214" s="229">
        <v>-0.16600000000000001</v>
      </c>
      <c r="EJ214" s="229">
        <v>0.43680000000000002</v>
      </c>
      <c r="EK214" s="228">
        <v>252.68</v>
      </c>
      <c r="EL214" s="228">
        <v>146.19999999999999</v>
      </c>
      <c r="EM214" s="228">
        <v>111.29</v>
      </c>
      <c r="EN214" s="228">
        <v>0</v>
      </c>
      <c r="EO214" s="228">
        <v>510.16</v>
      </c>
      <c r="EP214" s="228">
        <v>685.04</v>
      </c>
      <c r="EQ214" s="228">
        <v>-174.88</v>
      </c>
      <c r="ER214" s="229">
        <v>-0.25530000000000003</v>
      </c>
      <c r="ES214" s="228">
        <v>422.22</v>
      </c>
      <c r="ET214" s="228">
        <v>293.62</v>
      </c>
      <c r="EU214" s="231">
        <v>1227.33</v>
      </c>
      <c r="EV214" s="231">
        <v>385388951</v>
      </c>
      <c r="EW214" s="231">
        <v>1943.17</v>
      </c>
      <c r="EX214" s="231">
        <v>1944.03</v>
      </c>
      <c r="EY214" s="228">
        <v>-0.86</v>
      </c>
      <c r="EZ214" s="229">
        <v>-4.0000000000000002E-4</v>
      </c>
      <c r="FA214" s="229">
        <v>0.36659999999999998</v>
      </c>
      <c r="FB214" s="227" t="s">
        <v>568</v>
      </c>
      <c r="FC214">
        <f t="shared" si="4"/>
        <v>0</v>
      </c>
    </row>
    <row r="215" spans="1:159" ht="17.25" thickBot="1" x14ac:dyDescent="0.3">
      <c r="A215" s="226">
        <v>45889</v>
      </c>
      <c r="B215" s="227" t="s">
        <v>168</v>
      </c>
      <c r="C215" s="227" t="s">
        <v>569</v>
      </c>
      <c r="D215" s="228">
        <v>400</v>
      </c>
      <c r="E215" s="228">
        <v>8</v>
      </c>
      <c r="F215" s="231">
        <v>1337.6</v>
      </c>
      <c r="G215" s="231">
        <v>1332.1</v>
      </c>
      <c r="H215" s="228">
        <v>5.5</v>
      </c>
      <c r="I215" s="229">
        <v>4.1000000000000003E-3</v>
      </c>
      <c r="J215" s="231">
        <v>1335.9</v>
      </c>
      <c r="K215" s="231">
        <v>1328.6</v>
      </c>
      <c r="L215" s="228">
        <v>7.3</v>
      </c>
      <c r="M215" s="229">
        <v>5.4999999999999997E-3</v>
      </c>
      <c r="N215" s="231">
        <v>1337.6</v>
      </c>
      <c r="O215" s="231">
        <v>1332.1</v>
      </c>
      <c r="P215" s="228">
        <v>5.5</v>
      </c>
      <c r="Q215" s="229">
        <v>4.1000000000000003E-3</v>
      </c>
      <c r="R215" s="231">
        <v>1345.2</v>
      </c>
      <c r="S215" s="231">
        <v>1339.5</v>
      </c>
      <c r="T215" s="228">
        <v>5.7</v>
      </c>
      <c r="U215" s="229">
        <v>4.3E-3</v>
      </c>
      <c r="V215" s="231">
        <v>1351.2</v>
      </c>
      <c r="W215" s="231">
        <v>1346.4</v>
      </c>
      <c r="X215" s="228">
        <v>4.8</v>
      </c>
      <c r="Y215" s="229">
        <v>3.5999999999999999E-3</v>
      </c>
      <c r="Z215" s="228">
        <v>1.7</v>
      </c>
      <c r="AA215" s="228">
        <v>3.5</v>
      </c>
      <c r="AB215" s="228">
        <v>-1.8</v>
      </c>
      <c r="AC215" s="229">
        <v>1.2999999999999999E-3</v>
      </c>
      <c r="AD215" s="228">
        <v>1.7</v>
      </c>
      <c r="AE215" s="228">
        <v>3.5</v>
      </c>
      <c r="AF215" s="228">
        <v>-1.8</v>
      </c>
      <c r="AG215" s="229">
        <v>1.2999999999999999E-3</v>
      </c>
      <c r="AH215" s="228">
        <v>9.3000000000000007</v>
      </c>
      <c r="AI215" s="228">
        <v>10.9</v>
      </c>
      <c r="AJ215" s="228">
        <v>-1.6</v>
      </c>
      <c r="AK215" s="229">
        <v>7.0000000000000001E-3</v>
      </c>
      <c r="AL215" s="228">
        <v>15.3</v>
      </c>
      <c r="AM215" s="228">
        <v>17.8</v>
      </c>
      <c r="AN215" s="228">
        <v>-2.5</v>
      </c>
      <c r="AO215" s="229">
        <v>1.15E-2</v>
      </c>
      <c r="AP215" s="231">
        <v>1337.93</v>
      </c>
      <c r="AQ215" s="231">
        <v>1346.09</v>
      </c>
      <c r="AR215" s="228">
        <v>0</v>
      </c>
      <c r="AS215" s="228">
        <v>254</v>
      </c>
      <c r="AT215" s="228">
        <v>456</v>
      </c>
      <c r="AU215" s="228">
        <v>-202</v>
      </c>
      <c r="AV215" s="229">
        <v>-0.44350000000000001</v>
      </c>
      <c r="AW215" s="228">
        <v>208</v>
      </c>
      <c r="AX215" s="228">
        <v>411</v>
      </c>
      <c r="AY215" s="228">
        <v>-204</v>
      </c>
      <c r="AZ215" s="229">
        <v>-0.49509999999999998</v>
      </c>
      <c r="BA215" s="228">
        <v>43</v>
      </c>
      <c r="BB215" s="228">
        <v>42</v>
      </c>
      <c r="BC215" s="228">
        <v>1</v>
      </c>
      <c r="BD215" s="229">
        <v>1.52E-2</v>
      </c>
      <c r="BE215" s="228">
        <v>3</v>
      </c>
      <c r="BF215" s="228">
        <v>3</v>
      </c>
      <c r="BG215" s="228">
        <v>1</v>
      </c>
      <c r="BH215" s="229">
        <v>0.25</v>
      </c>
      <c r="BI215" s="228">
        <v>792</v>
      </c>
      <c r="BJ215" s="228">
        <v>673</v>
      </c>
      <c r="BK215" s="228">
        <v>119</v>
      </c>
      <c r="BL215" s="229">
        <v>0.17649999999999999</v>
      </c>
      <c r="BM215" s="228">
        <v>392</v>
      </c>
      <c r="BN215" s="228">
        <v>252</v>
      </c>
      <c r="BO215" s="228">
        <v>139</v>
      </c>
      <c r="BP215" s="229">
        <v>0.55179999999999996</v>
      </c>
      <c r="BQ215" s="230">
        <v>1437</v>
      </c>
      <c r="BR215" s="230">
        <v>1381</v>
      </c>
      <c r="BS215" s="228">
        <v>56</v>
      </c>
      <c r="BT215" s="229">
        <v>4.0300000000000002E-2</v>
      </c>
      <c r="BU215" s="230">
        <v>1106644</v>
      </c>
      <c r="BV215" s="230">
        <v>1868534</v>
      </c>
      <c r="BW215" s="230">
        <v>-761890</v>
      </c>
      <c r="BX215" s="229">
        <v>-0.40770000000000001</v>
      </c>
      <c r="BY215" s="230">
        <v>1921</v>
      </c>
      <c r="BZ215" s="230">
        <v>1937</v>
      </c>
      <c r="CA215" s="228">
        <v>-17</v>
      </c>
      <c r="CB215" s="229">
        <v>-8.6E-3</v>
      </c>
      <c r="CC215" s="230">
        <v>1806</v>
      </c>
      <c r="CD215" s="230">
        <v>1840</v>
      </c>
      <c r="CE215" s="228">
        <v>-35</v>
      </c>
      <c r="CF215" s="229">
        <v>-1.8800000000000001E-2</v>
      </c>
      <c r="CG215" s="228">
        <v>103</v>
      </c>
      <c r="CH215" s="228">
        <v>85</v>
      </c>
      <c r="CI215" s="228">
        <v>18</v>
      </c>
      <c r="CJ215" s="229">
        <v>0.20699999999999999</v>
      </c>
      <c r="CK215" s="228">
        <v>12</v>
      </c>
      <c r="CL215" s="228">
        <v>12</v>
      </c>
      <c r="CM215" s="228">
        <v>0</v>
      </c>
      <c r="CN215" s="229">
        <v>2.29E-2</v>
      </c>
      <c r="CO215" s="228">
        <v>500</v>
      </c>
      <c r="CP215" s="228">
        <v>509</v>
      </c>
      <c r="CQ215" s="228">
        <v>-9</v>
      </c>
      <c r="CR215" s="229">
        <v>-1.83E-2</v>
      </c>
      <c r="CS215" s="228">
        <v>390</v>
      </c>
      <c r="CT215" s="228">
        <v>391</v>
      </c>
      <c r="CU215" s="228">
        <v>-1</v>
      </c>
      <c r="CV215" s="229">
        <v>-2.8999999999999998E-3</v>
      </c>
      <c r="CW215" s="230">
        <v>2811</v>
      </c>
      <c r="CX215" s="230">
        <v>2838</v>
      </c>
      <c r="CY215" s="228">
        <v>-27</v>
      </c>
      <c r="CZ215" s="229">
        <v>-9.5999999999999992E-3</v>
      </c>
      <c r="DA215" s="228">
        <v>22.06</v>
      </c>
      <c r="DB215" s="228">
        <v>21.31</v>
      </c>
      <c r="DC215" s="228">
        <v>0.75</v>
      </c>
      <c r="DD215" s="228">
        <v>0.75</v>
      </c>
      <c r="DE215" s="228">
        <v>29.36</v>
      </c>
      <c r="DF215" s="228">
        <v>29.43</v>
      </c>
      <c r="DG215" s="228">
        <v>-7.3</v>
      </c>
      <c r="DH215" s="228">
        <v>-7.0000000000000007E-2</v>
      </c>
      <c r="DI215" s="228">
        <v>21.8</v>
      </c>
      <c r="DJ215" s="228">
        <v>21.03</v>
      </c>
      <c r="DK215" s="228">
        <v>0.77</v>
      </c>
      <c r="DL215" s="228">
        <v>0.77</v>
      </c>
      <c r="DM215" s="228">
        <v>22.59</v>
      </c>
      <c r="DN215" s="228">
        <v>22.05</v>
      </c>
      <c r="DO215" s="228">
        <v>0.54</v>
      </c>
      <c r="DP215" s="228">
        <v>0.54</v>
      </c>
      <c r="DQ215" s="228">
        <v>0.78</v>
      </c>
      <c r="DR215" s="228">
        <v>0.77</v>
      </c>
      <c r="DS215" s="228">
        <v>0.01</v>
      </c>
      <c r="DT215" s="229">
        <v>1.2999999999999999E-2</v>
      </c>
      <c r="DU215" s="231">
        <v>1400</v>
      </c>
      <c r="DV215" s="231">
        <v>1320</v>
      </c>
      <c r="DW215" s="228">
        <v>0.49</v>
      </c>
      <c r="DX215" s="228">
        <v>0.38</v>
      </c>
      <c r="DY215" s="228">
        <v>0.11</v>
      </c>
      <c r="DZ215" s="229">
        <v>0.28949999999999998</v>
      </c>
      <c r="EA215" s="229">
        <v>5.9799999999999999E-2</v>
      </c>
      <c r="EB215" s="230">
        <v>724800</v>
      </c>
      <c r="EC215" s="229">
        <v>5.7000000000000002E-3</v>
      </c>
      <c r="ED215" s="229">
        <v>5.9799999999999999E-2</v>
      </c>
      <c r="EE215" s="228">
        <v>8.16</v>
      </c>
      <c r="EF215" s="229">
        <v>6.1000000000000004E-3</v>
      </c>
      <c r="EG215" s="230">
        <v>663423</v>
      </c>
      <c r="EH215" s="230">
        <v>1355131</v>
      </c>
      <c r="EI215" s="229">
        <v>-0.51039999999999996</v>
      </c>
      <c r="EJ215" s="229">
        <v>0.59950000000000003</v>
      </c>
      <c r="EK215" s="228">
        <v>812.73</v>
      </c>
      <c r="EL215" s="228">
        <v>386.47</v>
      </c>
      <c r="EM215" s="228">
        <v>254.29</v>
      </c>
      <c r="EN215" s="228">
        <v>0</v>
      </c>
      <c r="EO215" s="231">
        <v>1453.48</v>
      </c>
      <c r="EP215" s="231">
        <v>1382.71</v>
      </c>
      <c r="EQ215" s="228">
        <v>70.77</v>
      </c>
      <c r="ER215" s="229">
        <v>5.1200000000000002E-2</v>
      </c>
      <c r="ES215" s="228">
        <v>516.20000000000005</v>
      </c>
      <c r="ET215" s="228">
        <v>393.54</v>
      </c>
      <c r="EU215" s="231">
        <v>1921.29</v>
      </c>
      <c r="EV215" s="231">
        <v>63025888</v>
      </c>
      <c r="EW215" s="231">
        <v>2831.03</v>
      </c>
      <c r="EX215" s="231">
        <v>2848.72</v>
      </c>
      <c r="EY215" s="228">
        <v>-17.690000000000001</v>
      </c>
      <c r="EZ215" s="229">
        <v>-6.1999999999999998E-3</v>
      </c>
      <c r="FA215" s="229">
        <v>0.33339999999999997</v>
      </c>
      <c r="FB215" s="227" t="s">
        <v>556</v>
      </c>
      <c r="FC215">
        <f t="shared" si="4"/>
        <v>0</v>
      </c>
    </row>
    <row r="216" spans="1:159" ht="17.25" thickBot="1" x14ac:dyDescent="0.3">
      <c r="A216" s="226">
        <v>45889</v>
      </c>
      <c r="B216" s="227" t="s">
        <v>162</v>
      </c>
      <c r="C216" s="227" t="s">
        <v>676</v>
      </c>
      <c r="D216" s="228">
        <v>550</v>
      </c>
      <c r="E216" s="228">
        <v>8</v>
      </c>
      <c r="F216" s="231">
        <v>1239.4000000000001</v>
      </c>
      <c r="G216" s="231">
        <v>1224.0999999999999</v>
      </c>
      <c r="H216" s="228">
        <v>15.3</v>
      </c>
      <c r="I216" s="229">
        <v>1.2500000000000001E-2</v>
      </c>
      <c r="J216" s="231">
        <v>1234.8</v>
      </c>
      <c r="K216" s="231">
        <v>1219.9000000000001</v>
      </c>
      <c r="L216" s="228">
        <v>14.9</v>
      </c>
      <c r="M216" s="229">
        <v>1.2200000000000001E-2</v>
      </c>
      <c r="N216" s="231">
        <v>1239.4000000000001</v>
      </c>
      <c r="O216" s="231">
        <v>1224.0999999999999</v>
      </c>
      <c r="P216" s="228">
        <v>15.3</v>
      </c>
      <c r="Q216" s="229">
        <v>1.2500000000000001E-2</v>
      </c>
      <c r="R216" s="231">
        <v>1242.5999999999999</v>
      </c>
      <c r="S216" s="231">
        <v>1228.0999999999999</v>
      </c>
      <c r="T216" s="228">
        <v>14.5</v>
      </c>
      <c r="U216" s="229">
        <v>1.18E-2</v>
      </c>
      <c r="V216" s="231">
        <v>1252</v>
      </c>
      <c r="W216" s="231">
        <v>1231.2</v>
      </c>
      <c r="X216" s="228">
        <v>20.8</v>
      </c>
      <c r="Y216" s="229">
        <v>1.6899999999999998E-2</v>
      </c>
      <c r="Z216" s="228">
        <v>4.5999999999999996</v>
      </c>
      <c r="AA216" s="228">
        <v>4.2</v>
      </c>
      <c r="AB216" s="228">
        <v>0.4</v>
      </c>
      <c r="AC216" s="229">
        <v>3.7000000000000002E-3</v>
      </c>
      <c r="AD216" s="228">
        <v>4.5999999999999996</v>
      </c>
      <c r="AE216" s="228">
        <v>4.2</v>
      </c>
      <c r="AF216" s="228">
        <v>0.4</v>
      </c>
      <c r="AG216" s="229">
        <v>3.7000000000000002E-3</v>
      </c>
      <c r="AH216" s="228">
        <v>7.8</v>
      </c>
      <c r="AI216" s="228">
        <v>8.1999999999999993</v>
      </c>
      <c r="AJ216" s="228">
        <v>-0.4</v>
      </c>
      <c r="AK216" s="229">
        <v>6.3E-3</v>
      </c>
      <c r="AL216" s="228">
        <v>17.2</v>
      </c>
      <c r="AM216" s="228">
        <v>11.3</v>
      </c>
      <c r="AN216" s="228">
        <v>5.9</v>
      </c>
      <c r="AO216" s="229">
        <v>1.3899999999999999E-2</v>
      </c>
      <c r="AP216" s="231">
        <v>1232.42</v>
      </c>
      <c r="AQ216" s="231">
        <v>1237.25</v>
      </c>
      <c r="AR216" s="228">
        <v>0</v>
      </c>
      <c r="AS216" s="228">
        <v>125</v>
      </c>
      <c r="AT216" s="228">
        <v>180</v>
      </c>
      <c r="AU216" s="228">
        <v>-56</v>
      </c>
      <c r="AV216" s="229">
        <v>-0.30809999999999998</v>
      </c>
      <c r="AW216" s="228">
        <v>114</v>
      </c>
      <c r="AX216" s="228">
        <v>169</v>
      </c>
      <c r="AY216" s="228">
        <v>-55</v>
      </c>
      <c r="AZ216" s="229">
        <v>-0.32569999999999999</v>
      </c>
      <c r="BA216" s="228">
        <v>10</v>
      </c>
      <c r="BB216" s="228">
        <v>11</v>
      </c>
      <c r="BC216" s="228">
        <v>0</v>
      </c>
      <c r="BD216" s="229">
        <v>-1.9400000000000001E-2</v>
      </c>
      <c r="BE216" s="228">
        <v>0</v>
      </c>
      <c r="BF216" s="228">
        <v>1</v>
      </c>
      <c r="BG216" s="228">
        <v>0</v>
      </c>
      <c r="BH216" s="229">
        <v>-0.44440000000000002</v>
      </c>
      <c r="BI216" s="228">
        <v>345</v>
      </c>
      <c r="BJ216" s="228">
        <v>327</v>
      </c>
      <c r="BK216" s="228">
        <v>18</v>
      </c>
      <c r="BL216" s="229">
        <v>5.6099999999999997E-2</v>
      </c>
      <c r="BM216" s="228">
        <v>125</v>
      </c>
      <c r="BN216" s="228">
        <v>189</v>
      </c>
      <c r="BO216" s="228">
        <v>-64</v>
      </c>
      <c r="BP216" s="229">
        <v>-0.33939999999999998</v>
      </c>
      <c r="BQ216" s="228">
        <v>595</v>
      </c>
      <c r="BR216" s="228">
        <v>696</v>
      </c>
      <c r="BS216" s="228">
        <v>-101</v>
      </c>
      <c r="BT216" s="229">
        <v>-0.14549999999999999</v>
      </c>
      <c r="BU216" s="230">
        <v>901838</v>
      </c>
      <c r="BV216" s="230">
        <v>1838831</v>
      </c>
      <c r="BW216" s="230">
        <v>-936993</v>
      </c>
      <c r="BX216" s="229">
        <v>-0.50960000000000005</v>
      </c>
      <c r="BY216" s="228">
        <v>490</v>
      </c>
      <c r="BZ216" s="228">
        <v>460</v>
      </c>
      <c r="CA216" s="228">
        <v>30</v>
      </c>
      <c r="CB216" s="229">
        <v>6.5199999999999994E-2</v>
      </c>
      <c r="CC216" s="228">
        <v>473</v>
      </c>
      <c r="CD216" s="228">
        <v>443</v>
      </c>
      <c r="CE216" s="228">
        <v>30</v>
      </c>
      <c r="CF216" s="229">
        <v>6.8699999999999997E-2</v>
      </c>
      <c r="CG216" s="228">
        <v>16</v>
      </c>
      <c r="CH216" s="228">
        <v>17</v>
      </c>
      <c r="CI216" s="228">
        <v>0</v>
      </c>
      <c r="CJ216" s="229">
        <v>-2.46E-2</v>
      </c>
      <c r="CK216" s="228">
        <v>1</v>
      </c>
      <c r="CL216" s="228">
        <v>1</v>
      </c>
      <c r="CM216" s="228">
        <v>0</v>
      </c>
      <c r="CN216" s="229">
        <v>0</v>
      </c>
      <c r="CO216" s="228">
        <v>178</v>
      </c>
      <c r="CP216" s="228">
        <v>177</v>
      </c>
      <c r="CQ216" s="228">
        <v>1</v>
      </c>
      <c r="CR216" s="229">
        <v>5.4000000000000003E-3</v>
      </c>
      <c r="CS216" s="228">
        <v>172</v>
      </c>
      <c r="CT216" s="228">
        <v>173</v>
      </c>
      <c r="CU216" s="228">
        <v>-1</v>
      </c>
      <c r="CV216" s="229">
        <v>-8.3000000000000001E-3</v>
      </c>
      <c r="CW216" s="228">
        <v>840</v>
      </c>
      <c r="CX216" s="228">
        <v>810</v>
      </c>
      <c r="CY216" s="228">
        <v>30</v>
      </c>
      <c r="CZ216" s="229">
        <v>3.6400000000000002E-2</v>
      </c>
      <c r="DA216" s="228">
        <v>32.049999999999997</v>
      </c>
      <c r="DB216" s="228">
        <v>33.299999999999997</v>
      </c>
      <c r="DC216" s="228">
        <v>-1.25</v>
      </c>
      <c r="DD216" s="228">
        <v>-1.25</v>
      </c>
      <c r="DE216" s="228">
        <v>43.87</v>
      </c>
      <c r="DF216" s="228">
        <v>43.95</v>
      </c>
      <c r="DG216" s="228">
        <v>-11.82</v>
      </c>
      <c r="DH216" s="228">
        <v>-0.08</v>
      </c>
      <c r="DI216" s="228">
        <v>30.62</v>
      </c>
      <c r="DJ216" s="228">
        <v>31.91</v>
      </c>
      <c r="DK216" s="228">
        <v>-1.29</v>
      </c>
      <c r="DL216" s="228">
        <v>-1.29</v>
      </c>
      <c r="DM216" s="228">
        <v>36.01</v>
      </c>
      <c r="DN216" s="228">
        <v>35.700000000000003</v>
      </c>
      <c r="DO216" s="228">
        <v>0.31</v>
      </c>
      <c r="DP216" s="228">
        <v>0.31</v>
      </c>
      <c r="DQ216" s="228">
        <v>0.96</v>
      </c>
      <c r="DR216" s="228">
        <v>0.98</v>
      </c>
      <c r="DS216" s="228">
        <v>-0.02</v>
      </c>
      <c r="DT216" s="229">
        <v>-2.0400000000000001E-2</v>
      </c>
      <c r="DU216" s="231">
        <v>1240</v>
      </c>
      <c r="DV216" s="231">
        <v>1000</v>
      </c>
      <c r="DW216" s="228">
        <v>0.36</v>
      </c>
      <c r="DX216" s="228">
        <v>0.57999999999999996</v>
      </c>
      <c r="DY216" s="228">
        <v>-0.22</v>
      </c>
      <c r="DZ216" s="229">
        <v>-0.37930000000000003</v>
      </c>
      <c r="EA216" s="229">
        <v>3.4599999999999999E-2</v>
      </c>
      <c r="EB216" s="230">
        <v>140250</v>
      </c>
      <c r="EC216" s="229">
        <v>2.5999999999999999E-3</v>
      </c>
      <c r="ED216" s="229">
        <v>3.4599999999999999E-2</v>
      </c>
      <c r="EE216" s="228">
        <v>4.83</v>
      </c>
      <c r="EF216" s="229">
        <v>3.8999999999999998E-3</v>
      </c>
      <c r="EG216" s="230">
        <v>468626</v>
      </c>
      <c r="EH216" s="230">
        <v>1198566</v>
      </c>
      <c r="EI216" s="229">
        <v>-0.60899999999999999</v>
      </c>
      <c r="EJ216" s="229">
        <v>0.51959999999999995</v>
      </c>
      <c r="EK216" s="228">
        <v>354.09</v>
      </c>
      <c r="EL216" s="228">
        <v>119.3</v>
      </c>
      <c r="EM216" s="228">
        <v>124.09</v>
      </c>
      <c r="EN216" s="228">
        <v>0</v>
      </c>
      <c r="EO216" s="228">
        <v>597.48</v>
      </c>
      <c r="EP216" s="228">
        <v>691.25</v>
      </c>
      <c r="EQ216" s="228">
        <v>-93.77</v>
      </c>
      <c r="ER216" s="229">
        <v>-0.13569999999999999</v>
      </c>
      <c r="ES216" s="228">
        <v>172.43</v>
      </c>
      <c r="ET216" s="228">
        <v>151.97</v>
      </c>
      <c r="EU216" s="228">
        <v>489.97</v>
      </c>
      <c r="EV216" s="231">
        <v>35953552</v>
      </c>
      <c r="EW216" s="228">
        <v>814.37</v>
      </c>
      <c r="EX216" s="228">
        <v>777.61</v>
      </c>
      <c r="EY216" s="228">
        <v>36.76</v>
      </c>
      <c r="EZ216" s="229">
        <v>4.7300000000000002E-2</v>
      </c>
      <c r="FA216" s="229">
        <v>0.18840000000000001</v>
      </c>
      <c r="FB216" s="227" t="s">
        <v>555</v>
      </c>
      <c r="FC216">
        <f t="shared" si="4"/>
        <v>0</v>
      </c>
    </row>
    <row r="217" spans="1:159" ht="17.25" thickBot="1" x14ac:dyDescent="0.3">
      <c r="A217" s="226">
        <v>45889</v>
      </c>
      <c r="B217" s="227" t="s">
        <v>498</v>
      </c>
      <c r="C217" s="227" t="s">
        <v>303</v>
      </c>
      <c r="D217" s="228">
        <v>1355</v>
      </c>
      <c r="E217" s="228">
        <v>8</v>
      </c>
      <c r="F217" s="228">
        <v>711.5</v>
      </c>
      <c r="G217" s="228">
        <v>707.1</v>
      </c>
      <c r="H217" s="228">
        <v>4.4000000000000004</v>
      </c>
      <c r="I217" s="229">
        <v>6.1999999999999998E-3</v>
      </c>
      <c r="J217" s="228">
        <v>713.45</v>
      </c>
      <c r="K217" s="228">
        <v>707.3</v>
      </c>
      <c r="L217" s="228">
        <v>6.15</v>
      </c>
      <c r="M217" s="229">
        <v>8.6999999999999994E-3</v>
      </c>
      <c r="N217" s="228">
        <v>711.5</v>
      </c>
      <c r="O217" s="228">
        <v>707.1</v>
      </c>
      <c r="P217" s="228">
        <v>4.4000000000000004</v>
      </c>
      <c r="Q217" s="229">
        <v>6.1999999999999998E-3</v>
      </c>
      <c r="R217" s="228">
        <v>712.8</v>
      </c>
      <c r="S217" s="228">
        <v>707.7</v>
      </c>
      <c r="T217" s="228">
        <v>5.0999999999999996</v>
      </c>
      <c r="U217" s="229">
        <v>7.1999999999999998E-3</v>
      </c>
      <c r="V217" s="228">
        <v>715.2</v>
      </c>
      <c r="W217" s="228">
        <v>710.25</v>
      </c>
      <c r="X217" s="228">
        <v>4.95</v>
      </c>
      <c r="Y217" s="229">
        <v>7.0000000000000001E-3</v>
      </c>
      <c r="Z217" s="228">
        <v>-1.95</v>
      </c>
      <c r="AA217" s="228">
        <v>-0.2</v>
      </c>
      <c r="AB217" s="228">
        <v>-1.75</v>
      </c>
      <c r="AC217" s="229">
        <v>-2.7000000000000001E-3</v>
      </c>
      <c r="AD217" s="228">
        <v>-1.95</v>
      </c>
      <c r="AE217" s="228">
        <v>-0.2</v>
      </c>
      <c r="AF217" s="228">
        <v>-1.75</v>
      </c>
      <c r="AG217" s="229">
        <v>-2.7000000000000001E-3</v>
      </c>
      <c r="AH217" s="228">
        <v>-0.65</v>
      </c>
      <c r="AI217" s="228">
        <v>0.4</v>
      </c>
      <c r="AJ217" s="228">
        <v>-1.05</v>
      </c>
      <c r="AK217" s="229">
        <v>-8.9999999999999998E-4</v>
      </c>
      <c r="AL217" s="228">
        <v>1.75</v>
      </c>
      <c r="AM217" s="228">
        <v>2.95</v>
      </c>
      <c r="AN217" s="228">
        <v>-1.2</v>
      </c>
      <c r="AO217" s="229">
        <v>2.5000000000000001E-3</v>
      </c>
      <c r="AP217" s="228">
        <v>715.88</v>
      </c>
      <c r="AQ217" s="228">
        <v>718.33</v>
      </c>
      <c r="AR217" s="228">
        <v>0</v>
      </c>
      <c r="AS217" s="228">
        <v>670</v>
      </c>
      <c r="AT217" s="228">
        <v>346</v>
      </c>
      <c r="AU217" s="228">
        <v>324</v>
      </c>
      <c r="AV217" s="229">
        <v>0.93559999999999999</v>
      </c>
      <c r="AW217" s="228">
        <v>523</v>
      </c>
      <c r="AX217" s="228">
        <v>289</v>
      </c>
      <c r="AY217" s="228">
        <v>234</v>
      </c>
      <c r="AZ217" s="229">
        <v>0.80840000000000001</v>
      </c>
      <c r="BA217" s="228">
        <v>143</v>
      </c>
      <c r="BB217" s="228">
        <v>55</v>
      </c>
      <c r="BC217" s="228">
        <v>88</v>
      </c>
      <c r="BD217" s="229">
        <v>1.6055999999999999</v>
      </c>
      <c r="BE217" s="228">
        <v>4</v>
      </c>
      <c r="BF217" s="228">
        <v>2</v>
      </c>
      <c r="BG217" s="228">
        <v>2</v>
      </c>
      <c r="BH217" s="229">
        <v>1</v>
      </c>
      <c r="BI217" s="230">
        <v>2938</v>
      </c>
      <c r="BJ217" s="230">
        <v>1818</v>
      </c>
      <c r="BK217" s="230">
        <v>1120</v>
      </c>
      <c r="BL217" s="229">
        <v>0.61609999999999998</v>
      </c>
      <c r="BM217" s="230">
        <v>1252</v>
      </c>
      <c r="BN217" s="228">
        <v>630</v>
      </c>
      <c r="BO217" s="228">
        <v>622</v>
      </c>
      <c r="BP217" s="229">
        <v>0.98850000000000005</v>
      </c>
      <c r="BQ217" s="230">
        <v>4859</v>
      </c>
      <c r="BR217" s="230">
        <v>2793</v>
      </c>
      <c r="BS217" s="230">
        <v>2066</v>
      </c>
      <c r="BT217" s="229">
        <v>0.73960000000000004</v>
      </c>
      <c r="BU217" s="230">
        <v>3171406</v>
      </c>
      <c r="BV217" s="230">
        <v>2104009</v>
      </c>
      <c r="BW217" s="230">
        <v>1067397</v>
      </c>
      <c r="BX217" s="229">
        <v>0.50729999999999997</v>
      </c>
      <c r="BY217" s="230">
        <v>2224</v>
      </c>
      <c r="BZ217" s="230">
        <v>2228</v>
      </c>
      <c r="CA217" s="228">
        <v>-3</v>
      </c>
      <c r="CB217" s="229">
        <v>-1.6000000000000001E-3</v>
      </c>
      <c r="CC217" s="230">
        <v>2029</v>
      </c>
      <c r="CD217" s="230">
        <v>2097</v>
      </c>
      <c r="CE217" s="228">
        <v>-67</v>
      </c>
      <c r="CF217" s="229">
        <v>-3.2099999999999997E-2</v>
      </c>
      <c r="CG217" s="228">
        <v>191</v>
      </c>
      <c r="CH217" s="228">
        <v>128</v>
      </c>
      <c r="CI217" s="228">
        <v>63</v>
      </c>
      <c r="CJ217" s="229">
        <v>0.49320000000000003</v>
      </c>
      <c r="CK217" s="228">
        <v>4</v>
      </c>
      <c r="CL217" s="228">
        <v>3</v>
      </c>
      <c r="CM217" s="228">
        <v>1</v>
      </c>
      <c r="CN217" s="229">
        <v>0.18179999999999999</v>
      </c>
      <c r="CO217" s="230">
        <v>1046</v>
      </c>
      <c r="CP217" s="230">
        <v>1017</v>
      </c>
      <c r="CQ217" s="228">
        <v>29</v>
      </c>
      <c r="CR217" s="229">
        <v>2.8500000000000001E-2</v>
      </c>
      <c r="CS217" s="228">
        <v>609</v>
      </c>
      <c r="CT217" s="228">
        <v>586</v>
      </c>
      <c r="CU217" s="228">
        <v>23</v>
      </c>
      <c r="CV217" s="229">
        <v>3.9E-2</v>
      </c>
      <c r="CW217" s="230">
        <v>3879</v>
      </c>
      <c r="CX217" s="230">
        <v>3831</v>
      </c>
      <c r="CY217" s="228">
        <v>48</v>
      </c>
      <c r="CZ217" s="229">
        <v>1.26E-2</v>
      </c>
      <c r="DA217" s="228">
        <v>27.17</v>
      </c>
      <c r="DB217" s="228">
        <v>27.08</v>
      </c>
      <c r="DC217" s="228">
        <v>0.09</v>
      </c>
      <c r="DD217" s="228">
        <v>0.09</v>
      </c>
      <c r="DE217" s="228">
        <v>35.57</v>
      </c>
      <c r="DF217" s="228">
        <v>35.65</v>
      </c>
      <c r="DG217" s="228">
        <v>-8.4</v>
      </c>
      <c r="DH217" s="228">
        <v>-0.08</v>
      </c>
      <c r="DI217" s="228">
        <v>27.11</v>
      </c>
      <c r="DJ217" s="228">
        <v>26.73</v>
      </c>
      <c r="DK217" s="228">
        <v>0.38</v>
      </c>
      <c r="DL217" s="228">
        <v>0.38</v>
      </c>
      <c r="DM217" s="228">
        <v>27.3</v>
      </c>
      <c r="DN217" s="228">
        <v>28.1</v>
      </c>
      <c r="DO217" s="228">
        <v>-0.8</v>
      </c>
      <c r="DP217" s="228">
        <v>-0.8</v>
      </c>
      <c r="DQ217" s="228">
        <v>0.57999999999999996</v>
      </c>
      <c r="DR217" s="228">
        <v>0.57999999999999996</v>
      </c>
      <c r="DS217" s="228">
        <v>0</v>
      </c>
      <c r="DT217" s="229">
        <v>0</v>
      </c>
      <c r="DU217" s="228">
        <v>800</v>
      </c>
      <c r="DV217" s="228">
        <v>700</v>
      </c>
      <c r="DW217" s="228">
        <v>0.43</v>
      </c>
      <c r="DX217" s="228">
        <v>0.35</v>
      </c>
      <c r="DY217" s="228">
        <v>0.08</v>
      </c>
      <c r="DZ217" s="229">
        <v>0.2286</v>
      </c>
      <c r="EA217" s="229">
        <v>8.7599999999999997E-2</v>
      </c>
      <c r="EB217" s="230">
        <v>1844155</v>
      </c>
      <c r="EC217" s="229">
        <v>1.8E-3</v>
      </c>
      <c r="ED217" s="229">
        <v>8.7599999999999997E-2</v>
      </c>
      <c r="EE217" s="228">
        <v>2.4500000000000002</v>
      </c>
      <c r="EF217" s="229">
        <v>3.3999999999999998E-3</v>
      </c>
      <c r="EG217" s="230">
        <v>1355441</v>
      </c>
      <c r="EH217" s="230">
        <v>864593</v>
      </c>
      <c r="EI217" s="229">
        <v>0.56769999999999998</v>
      </c>
      <c r="EJ217" s="229">
        <v>0.4274</v>
      </c>
      <c r="EK217" s="231">
        <v>3054.16</v>
      </c>
      <c r="EL217" s="231">
        <v>1236.22</v>
      </c>
      <c r="EM217" s="228">
        <v>674.19</v>
      </c>
      <c r="EN217" s="228">
        <v>0</v>
      </c>
      <c r="EO217" s="231">
        <v>4964.57</v>
      </c>
      <c r="EP217" s="231">
        <v>2805.73</v>
      </c>
      <c r="EQ217" s="231">
        <v>2158.84</v>
      </c>
      <c r="ER217" s="229">
        <v>0.76939999999999997</v>
      </c>
      <c r="ES217" s="231">
        <v>1087.6600000000001</v>
      </c>
      <c r="ET217" s="228">
        <v>579.51</v>
      </c>
      <c r="EU217" s="231">
        <v>2224.6999999999998</v>
      </c>
      <c r="EV217" s="231">
        <v>112304777</v>
      </c>
      <c r="EW217" s="231">
        <v>3891.87</v>
      </c>
      <c r="EX217" s="231">
        <v>3821.98</v>
      </c>
      <c r="EY217" s="228">
        <v>69.89</v>
      </c>
      <c r="EZ217" s="229">
        <v>1.83E-2</v>
      </c>
      <c r="FA217" s="229">
        <v>0.48549999999999999</v>
      </c>
      <c r="FB217" s="227" t="s">
        <v>556</v>
      </c>
      <c r="FC217">
        <f t="shared" si="4"/>
        <v>0</v>
      </c>
    </row>
    <row r="218" spans="1:159" ht="17.25" thickBot="1" x14ac:dyDescent="0.3">
      <c r="A218" s="226">
        <v>45889</v>
      </c>
      <c r="B218" s="227" t="s">
        <v>168</v>
      </c>
      <c r="C218" s="227" t="s">
        <v>587</v>
      </c>
      <c r="D218" s="228">
        <v>1025</v>
      </c>
      <c r="E218" s="228">
        <v>8</v>
      </c>
      <c r="F218" s="228">
        <v>518.15</v>
      </c>
      <c r="G218" s="228">
        <v>507.1</v>
      </c>
      <c r="H218" s="228">
        <v>11.05</v>
      </c>
      <c r="I218" s="229">
        <v>2.18E-2</v>
      </c>
      <c r="J218" s="228">
        <v>517.65</v>
      </c>
      <c r="K218" s="228">
        <v>505.4</v>
      </c>
      <c r="L218" s="228">
        <v>12.25</v>
      </c>
      <c r="M218" s="229">
        <v>2.4199999999999999E-2</v>
      </c>
      <c r="N218" s="228">
        <v>518.15</v>
      </c>
      <c r="O218" s="228">
        <v>507.1</v>
      </c>
      <c r="P218" s="228">
        <v>11.05</v>
      </c>
      <c r="Q218" s="229">
        <v>2.18E-2</v>
      </c>
      <c r="R218" s="228">
        <v>521.20000000000005</v>
      </c>
      <c r="S218" s="228">
        <v>509.8</v>
      </c>
      <c r="T218" s="228">
        <v>11.4</v>
      </c>
      <c r="U218" s="229">
        <v>2.24E-2</v>
      </c>
      <c r="V218" s="228">
        <v>523.75</v>
      </c>
      <c r="W218" s="228">
        <v>512.20000000000005</v>
      </c>
      <c r="X218" s="228">
        <v>11.55</v>
      </c>
      <c r="Y218" s="229">
        <v>2.2499999999999999E-2</v>
      </c>
      <c r="Z218" s="228">
        <v>0.5</v>
      </c>
      <c r="AA218" s="228">
        <v>1.7</v>
      </c>
      <c r="AB218" s="228">
        <v>-1.2</v>
      </c>
      <c r="AC218" s="229">
        <v>1E-3</v>
      </c>
      <c r="AD218" s="228">
        <v>0.5</v>
      </c>
      <c r="AE218" s="228">
        <v>1.7</v>
      </c>
      <c r="AF218" s="228">
        <v>-1.2</v>
      </c>
      <c r="AG218" s="229">
        <v>1E-3</v>
      </c>
      <c r="AH218" s="228">
        <v>3.55</v>
      </c>
      <c r="AI218" s="228">
        <v>4.4000000000000004</v>
      </c>
      <c r="AJ218" s="228">
        <v>-0.85</v>
      </c>
      <c r="AK218" s="229">
        <v>6.8999999999999999E-3</v>
      </c>
      <c r="AL218" s="228">
        <v>6.1</v>
      </c>
      <c r="AM218" s="228">
        <v>6.8</v>
      </c>
      <c r="AN218" s="228">
        <v>-0.7</v>
      </c>
      <c r="AO218" s="229">
        <v>1.18E-2</v>
      </c>
      <c r="AP218" s="228">
        <v>517.37</v>
      </c>
      <c r="AQ218" s="228">
        <v>519.12</v>
      </c>
      <c r="AR218" s="228">
        <v>0</v>
      </c>
      <c r="AS218" s="228">
        <v>396</v>
      </c>
      <c r="AT218" s="228">
        <v>326</v>
      </c>
      <c r="AU218" s="228">
        <v>70</v>
      </c>
      <c r="AV218" s="229">
        <v>0.21479999999999999</v>
      </c>
      <c r="AW218" s="228">
        <v>319</v>
      </c>
      <c r="AX218" s="228">
        <v>252</v>
      </c>
      <c r="AY218" s="228">
        <v>68</v>
      </c>
      <c r="AZ218" s="229">
        <v>0.26869999999999999</v>
      </c>
      <c r="BA218" s="228">
        <v>70</v>
      </c>
      <c r="BB218" s="228">
        <v>45</v>
      </c>
      <c r="BC218" s="228">
        <v>25</v>
      </c>
      <c r="BD218" s="229">
        <v>0.56869999999999998</v>
      </c>
      <c r="BE218" s="228">
        <v>6</v>
      </c>
      <c r="BF218" s="228">
        <v>29</v>
      </c>
      <c r="BG218" s="228">
        <v>-23</v>
      </c>
      <c r="BH218" s="229">
        <v>-0.79269999999999996</v>
      </c>
      <c r="BI218" s="230">
        <v>2149</v>
      </c>
      <c r="BJ218" s="228">
        <v>905</v>
      </c>
      <c r="BK218" s="230">
        <v>1244</v>
      </c>
      <c r="BL218" s="229">
        <v>1.3737999999999999</v>
      </c>
      <c r="BM218" s="228">
        <v>620</v>
      </c>
      <c r="BN218" s="228">
        <v>277</v>
      </c>
      <c r="BO218" s="228">
        <v>343</v>
      </c>
      <c r="BP218" s="229">
        <v>1.2403</v>
      </c>
      <c r="BQ218" s="230">
        <v>3165</v>
      </c>
      <c r="BR218" s="230">
        <v>1508</v>
      </c>
      <c r="BS218" s="230">
        <v>1657</v>
      </c>
      <c r="BT218" s="229">
        <v>1.0988</v>
      </c>
      <c r="BU218" s="230">
        <v>6828299</v>
      </c>
      <c r="BV218" s="230">
        <v>13269915</v>
      </c>
      <c r="BW218" s="230">
        <v>-6441616</v>
      </c>
      <c r="BX218" s="229">
        <v>-0.4854</v>
      </c>
      <c r="BY218" s="230">
        <v>1787</v>
      </c>
      <c r="BZ218" s="230">
        <v>1804</v>
      </c>
      <c r="CA218" s="228">
        <v>-17</v>
      </c>
      <c r="CB218" s="229">
        <v>-9.4999999999999998E-3</v>
      </c>
      <c r="CC218" s="230">
        <v>1620</v>
      </c>
      <c r="CD218" s="230">
        <v>1669</v>
      </c>
      <c r="CE218" s="228">
        <v>-48</v>
      </c>
      <c r="CF218" s="229">
        <v>-2.8899999999999999E-2</v>
      </c>
      <c r="CG218" s="228">
        <v>132</v>
      </c>
      <c r="CH218" s="228">
        <v>102</v>
      </c>
      <c r="CI218" s="228">
        <v>30</v>
      </c>
      <c r="CJ218" s="229">
        <v>0.2944</v>
      </c>
      <c r="CK218" s="228">
        <v>34</v>
      </c>
      <c r="CL218" s="228">
        <v>33</v>
      </c>
      <c r="CM218" s="228">
        <v>1</v>
      </c>
      <c r="CN218" s="229">
        <v>2.7099999999999999E-2</v>
      </c>
      <c r="CO218" s="228">
        <v>840</v>
      </c>
      <c r="CP218" s="228">
        <v>740</v>
      </c>
      <c r="CQ218" s="228">
        <v>100</v>
      </c>
      <c r="CR218" s="229">
        <v>0.13500000000000001</v>
      </c>
      <c r="CS218" s="228">
        <v>421</v>
      </c>
      <c r="CT218" s="228">
        <v>398</v>
      </c>
      <c r="CU218" s="228">
        <v>23</v>
      </c>
      <c r="CV218" s="229">
        <v>5.8099999999999999E-2</v>
      </c>
      <c r="CW218" s="230">
        <v>3048</v>
      </c>
      <c r="CX218" s="230">
        <v>2942</v>
      </c>
      <c r="CY218" s="228">
        <v>106</v>
      </c>
      <c r="CZ218" s="229">
        <v>3.5999999999999997E-2</v>
      </c>
      <c r="DA218" s="228">
        <v>32.01</v>
      </c>
      <c r="DB218" s="228">
        <v>29.53</v>
      </c>
      <c r="DC218" s="228">
        <v>2.48</v>
      </c>
      <c r="DD218" s="228">
        <v>2.48</v>
      </c>
      <c r="DE218" s="228">
        <v>40.14</v>
      </c>
      <c r="DF218" s="228">
        <v>40.11</v>
      </c>
      <c r="DG218" s="228">
        <v>-8.1300000000000008</v>
      </c>
      <c r="DH218" s="228">
        <v>0.03</v>
      </c>
      <c r="DI218" s="228">
        <v>32.380000000000003</v>
      </c>
      <c r="DJ218" s="228">
        <v>29.97</v>
      </c>
      <c r="DK218" s="228">
        <v>2.41</v>
      </c>
      <c r="DL218" s="228">
        <v>2.41</v>
      </c>
      <c r="DM218" s="228">
        <v>30.71</v>
      </c>
      <c r="DN218" s="228">
        <v>28.07</v>
      </c>
      <c r="DO218" s="228">
        <v>2.64</v>
      </c>
      <c r="DP218" s="228">
        <v>2.64</v>
      </c>
      <c r="DQ218" s="228">
        <v>0.5</v>
      </c>
      <c r="DR218" s="228">
        <v>0.54</v>
      </c>
      <c r="DS218" s="228">
        <v>-0.04</v>
      </c>
      <c r="DT218" s="229">
        <v>-7.4099999999999999E-2</v>
      </c>
      <c r="DU218" s="228">
        <v>520</v>
      </c>
      <c r="DV218" s="228">
        <v>500</v>
      </c>
      <c r="DW218" s="228">
        <v>0.28999999999999998</v>
      </c>
      <c r="DX218" s="228">
        <v>0.31</v>
      </c>
      <c r="DY218" s="228">
        <v>-0.02</v>
      </c>
      <c r="DZ218" s="229">
        <v>-6.4500000000000002E-2</v>
      </c>
      <c r="EA218" s="229">
        <v>9.3200000000000005E-2</v>
      </c>
      <c r="EB218" s="230">
        <v>2616825</v>
      </c>
      <c r="EC218" s="229">
        <v>5.8999999999999999E-3</v>
      </c>
      <c r="ED218" s="229">
        <v>9.3200000000000005E-2</v>
      </c>
      <c r="EE218" s="228">
        <v>1.75</v>
      </c>
      <c r="EF218" s="229">
        <v>3.3999999999999998E-3</v>
      </c>
      <c r="EG218" s="230">
        <v>3308579</v>
      </c>
      <c r="EH218" s="230">
        <v>9746914</v>
      </c>
      <c r="EI218" s="229">
        <v>-0.66059999999999997</v>
      </c>
      <c r="EJ218" s="229">
        <v>0.48449999999999999</v>
      </c>
      <c r="EK218" s="231">
        <v>2222.62</v>
      </c>
      <c r="EL218" s="228">
        <v>611.58000000000004</v>
      </c>
      <c r="EM218" s="228">
        <v>395.53</v>
      </c>
      <c r="EN218" s="228">
        <v>0</v>
      </c>
      <c r="EO218" s="231">
        <v>3229.73</v>
      </c>
      <c r="EP218" s="231">
        <v>1504.63</v>
      </c>
      <c r="EQ218" s="231">
        <v>1725.11</v>
      </c>
      <c r="ER218" s="229">
        <v>1.1465000000000001</v>
      </c>
      <c r="ES218" s="228">
        <v>854.9</v>
      </c>
      <c r="ET218" s="228">
        <v>400</v>
      </c>
      <c r="EU218" s="231">
        <v>1788.15</v>
      </c>
      <c r="EV218" s="231">
        <v>271739119</v>
      </c>
      <c r="EW218" s="231">
        <v>3043.05</v>
      </c>
      <c r="EX218" s="231">
        <v>2893.06</v>
      </c>
      <c r="EY218" s="228">
        <v>149.99</v>
      </c>
      <c r="EZ218" s="229">
        <v>5.1799999999999999E-2</v>
      </c>
      <c r="FA218" s="229">
        <v>0.2165</v>
      </c>
      <c r="FB218" s="227" t="s">
        <v>556</v>
      </c>
      <c r="FC218">
        <f t="shared" si="4"/>
        <v>0</v>
      </c>
    </row>
    <row r="219" spans="1:159" ht="17.25" thickBot="1" x14ac:dyDescent="0.3">
      <c r="A219" s="226">
        <v>45889</v>
      </c>
      <c r="B219" s="227" t="s">
        <v>227</v>
      </c>
      <c r="C219" s="227" t="s">
        <v>304</v>
      </c>
      <c r="D219" s="228">
        <v>1150</v>
      </c>
      <c r="E219" s="228">
        <v>8</v>
      </c>
      <c r="F219" s="228">
        <v>443.95</v>
      </c>
      <c r="G219" s="228">
        <v>448.9</v>
      </c>
      <c r="H219" s="228">
        <v>-4.95</v>
      </c>
      <c r="I219" s="229">
        <v>-1.0999999999999999E-2</v>
      </c>
      <c r="J219" s="228">
        <v>445.5</v>
      </c>
      <c r="K219" s="228">
        <v>450.2</v>
      </c>
      <c r="L219" s="228">
        <v>-4.7</v>
      </c>
      <c r="M219" s="229">
        <v>-1.04E-2</v>
      </c>
      <c r="N219" s="228">
        <v>443.95</v>
      </c>
      <c r="O219" s="228">
        <v>448.9</v>
      </c>
      <c r="P219" s="228">
        <v>-4.95</v>
      </c>
      <c r="Q219" s="229">
        <v>-1.0999999999999999E-2</v>
      </c>
      <c r="R219" s="228">
        <v>446.4</v>
      </c>
      <c r="S219" s="228">
        <v>451.3</v>
      </c>
      <c r="T219" s="228">
        <v>-4.9000000000000004</v>
      </c>
      <c r="U219" s="229">
        <v>-1.09E-2</v>
      </c>
      <c r="V219" s="228">
        <v>448.15</v>
      </c>
      <c r="W219" s="228">
        <v>453.2</v>
      </c>
      <c r="X219" s="228">
        <v>-5.05</v>
      </c>
      <c r="Y219" s="229">
        <v>-1.11E-2</v>
      </c>
      <c r="Z219" s="228">
        <v>-1.55</v>
      </c>
      <c r="AA219" s="228">
        <v>-1.3</v>
      </c>
      <c r="AB219" s="228">
        <v>-0.25</v>
      </c>
      <c r="AC219" s="229">
        <v>-3.5000000000000001E-3</v>
      </c>
      <c r="AD219" s="228">
        <v>-1.55</v>
      </c>
      <c r="AE219" s="228">
        <v>-1.3</v>
      </c>
      <c r="AF219" s="228">
        <v>-0.25</v>
      </c>
      <c r="AG219" s="229">
        <v>-3.5000000000000001E-3</v>
      </c>
      <c r="AH219" s="228">
        <v>0.9</v>
      </c>
      <c r="AI219" s="228">
        <v>1.1000000000000001</v>
      </c>
      <c r="AJ219" s="228">
        <v>-0.2</v>
      </c>
      <c r="AK219" s="229">
        <v>2E-3</v>
      </c>
      <c r="AL219" s="228">
        <v>2.65</v>
      </c>
      <c r="AM219" s="228">
        <v>3</v>
      </c>
      <c r="AN219" s="228">
        <v>-0.35</v>
      </c>
      <c r="AO219" s="229">
        <v>5.8999999999999999E-3</v>
      </c>
      <c r="AP219" s="228">
        <v>442.75</v>
      </c>
      <c r="AQ219" s="228">
        <v>443.8</v>
      </c>
      <c r="AR219" s="228">
        <v>0</v>
      </c>
      <c r="AS219" s="230">
        <v>1711</v>
      </c>
      <c r="AT219" s="228">
        <v>503</v>
      </c>
      <c r="AU219" s="230">
        <v>1207</v>
      </c>
      <c r="AV219" s="229">
        <v>2.3975</v>
      </c>
      <c r="AW219" s="230">
        <v>1466</v>
      </c>
      <c r="AX219" s="228">
        <v>431</v>
      </c>
      <c r="AY219" s="230">
        <v>1035</v>
      </c>
      <c r="AZ219" s="229">
        <v>2.3997000000000002</v>
      </c>
      <c r="BA219" s="228">
        <v>228</v>
      </c>
      <c r="BB219" s="228">
        <v>66</v>
      </c>
      <c r="BC219" s="228">
        <v>162</v>
      </c>
      <c r="BD219" s="229">
        <v>2.4601999999999999</v>
      </c>
      <c r="BE219" s="228">
        <v>17</v>
      </c>
      <c r="BF219" s="228">
        <v>6</v>
      </c>
      <c r="BG219" s="228">
        <v>10</v>
      </c>
      <c r="BH219" s="229">
        <v>1.6</v>
      </c>
      <c r="BI219" s="230">
        <v>6101</v>
      </c>
      <c r="BJ219" s="230">
        <v>2348</v>
      </c>
      <c r="BK219" s="230">
        <v>3752</v>
      </c>
      <c r="BL219" s="229">
        <v>1.5980000000000001</v>
      </c>
      <c r="BM219" s="230">
        <v>5477</v>
      </c>
      <c r="BN219" s="230">
        <v>1070</v>
      </c>
      <c r="BO219" s="230">
        <v>4407</v>
      </c>
      <c r="BP219" s="229">
        <v>4.1172000000000004</v>
      </c>
      <c r="BQ219" s="230">
        <v>13288</v>
      </c>
      <c r="BR219" s="230">
        <v>3922</v>
      </c>
      <c r="BS219" s="230">
        <v>9366</v>
      </c>
      <c r="BT219" s="229">
        <v>2.3881000000000001</v>
      </c>
      <c r="BU219" s="230">
        <v>20425373</v>
      </c>
      <c r="BV219" s="230">
        <v>12612436</v>
      </c>
      <c r="BW219" s="230">
        <v>7812937</v>
      </c>
      <c r="BX219" s="229">
        <v>0.61950000000000005</v>
      </c>
      <c r="BY219" s="230">
        <v>3382</v>
      </c>
      <c r="BZ219" s="230">
        <v>3428</v>
      </c>
      <c r="CA219" s="228">
        <v>-46</v>
      </c>
      <c r="CB219" s="229">
        <v>-1.34E-2</v>
      </c>
      <c r="CC219" s="230">
        <v>3166</v>
      </c>
      <c r="CD219" s="230">
        <v>3282</v>
      </c>
      <c r="CE219" s="228">
        <v>-116</v>
      </c>
      <c r="CF219" s="229">
        <v>-3.5400000000000001E-2</v>
      </c>
      <c r="CG219" s="228">
        <v>205</v>
      </c>
      <c r="CH219" s="228">
        <v>137</v>
      </c>
      <c r="CI219" s="228">
        <v>69</v>
      </c>
      <c r="CJ219" s="229">
        <v>0.50129999999999997</v>
      </c>
      <c r="CK219" s="228">
        <v>11</v>
      </c>
      <c r="CL219" s="228">
        <v>10</v>
      </c>
      <c r="CM219" s="228">
        <v>1</v>
      </c>
      <c r="CN219" s="229">
        <v>0.14799999999999999</v>
      </c>
      <c r="CO219" s="230">
        <v>1227</v>
      </c>
      <c r="CP219" s="228">
        <v>974</v>
      </c>
      <c r="CQ219" s="228">
        <v>253</v>
      </c>
      <c r="CR219" s="229">
        <v>0.25929999999999997</v>
      </c>
      <c r="CS219" s="230">
        <v>1151</v>
      </c>
      <c r="CT219" s="228">
        <v>952</v>
      </c>
      <c r="CU219" s="228">
        <v>200</v>
      </c>
      <c r="CV219" s="229">
        <v>0.21010000000000001</v>
      </c>
      <c r="CW219" s="230">
        <v>5761</v>
      </c>
      <c r="CX219" s="230">
        <v>5354</v>
      </c>
      <c r="CY219" s="228">
        <v>407</v>
      </c>
      <c r="CZ219" s="229">
        <v>7.5899999999999995E-2</v>
      </c>
      <c r="DA219" s="228">
        <v>33.950000000000003</v>
      </c>
      <c r="DB219" s="228">
        <v>28.59</v>
      </c>
      <c r="DC219" s="228">
        <v>5.36</v>
      </c>
      <c r="DD219" s="228">
        <v>5.36</v>
      </c>
      <c r="DE219" s="228">
        <v>40.020000000000003</v>
      </c>
      <c r="DF219" s="228">
        <v>40.090000000000003</v>
      </c>
      <c r="DG219" s="228">
        <v>-6.07</v>
      </c>
      <c r="DH219" s="228">
        <v>-7.0000000000000007E-2</v>
      </c>
      <c r="DI219" s="228">
        <v>31.89</v>
      </c>
      <c r="DJ219" s="228">
        <v>27.84</v>
      </c>
      <c r="DK219" s="228">
        <v>4.05</v>
      </c>
      <c r="DL219" s="228">
        <v>4.05</v>
      </c>
      <c r="DM219" s="228">
        <v>36.25</v>
      </c>
      <c r="DN219" s="228">
        <v>30.22</v>
      </c>
      <c r="DO219" s="228">
        <v>6.03</v>
      </c>
      <c r="DP219" s="228">
        <v>6.03</v>
      </c>
      <c r="DQ219" s="228">
        <v>0.94</v>
      </c>
      <c r="DR219" s="228">
        <v>0.98</v>
      </c>
      <c r="DS219" s="228">
        <v>-0.04</v>
      </c>
      <c r="DT219" s="229">
        <v>-4.0800000000000003E-2</v>
      </c>
      <c r="DU219" s="228">
        <v>450</v>
      </c>
      <c r="DV219" s="228">
        <v>440</v>
      </c>
      <c r="DW219" s="228">
        <v>0.9</v>
      </c>
      <c r="DX219" s="228">
        <v>0.46</v>
      </c>
      <c r="DY219" s="228">
        <v>0.44</v>
      </c>
      <c r="DZ219" s="229">
        <v>0.95650000000000002</v>
      </c>
      <c r="EA219" s="229">
        <v>6.4100000000000004E-2</v>
      </c>
      <c r="EB219" s="230">
        <v>3308550</v>
      </c>
      <c r="EC219" s="229">
        <v>5.4999999999999997E-3</v>
      </c>
      <c r="ED219" s="229">
        <v>6.4100000000000004E-2</v>
      </c>
      <c r="EE219" s="228">
        <v>1.05</v>
      </c>
      <c r="EF219" s="229">
        <v>2.3999999999999998E-3</v>
      </c>
      <c r="EG219" s="230">
        <v>7821847</v>
      </c>
      <c r="EH219" s="230">
        <v>5935582</v>
      </c>
      <c r="EI219" s="229">
        <v>0.31780000000000003</v>
      </c>
      <c r="EJ219" s="229">
        <v>0.38290000000000002</v>
      </c>
      <c r="EK219" s="231">
        <v>6325.29</v>
      </c>
      <c r="EL219" s="231">
        <v>5365.91</v>
      </c>
      <c r="EM219" s="231">
        <v>1706.67</v>
      </c>
      <c r="EN219" s="228">
        <v>0</v>
      </c>
      <c r="EO219" s="231">
        <v>13397.87</v>
      </c>
      <c r="EP219" s="231">
        <v>4001.72</v>
      </c>
      <c r="EQ219" s="231">
        <v>9396.15</v>
      </c>
      <c r="ER219" s="229">
        <v>2.3479999999999999</v>
      </c>
      <c r="ES219" s="231">
        <v>1263.51</v>
      </c>
      <c r="ET219" s="231">
        <v>1116.5999999999999</v>
      </c>
      <c r="EU219" s="231">
        <v>3383.74</v>
      </c>
      <c r="EV219" s="231">
        <v>340121475</v>
      </c>
      <c r="EW219" s="231">
        <v>5763.85</v>
      </c>
      <c r="EX219" s="231">
        <v>5398.55</v>
      </c>
      <c r="EY219" s="228">
        <v>365.3</v>
      </c>
      <c r="EZ219" s="229">
        <v>6.7699999999999996E-2</v>
      </c>
      <c r="FA219" s="229">
        <v>0.38150000000000001</v>
      </c>
      <c r="FB219" s="227" t="s">
        <v>568</v>
      </c>
      <c r="FC219">
        <f t="shared" si="4"/>
        <v>0</v>
      </c>
    </row>
    <row r="220" spans="1:159" ht="17.25" thickBot="1" x14ac:dyDescent="0.3">
      <c r="A220" s="226">
        <v>45889</v>
      </c>
      <c r="B220" s="227" t="s">
        <v>184</v>
      </c>
      <c r="C220" s="227" t="s">
        <v>305</v>
      </c>
      <c r="D220" s="228">
        <v>375</v>
      </c>
      <c r="E220" s="228">
        <v>8</v>
      </c>
      <c r="F220" s="231">
        <v>1368.6</v>
      </c>
      <c r="G220" s="231">
        <v>1379.1</v>
      </c>
      <c r="H220" s="228">
        <v>-10.5</v>
      </c>
      <c r="I220" s="229">
        <v>-7.6E-3</v>
      </c>
      <c r="J220" s="231">
        <v>1369.8</v>
      </c>
      <c r="K220" s="231">
        <v>1378.9</v>
      </c>
      <c r="L220" s="228">
        <v>-9.1</v>
      </c>
      <c r="M220" s="229">
        <v>-6.6E-3</v>
      </c>
      <c r="N220" s="231">
        <v>1368.6</v>
      </c>
      <c r="O220" s="231">
        <v>1379.1</v>
      </c>
      <c r="P220" s="228">
        <v>-10.5</v>
      </c>
      <c r="Q220" s="229">
        <v>-7.6E-3</v>
      </c>
      <c r="R220" s="231">
        <v>1363.4</v>
      </c>
      <c r="S220" s="231">
        <v>1374.6</v>
      </c>
      <c r="T220" s="228">
        <v>-11.2</v>
      </c>
      <c r="U220" s="229">
        <v>-8.0999999999999996E-3</v>
      </c>
      <c r="V220" s="231">
        <v>1362</v>
      </c>
      <c r="W220" s="231">
        <v>1370.3</v>
      </c>
      <c r="X220" s="228">
        <v>-8.3000000000000007</v>
      </c>
      <c r="Y220" s="229">
        <v>-6.1000000000000004E-3</v>
      </c>
      <c r="Z220" s="228">
        <v>-1.2</v>
      </c>
      <c r="AA220" s="228">
        <v>0.2</v>
      </c>
      <c r="AB220" s="228">
        <v>-1.4</v>
      </c>
      <c r="AC220" s="229">
        <v>-8.9999999999999998E-4</v>
      </c>
      <c r="AD220" s="228">
        <v>-1.2</v>
      </c>
      <c r="AE220" s="228">
        <v>0.2</v>
      </c>
      <c r="AF220" s="228">
        <v>-1.4</v>
      </c>
      <c r="AG220" s="229">
        <v>-8.9999999999999998E-4</v>
      </c>
      <c r="AH220" s="228">
        <v>-6.4</v>
      </c>
      <c r="AI220" s="228">
        <v>-4.3</v>
      </c>
      <c r="AJ220" s="228">
        <v>-2.1</v>
      </c>
      <c r="AK220" s="229">
        <v>-4.7000000000000002E-3</v>
      </c>
      <c r="AL220" s="228">
        <v>-7.8</v>
      </c>
      <c r="AM220" s="228">
        <v>-8.6</v>
      </c>
      <c r="AN220" s="228">
        <v>0.8</v>
      </c>
      <c r="AO220" s="229">
        <v>-5.7000000000000002E-3</v>
      </c>
      <c r="AP220" s="231">
        <v>1370.51</v>
      </c>
      <c r="AQ220" s="231">
        <v>1366.49</v>
      </c>
      <c r="AR220" s="228">
        <v>0</v>
      </c>
      <c r="AS220" s="228">
        <v>272</v>
      </c>
      <c r="AT220" s="228">
        <v>425</v>
      </c>
      <c r="AU220" s="228">
        <v>-153</v>
      </c>
      <c r="AV220" s="229">
        <v>-0.36</v>
      </c>
      <c r="AW220" s="228">
        <v>220</v>
      </c>
      <c r="AX220" s="228">
        <v>360</v>
      </c>
      <c r="AY220" s="228">
        <v>-140</v>
      </c>
      <c r="AZ220" s="229">
        <v>-0.38879999999999998</v>
      </c>
      <c r="BA220" s="228">
        <v>49</v>
      </c>
      <c r="BB220" s="228">
        <v>61</v>
      </c>
      <c r="BC220" s="228">
        <v>-12</v>
      </c>
      <c r="BD220" s="229">
        <v>-0.19650000000000001</v>
      </c>
      <c r="BE220" s="228">
        <v>3</v>
      </c>
      <c r="BF220" s="228">
        <v>3</v>
      </c>
      <c r="BG220" s="228">
        <v>-1</v>
      </c>
      <c r="BH220" s="229">
        <v>-0.25</v>
      </c>
      <c r="BI220" s="228">
        <v>502</v>
      </c>
      <c r="BJ220" s="230">
        <v>1213</v>
      </c>
      <c r="BK220" s="228">
        <v>-711</v>
      </c>
      <c r="BL220" s="229">
        <v>-0.58599999999999997</v>
      </c>
      <c r="BM220" s="228">
        <v>516</v>
      </c>
      <c r="BN220" s="228">
        <v>941</v>
      </c>
      <c r="BO220" s="228">
        <v>-426</v>
      </c>
      <c r="BP220" s="229">
        <v>-0.45240000000000002</v>
      </c>
      <c r="BQ220" s="230">
        <v>1289</v>
      </c>
      <c r="BR220" s="230">
        <v>2579</v>
      </c>
      <c r="BS220" s="230">
        <v>-1289</v>
      </c>
      <c r="BT220" s="229">
        <v>-0.5</v>
      </c>
      <c r="BU220" s="230">
        <v>588512</v>
      </c>
      <c r="BV220" s="230">
        <v>1013441</v>
      </c>
      <c r="BW220" s="230">
        <v>-424929</v>
      </c>
      <c r="BX220" s="229">
        <v>-0.41930000000000001</v>
      </c>
      <c r="BY220" s="230">
        <v>1489</v>
      </c>
      <c r="BZ220" s="230">
        <v>1501</v>
      </c>
      <c r="CA220" s="228">
        <v>-12</v>
      </c>
      <c r="CB220" s="229">
        <v>-8.2000000000000007E-3</v>
      </c>
      <c r="CC220" s="230">
        <v>1290</v>
      </c>
      <c r="CD220" s="230">
        <v>1325</v>
      </c>
      <c r="CE220" s="228">
        <v>-35</v>
      </c>
      <c r="CF220" s="229">
        <v>-2.6100000000000002E-2</v>
      </c>
      <c r="CG220" s="228">
        <v>188</v>
      </c>
      <c r="CH220" s="228">
        <v>167</v>
      </c>
      <c r="CI220" s="228">
        <v>21</v>
      </c>
      <c r="CJ220" s="229">
        <v>0.12559999999999999</v>
      </c>
      <c r="CK220" s="228">
        <v>11</v>
      </c>
      <c r="CL220" s="228">
        <v>9</v>
      </c>
      <c r="CM220" s="228">
        <v>1</v>
      </c>
      <c r="CN220" s="229">
        <v>0.1492</v>
      </c>
      <c r="CO220" s="228">
        <v>498</v>
      </c>
      <c r="CP220" s="228">
        <v>492</v>
      </c>
      <c r="CQ220" s="228">
        <v>5</v>
      </c>
      <c r="CR220" s="229">
        <v>1.09E-2</v>
      </c>
      <c r="CS220" s="228">
        <v>473</v>
      </c>
      <c r="CT220" s="228">
        <v>518</v>
      </c>
      <c r="CU220" s="228">
        <v>-44</v>
      </c>
      <c r="CV220" s="229">
        <v>-8.5699999999999998E-2</v>
      </c>
      <c r="CW220" s="230">
        <v>2460</v>
      </c>
      <c r="CX220" s="230">
        <v>2512</v>
      </c>
      <c r="CY220" s="228">
        <v>-51</v>
      </c>
      <c r="CZ220" s="229">
        <v>-2.0400000000000001E-2</v>
      </c>
      <c r="DA220" s="228">
        <v>26.64</v>
      </c>
      <c r="DB220" s="228">
        <v>28.03</v>
      </c>
      <c r="DC220" s="228">
        <v>-1.39</v>
      </c>
      <c r="DD220" s="228">
        <v>-1.39</v>
      </c>
      <c r="DE220" s="228">
        <v>39.950000000000003</v>
      </c>
      <c r="DF220" s="228">
        <v>40.049999999999997</v>
      </c>
      <c r="DG220" s="228">
        <v>-13.31</v>
      </c>
      <c r="DH220" s="228">
        <v>-0.1</v>
      </c>
      <c r="DI220" s="228">
        <v>25.78</v>
      </c>
      <c r="DJ220" s="228">
        <v>26.82</v>
      </c>
      <c r="DK220" s="228">
        <v>-1.04</v>
      </c>
      <c r="DL220" s="228">
        <v>-1.04</v>
      </c>
      <c r="DM220" s="228">
        <v>27.48</v>
      </c>
      <c r="DN220" s="228">
        <v>29.58</v>
      </c>
      <c r="DO220" s="228">
        <v>-2.1</v>
      </c>
      <c r="DP220" s="228">
        <v>-2.1</v>
      </c>
      <c r="DQ220" s="228">
        <v>0.95</v>
      </c>
      <c r="DR220" s="228">
        <v>1.05</v>
      </c>
      <c r="DS220" s="228">
        <v>-0.1</v>
      </c>
      <c r="DT220" s="229">
        <v>-9.5200000000000007E-2</v>
      </c>
      <c r="DU220" s="231">
        <v>1400</v>
      </c>
      <c r="DV220" s="231">
        <v>1320</v>
      </c>
      <c r="DW220" s="228">
        <v>1.03</v>
      </c>
      <c r="DX220" s="228">
        <v>0.78</v>
      </c>
      <c r="DY220" s="228">
        <v>0.25</v>
      </c>
      <c r="DZ220" s="229">
        <v>0.32050000000000001</v>
      </c>
      <c r="EA220" s="229">
        <v>0.13350000000000001</v>
      </c>
      <c r="EB220" s="230">
        <v>1289250</v>
      </c>
      <c r="EC220" s="229">
        <v>-3.8E-3</v>
      </c>
      <c r="ED220" s="229">
        <v>0.13350000000000001</v>
      </c>
      <c r="EE220" s="228">
        <v>-4.0199999999999996</v>
      </c>
      <c r="EF220" s="229">
        <v>-2.8999999999999998E-3</v>
      </c>
      <c r="EG220" s="230">
        <v>250343</v>
      </c>
      <c r="EH220" s="230">
        <v>419435</v>
      </c>
      <c r="EI220" s="229">
        <v>-0.40310000000000001</v>
      </c>
      <c r="EJ220" s="229">
        <v>0.4254</v>
      </c>
      <c r="EK220" s="228">
        <v>518.76</v>
      </c>
      <c r="EL220" s="228">
        <v>505.21</v>
      </c>
      <c r="EM220" s="228">
        <v>272.08</v>
      </c>
      <c r="EN220" s="228">
        <v>0</v>
      </c>
      <c r="EO220" s="231">
        <v>1296.05</v>
      </c>
      <c r="EP220" s="231">
        <v>2590.75</v>
      </c>
      <c r="EQ220" s="231">
        <v>-1294.7</v>
      </c>
      <c r="ER220" s="229">
        <v>-0.49969999999999998</v>
      </c>
      <c r="ES220" s="228">
        <v>501.52</v>
      </c>
      <c r="ET220" s="228">
        <v>443.19</v>
      </c>
      <c r="EU220" s="231">
        <v>1488.46</v>
      </c>
      <c r="EV220" s="231">
        <v>46126252</v>
      </c>
      <c r="EW220" s="231">
        <v>2433.17</v>
      </c>
      <c r="EX220" s="231">
        <v>2493.9</v>
      </c>
      <c r="EY220" s="228">
        <v>-60.73</v>
      </c>
      <c r="EZ220" s="229">
        <v>-2.4400000000000002E-2</v>
      </c>
      <c r="FA220" s="229">
        <v>0.38969999999999999</v>
      </c>
      <c r="FB220" s="227" t="s">
        <v>568</v>
      </c>
      <c r="FC220">
        <f t="shared" si="4"/>
        <v>0</v>
      </c>
    </row>
    <row r="221" spans="1:159" ht="17.25" thickBot="1" x14ac:dyDescent="0.3">
      <c r="A221" s="226">
        <v>45889</v>
      </c>
      <c r="B221" s="227" t="s">
        <v>221</v>
      </c>
      <c r="C221" s="227" t="s">
        <v>306</v>
      </c>
      <c r="D221" s="228">
        <v>3000</v>
      </c>
      <c r="E221" s="228">
        <v>8</v>
      </c>
      <c r="F221" s="228">
        <v>250.69</v>
      </c>
      <c r="G221" s="228">
        <v>245.74</v>
      </c>
      <c r="H221" s="228">
        <v>4.95</v>
      </c>
      <c r="I221" s="229">
        <v>2.01E-2</v>
      </c>
      <c r="J221" s="228">
        <v>250.84</v>
      </c>
      <c r="K221" s="228">
        <v>246.96</v>
      </c>
      <c r="L221" s="228">
        <v>3.88</v>
      </c>
      <c r="M221" s="229">
        <v>1.5699999999999999E-2</v>
      </c>
      <c r="N221" s="228">
        <v>250.69</v>
      </c>
      <c r="O221" s="228">
        <v>245.74</v>
      </c>
      <c r="P221" s="228">
        <v>4.95</v>
      </c>
      <c r="Q221" s="229">
        <v>2.01E-2</v>
      </c>
      <c r="R221" s="228">
        <v>250.12</v>
      </c>
      <c r="S221" s="228">
        <v>245.17</v>
      </c>
      <c r="T221" s="228">
        <v>4.95</v>
      </c>
      <c r="U221" s="229">
        <v>2.0199999999999999E-2</v>
      </c>
      <c r="V221" s="228">
        <v>249.77</v>
      </c>
      <c r="W221" s="228">
        <v>244.85</v>
      </c>
      <c r="X221" s="228">
        <v>4.92</v>
      </c>
      <c r="Y221" s="229">
        <v>2.01E-2</v>
      </c>
      <c r="Z221" s="228">
        <v>-0.15</v>
      </c>
      <c r="AA221" s="228">
        <v>-1.22</v>
      </c>
      <c r="AB221" s="228">
        <v>1.07</v>
      </c>
      <c r="AC221" s="229">
        <v>-5.9999999999999995E-4</v>
      </c>
      <c r="AD221" s="228">
        <v>-0.15</v>
      </c>
      <c r="AE221" s="228">
        <v>-1.22</v>
      </c>
      <c r="AF221" s="228">
        <v>1.07</v>
      </c>
      <c r="AG221" s="229">
        <v>-5.9999999999999995E-4</v>
      </c>
      <c r="AH221" s="228">
        <v>-0.72</v>
      </c>
      <c r="AI221" s="228">
        <v>-1.79</v>
      </c>
      <c r="AJ221" s="228">
        <v>1.07</v>
      </c>
      <c r="AK221" s="229">
        <v>-2.8999999999999998E-3</v>
      </c>
      <c r="AL221" s="228">
        <v>-1.07</v>
      </c>
      <c r="AM221" s="228">
        <v>-2.11</v>
      </c>
      <c r="AN221" s="228">
        <v>1.04</v>
      </c>
      <c r="AO221" s="229">
        <v>-4.3E-3</v>
      </c>
      <c r="AP221" s="228">
        <v>249.48</v>
      </c>
      <c r="AQ221" s="228">
        <v>249.15</v>
      </c>
      <c r="AR221" s="228">
        <v>0</v>
      </c>
      <c r="AS221" s="228">
        <v>836</v>
      </c>
      <c r="AT221" s="228">
        <v>333</v>
      </c>
      <c r="AU221" s="228">
        <v>504</v>
      </c>
      <c r="AV221" s="229">
        <v>1.5123</v>
      </c>
      <c r="AW221" s="228">
        <v>548</v>
      </c>
      <c r="AX221" s="228">
        <v>220</v>
      </c>
      <c r="AY221" s="228">
        <v>328</v>
      </c>
      <c r="AZ221" s="229">
        <v>1.4907999999999999</v>
      </c>
      <c r="BA221" s="228">
        <v>268</v>
      </c>
      <c r="BB221" s="228">
        <v>107</v>
      </c>
      <c r="BC221" s="228">
        <v>161</v>
      </c>
      <c r="BD221" s="229">
        <v>1.5145</v>
      </c>
      <c r="BE221" s="228">
        <v>20</v>
      </c>
      <c r="BF221" s="228">
        <v>6</v>
      </c>
      <c r="BG221" s="228">
        <v>14</v>
      </c>
      <c r="BH221" s="229">
        <v>2.2439</v>
      </c>
      <c r="BI221" s="230">
        <v>3044</v>
      </c>
      <c r="BJ221" s="228">
        <v>860</v>
      </c>
      <c r="BK221" s="230">
        <v>2184</v>
      </c>
      <c r="BL221" s="229">
        <v>2.5404</v>
      </c>
      <c r="BM221" s="230">
        <v>1577</v>
      </c>
      <c r="BN221" s="228">
        <v>420</v>
      </c>
      <c r="BO221" s="230">
        <v>1157</v>
      </c>
      <c r="BP221" s="229">
        <v>2.7557</v>
      </c>
      <c r="BQ221" s="230">
        <v>5458</v>
      </c>
      <c r="BR221" s="230">
        <v>1613</v>
      </c>
      <c r="BS221" s="230">
        <v>3845</v>
      </c>
      <c r="BT221" s="229">
        <v>2.3841999999999999</v>
      </c>
      <c r="BU221" s="230">
        <v>10330335</v>
      </c>
      <c r="BV221" s="230">
        <v>4424029</v>
      </c>
      <c r="BW221" s="230">
        <v>5906306</v>
      </c>
      <c r="BX221" s="229">
        <v>1.3351</v>
      </c>
      <c r="BY221" s="230">
        <v>4147</v>
      </c>
      <c r="BZ221" s="230">
        <v>4039</v>
      </c>
      <c r="CA221" s="228">
        <v>108</v>
      </c>
      <c r="CB221" s="229">
        <v>2.6800000000000001E-2</v>
      </c>
      <c r="CC221" s="230">
        <v>3414</v>
      </c>
      <c r="CD221" s="230">
        <v>3431</v>
      </c>
      <c r="CE221" s="228">
        <v>-17</v>
      </c>
      <c r="CF221" s="229">
        <v>-5.0000000000000001E-3</v>
      </c>
      <c r="CG221" s="228">
        <v>704</v>
      </c>
      <c r="CH221" s="228">
        <v>580</v>
      </c>
      <c r="CI221" s="228">
        <v>124</v>
      </c>
      <c r="CJ221" s="229">
        <v>0.21329999999999999</v>
      </c>
      <c r="CK221" s="228">
        <v>30</v>
      </c>
      <c r="CL221" s="228">
        <v>28</v>
      </c>
      <c r="CM221" s="228">
        <v>2</v>
      </c>
      <c r="CN221" s="229">
        <v>5.8700000000000002E-2</v>
      </c>
      <c r="CO221" s="230">
        <v>1469</v>
      </c>
      <c r="CP221" s="230">
        <v>1615</v>
      </c>
      <c r="CQ221" s="228">
        <v>-146</v>
      </c>
      <c r="CR221" s="229">
        <v>-9.0399999999999994E-2</v>
      </c>
      <c r="CS221" s="228">
        <v>956</v>
      </c>
      <c r="CT221" s="228">
        <v>909</v>
      </c>
      <c r="CU221" s="228">
        <v>47</v>
      </c>
      <c r="CV221" s="229">
        <v>5.1700000000000003E-2</v>
      </c>
      <c r="CW221" s="230">
        <v>6572</v>
      </c>
      <c r="CX221" s="230">
        <v>6563</v>
      </c>
      <c r="CY221" s="228">
        <v>9</v>
      </c>
      <c r="CZ221" s="229">
        <v>1.4E-3</v>
      </c>
      <c r="DA221" s="228">
        <v>24.54</v>
      </c>
      <c r="DB221" s="228">
        <v>26.52</v>
      </c>
      <c r="DC221" s="228">
        <v>-1.98</v>
      </c>
      <c r="DD221" s="228">
        <v>-1.98</v>
      </c>
      <c r="DE221" s="228">
        <v>31.88</v>
      </c>
      <c r="DF221" s="228">
        <v>31.89</v>
      </c>
      <c r="DG221" s="228">
        <v>-7.34</v>
      </c>
      <c r="DH221" s="228">
        <v>-0.01</v>
      </c>
      <c r="DI221" s="228">
        <v>23.97</v>
      </c>
      <c r="DJ221" s="228">
        <v>27.04</v>
      </c>
      <c r="DK221" s="228">
        <v>-3.07</v>
      </c>
      <c r="DL221" s="228">
        <v>-3.07</v>
      </c>
      <c r="DM221" s="228">
        <v>25.65</v>
      </c>
      <c r="DN221" s="228">
        <v>25.46</v>
      </c>
      <c r="DO221" s="228">
        <v>0.19</v>
      </c>
      <c r="DP221" s="228">
        <v>0.19</v>
      </c>
      <c r="DQ221" s="228">
        <v>0.65</v>
      </c>
      <c r="DR221" s="228">
        <v>0.56000000000000005</v>
      </c>
      <c r="DS221" s="228">
        <v>0.09</v>
      </c>
      <c r="DT221" s="229">
        <v>0.16070000000000001</v>
      </c>
      <c r="DU221" s="228">
        <v>260</v>
      </c>
      <c r="DV221" s="228">
        <v>250</v>
      </c>
      <c r="DW221" s="228">
        <v>0.52</v>
      </c>
      <c r="DX221" s="228">
        <v>0.49</v>
      </c>
      <c r="DY221" s="228">
        <v>0.03</v>
      </c>
      <c r="DZ221" s="229">
        <v>6.1199999999999997E-2</v>
      </c>
      <c r="EA221" s="229">
        <v>0.1769</v>
      </c>
      <c r="EB221" s="230">
        <v>24258000</v>
      </c>
      <c r="EC221" s="229">
        <v>-2.3E-3</v>
      </c>
      <c r="ED221" s="229">
        <v>0.1769</v>
      </c>
      <c r="EE221" s="228">
        <v>-0.33</v>
      </c>
      <c r="EF221" s="229">
        <v>-1.2999999999999999E-3</v>
      </c>
      <c r="EG221" s="230">
        <v>4065530</v>
      </c>
      <c r="EH221" s="230">
        <v>1775305</v>
      </c>
      <c r="EI221" s="229">
        <v>1.29</v>
      </c>
      <c r="EJ221" s="229">
        <v>0.39360000000000001</v>
      </c>
      <c r="EK221" s="231">
        <v>3115.77</v>
      </c>
      <c r="EL221" s="231">
        <v>1548.5</v>
      </c>
      <c r="EM221" s="228">
        <v>831.99</v>
      </c>
      <c r="EN221" s="228">
        <v>0</v>
      </c>
      <c r="EO221" s="231">
        <v>5496.26</v>
      </c>
      <c r="EP221" s="231">
        <v>1612.45</v>
      </c>
      <c r="EQ221" s="231">
        <v>3883.81</v>
      </c>
      <c r="ER221" s="229">
        <v>2.4085999999999999</v>
      </c>
      <c r="ES221" s="231">
        <v>1536.75</v>
      </c>
      <c r="ET221" s="228">
        <v>922.45</v>
      </c>
      <c r="EU221" s="231">
        <v>4145.3500000000004</v>
      </c>
      <c r="EV221" s="231">
        <v>570714350</v>
      </c>
      <c r="EW221" s="231">
        <v>6604.56</v>
      </c>
      <c r="EX221" s="231">
        <v>6513.28</v>
      </c>
      <c r="EY221" s="228">
        <v>91.28</v>
      </c>
      <c r="EZ221" s="229">
        <v>1.4E-2</v>
      </c>
      <c r="FA221" s="229">
        <v>0.45939999999999998</v>
      </c>
      <c r="FB221" s="227" t="s">
        <v>555</v>
      </c>
      <c r="FC221">
        <f t="shared" si="4"/>
        <v>0</v>
      </c>
    </row>
    <row r="222" spans="1:159" ht="17.25" thickBot="1" x14ac:dyDescent="0.3">
      <c r="A222" s="226">
        <v>45889</v>
      </c>
      <c r="B222" s="227" t="s">
        <v>172</v>
      </c>
      <c r="C222" s="227" t="s">
        <v>591</v>
      </c>
      <c r="D222" s="228">
        <v>31100</v>
      </c>
      <c r="E222" s="228">
        <v>8</v>
      </c>
      <c r="F222" s="228">
        <v>19.38</v>
      </c>
      <c r="G222" s="228">
        <v>19.38</v>
      </c>
      <c r="H222" s="228">
        <v>0</v>
      </c>
      <c r="I222" s="229">
        <v>0</v>
      </c>
      <c r="J222" s="228">
        <v>19.36</v>
      </c>
      <c r="K222" s="228">
        <v>19.350000000000001</v>
      </c>
      <c r="L222" s="228">
        <v>0.01</v>
      </c>
      <c r="M222" s="229">
        <v>5.0000000000000001E-4</v>
      </c>
      <c r="N222" s="228">
        <v>19.38</v>
      </c>
      <c r="O222" s="228">
        <v>19.38</v>
      </c>
      <c r="P222" s="228">
        <v>0</v>
      </c>
      <c r="Q222" s="229">
        <v>0</v>
      </c>
      <c r="R222" s="228">
        <v>19.5</v>
      </c>
      <c r="S222" s="228">
        <v>19.5</v>
      </c>
      <c r="T222" s="228">
        <v>0</v>
      </c>
      <c r="U222" s="229">
        <v>0</v>
      </c>
      <c r="V222" s="228">
        <v>19.61</v>
      </c>
      <c r="W222" s="228">
        <v>19.59</v>
      </c>
      <c r="X222" s="228">
        <v>0.02</v>
      </c>
      <c r="Y222" s="229">
        <v>1E-3</v>
      </c>
      <c r="Z222" s="228">
        <v>0.02</v>
      </c>
      <c r="AA222" s="228">
        <v>0.03</v>
      </c>
      <c r="AB222" s="228">
        <v>-0.01</v>
      </c>
      <c r="AC222" s="229">
        <v>1E-3</v>
      </c>
      <c r="AD222" s="228">
        <v>0.02</v>
      </c>
      <c r="AE222" s="228">
        <v>0.03</v>
      </c>
      <c r="AF222" s="228">
        <v>-0.01</v>
      </c>
      <c r="AG222" s="229">
        <v>1E-3</v>
      </c>
      <c r="AH222" s="228">
        <v>0.14000000000000001</v>
      </c>
      <c r="AI222" s="228">
        <v>0.15</v>
      </c>
      <c r="AJ222" s="228">
        <v>-0.01</v>
      </c>
      <c r="AK222" s="229">
        <v>7.1999999999999998E-3</v>
      </c>
      <c r="AL222" s="228">
        <v>0.25</v>
      </c>
      <c r="AM222" s="228">
        <v>0.24</v>
      </c>
      <c r="AN222" s="228">
        <v>0.01</v>
      </c>
      <c r="AO222" s="229">
        <v>1.29E-2</v>
      </c>
      <c r="AP222" s="228">
        <v>19.39</v>
      </c>
      <c r="AQ222" s="228">
        <v>19.510000000000002</v>
      </c>
      <c r="AR222" s="228">
        <v>0</v>
      </c>
      <c r="AS222" s="228">
        <v>167</v>
      </c>
      <c r="AT222" s="228">
        <v>169</v>
      </c>
      <c r="AU222" s="228">
        <v>-2</v>
      </c>
      <c r="AV222" s="229">
        <v>-1.14E-2</v>
      </c>
      <c r="AW222" s="228">
        <v>111</v>
      </c>
      <c r="AX222" s="228">
        <v>128</v>
      </c>
      <c r="AY222" s="228">
        <v>-17</v>
      </c>
      <c r="AZ222" s="229">
        <v>-0.1338</v>
      </c>
      <c r="BA222" s="228">
        <v>53</v>
      </c>
      <c r="BB222" s="228">
        <v>36</v>
      </c>
      <c r="BC222" s="228">
        <v>17</v>
      </c>
      <c r="BD222" s="229">
        <v>0.46400000000000002</v>
      </c>
      <c r="BE222" s="228">
        <v>3</v>
      </c>
      <c r="BF222" s="228">
        <v>5</v>
      </c>
      <c r="BG222" s="228">
        <v>-1</v>
      </c>
      <c r="BH222" s="229">
        <v>-0.32</v>
      </c>
      <c r="BI222" s="228">
        <v>165</v>
      </c>
      <c r="BJ222" s="228">
        <v>170</v>
      </c>
      <c r="BK222" s="228">
        <v>-5</v>
      </c>
      <c r="BL222" s="229">
        <v>-3.1199999999999999E-2</v>
      </c>
      <c r="BM222" s="228">
        <v>46</v>
      </c>
      <c r="BN222" s="228">
        <v>72</v>
      </c>
      <c r="BO222" s="228">
        <v>-27</v>
      </c>
      <c r="BP222" s="229">
        <v>-0.36780000000000002</v>
      </c>
      <c r="BQ222" s="228">
        <v>378</v>
      </c>
      <c r="BR222" s="228">
        <v>411</v>
      </c>
      <c r="BS222" s="228">
        <v>-34</v>
      </c>
      <c r="BT222" s="229">
        <v>-8.2199999999999995E-2</v>
      </c>
      <c r="BU222" s="230">
        <v>46506056</v>
      </c>
      <c r="BV222" s="230">
        <v>51638294</v>
      </c>
      <c r="BW222" s="230">
        <v>-5132238</v>
      </c>
      <c r="BX222" s="229">
        <v>-9.9400000000000002E-2</v>
      </c>
      <c r="BY222" s="230">
        <v>1956</v>
      </c>
      <c r="BZ222" s="230">
        <v>1979</v>
      </c>
      <c r="CA222" s="228">
        <v>-23</v>
      </c>
      <c r="CB222" s="229">
        <v>-1.18E-2</v>
      </c>
      <c r="CC222" s="230">
        <v>1725</v>
      </c>
      <c r="CD222" s="230">
        <v>1782</v>
      </c>
      <c r="CE222" s="228">
        <v>-57</v>
      </c>
      <c r="CF222" s="229">
        <v>-3.1699999999999999E-2</v>
      </c>
      <c r="CG222" s="228">
        <v>209</v>
      </c>
      <c r="CH222" s="228">
        <v>178</v>
      </c>
      <c r="CI222" s="228">
        <v>32</v>
      </c>
      <c r="CJ222" s="229">
        <v>0.1792</v>
      </c>
      <c r="CK222" s="228">
        <v>21</v>
      </c>
      <c r="CL222" s="228">
        <v>20</v>
      </c>
      <c r="CM222" s="228">
        <v>1</v>
      </c>
      <c r="CN222" s="229">
        <v>6.9500000000000006E-2</v>
      </c>
      <c r="CO222" s="228">
        <v>564</v>
      </c>
      <c r="CP222" s="228">
        <v>556</v>
      </c>
      <c r="CQ222" s="228">
        <v>7</v>
      </c>
      <c r="CR222" s="229">
        <v>1.32E-2</v>
      </c>
      <c r="CS222" s="228">
        <v>396</v>
      </c>
      <c r="CT222" s="228">
        <v>394</v>
      </c>
      <c r="CU222" s="228">
        <v>3</v>
      </c>
      <c r="CV222" s="229">
        <v>6.4000000000000003E-3</v>
      </c>
      <c r="CW222" s="230">
        <v>2916</v>
      </c>
      <c r="CX222" s="230">
        <v>2929</v>
      </c>
      <c r="CY222" s="228">
        <v>-13</v>
      </c>
      <c r="CZ222" s="229">
        <v>-4.5999999999999999E-3</v>
      </c>
      <c r="DA222" s="228">
        <v>31.06</v>
      </c>
      <c r="DB222" s="228">
        <v>29.5</v>
      </c>
      <c r="DC222" s="228">
        <v>1.56</v>
      </c>
      <c r="DD222" s="228">
        <v>1.56</v>
      </c>
      <c r="DE222" s="228">
        <v>43.31</v>
      </c>
      <c r="DF222" s="228">
        <v>43.42</v>
      </c>
      <c r="DG222" s="228">
        <v>-12.25</v>
      </c>
      <c r="DH222" s="228">
        <v>-0.11</v>
      </c>
      <c r="DI222" s="228">
        <v>30.34</v>
      </c>
      <c r="DJ222" s="228">
        <v>29.77</v>
      </c>
      <c r="DK222" s="228">
        <v>0.56999999999999995</v>
      </c>
      <c r="DL222" s="228">
        <v>0.56999999999999995</v>
      </c>
      <c r="DM222" s="228">
        <v>33.64</v>
      </c>
      <c r="DN222" s="228">
        <v>28.85</v>
      </c>
      <c r="DO222" s="228">
        <v>4.79</v>
      </c>
      <c r="DP222" s="228">
        <v>4.79</v>
      </c>
      <c r="DQ222" s="228">
        <v>0.7</v>
      </c>
      <c r="DR222" s="228">
        <v>0.71</v>
      </c>
      <c r="DS222" s="228">
        <v>-0.01</v>
      </c>
      <c r="DT222" s="229">
        <v>-1.41E-2</v>
      </c>
      <c r="DU222" s="228">
        <v>20</v>
      </c>
      <c r="DV222" s="228">
        <v>20</v>
      </c>
      <c r="DW222" s="228">
        <v>0.28000000000000003</v>
      </c>
      <c r="DX222" s="228">
        <v>0.42</v>
      </c>
      <c r="DY222" s="228">
        <v>-0.14000000000000001</v>
      </c>
      <c r="DZ222" s="229">
        <v>-0.33329999999999999</v>
      </c>
      <c r="EA222" s="229">
        <v>0.11799999999999999</v>
      </c>
      <c r="EB222" s="230">
        <v>101914700</v>
      </c>
      <c r="EC222" s="229">
        <v>6.1999999999999998E-3</v>
      </c>
      <c r="ED222" s="229">
        <v>0.11799999999999999</v>
      </c>
      <c r="EE222" s="228">
        <v>0.12</v>
      </c>
      <c r="EF222" s="229">
        <v>6.1999999999999998E-3</v>
      </c>
      <c r="EG222" s="230">
        <v>24427449</v>
      </c>
      <c r="EH222" s="230">
        <v>23217371</v>
      </c>
      <c r="EI222" s="229">
        <v>5.21E-2</v>
      </c>
      <c r="EJ222" s="229">
        <v>0.52529999999999999</v>
      </c>
      <c r="EK222" s="228">
        <v>172.05</v>
      </c>
      <c r="EL222" s="228">
        <v>45.68</v>
      </c>
      <c r="EM222" s="228">
        <v>167.43</v>
      </c>
      <c r="EN222" s="228">
        <v>0</v>
      </c>
      <c r="EO222" s="228">
        <v>385.16</v>
      </c>
      <c r="EP222" s="228">
        <v>416.64</v>
      </c>
      <c r="EQ222" s="228">
        <v>-31.47</v>
      </c>
      <c r="ER222" s="229">
        <v>-7.5499999999999998E-2</v>
      </c>
      <c r="ES222" s="228">
        <v>607.77</v>
      </c>
      <c r="ET222" s="228">
        <v>392.58</v>
      </c>
      <c r="EU222" s="231">
        <v>1957.55</v>
      </c>
      <c r="EV222" s="231">
        <v>6273124692</v>
      </c>
      <c r="EW222" s="231">
        <v>2957.91</v>
      </c>
      <c r="EX222" s="231">
        <v>2969.62</v>
      </c>
      <c r="EY222" s="228">
        <v>-11.71</v>
      </c>
      <c r="EZ222" s="229">
        <v>-3.8999999999999998E-3</v>
      </c>
      <c r="FA222" s="229">
        <v>0.23980000000000001</v>
      </c>
      <c r="FB222" s="227" t="s">
        <v>237</v>
      </c>
      <c r="FC222">
        <f t="shared" si="4"/>
        <v>0</v>
      </c>
    </row>
    <row r="223" spans="1:159" ht="17.25" thickBot="1" x14ac:dyDescent="0.3">
      <c r="A223" s="226">
        <v>45889</v>
      </c>
      <c r="B223" s="227" t="s">
        <v>170</v>
      </c>
      <c r="C223" s="227" t="s">
        <v>557</v>
      </c>
      <c r="D223" s="228">
        <v>900</v>
      </c>
      <c r="E223" s="228">
        <v>8</v>
      </c>
      <c r="F223" s="228">
        <v>984.15</v>
      </c>
      <c r="G223" s="228">
        <v>992.9</v>
      </c>
      <c r="H223" s="228">
        <v>-8.75</v>
      </c>
      <c r="I223" s="229">
        <v>-8.8000000000000005E-3</v>
      </c>
      <c r="J223" s="228">
        <v>983.3</v>
      </c>
      <c r="K223" s="228">
        <v>989.45</v>
      </c>
      <c r="L223" s="228">
        <v>-6.15</v>
      </c>
      <c r="M223" s="229">
        <v>-6.1999999999999998E-3</v>
      </c>
      <c r="N223" s="228">
        <v>984.15</v>
      </c>
      <c r="O223" s="228">
        <v>992.9</v>
      </c>
      <c r="P223" s="228">
        <v>-8.75</v>
      </c>
      <c r="Q223" s="229">
        <v>-8.8000000000000005E-3</v>
      </c>
      <c r="R223" s="228">
        <v>989.85</v>
      </c>
      <c r="S223" s="228">
        <v>998.15</v>
      </c>
      <c r="T223" s="228">
        <v>-8.3000000000000007</v>
      </c>
      <c r="U223" s="229">
        <v>-8.3000000000000001E-3</v>
      </c>
      <c r="V223" s="228">
        <v>995</v>
      </c>
      <c r="W223" s="231">
        <v>1001.5</v>
      </c>
      <c r="X223" s="228">
        <v>-6.5</v>
      </c>
      <c r="Y223" s="229">
        <v>-6.4999999999999997E-3</v>
      </c>
      <c r="Z223" s="228">
        <v>0.85</v>
      </c>
      <c r="AA223" s="228">
        <v>3.45</v>
      </c>
      <c r="AB223" s="228">
        <v>-2.6</v>
      </c>
      <c r="AC223" s="229">
        <v>8.9999999999999998E-4</v>
      </c>
      <c r="AD223" s="228">
        <v>0.85</v>
      </c>
      <c r="AE223" s="228">
        <v>3.45</v>
      </c>
      <c r="AF223" s="228">
        <v>-2.6</v>
      </c>
      <c r="AG223" s="229">
        <v>8.9999999999999998E-4</v>
      </c>
      <c r="AH223" s="228">
        <v>6.55</v>
      </c>
      <c r="AI223" s="228">
        <v>8.6999999999999993</v>
      </c>
      <c r="AJ223" s="228">
        <v>-2.15</v>
      </c>
      <c r="AK223" s="229">
        <v>6.7000000000000002E-3</v>
      </c>
      <c r="AL223" s="228">
        <v>11.7</v>
      </c>
      <c r="AM223" s="228">
        <v>12.05</v>
      </c>
      <c r="AN223" s="228">
        <v>-0.35</v>
      </c>
      <c r="AO223" s="229">
        <v>1.1900000000000001E-2</v>
      </c>
      <c r="AP223" s="228">
        <v>984.43</v>
      </c>
      <c r="AQ223" s="228">
        <v>990.42</v>
      </c>
      <c r="AR223" s="228">
        <v>0</v>
      </c>
      <c r="AS223" s="228">
        <v>118</v>
      </c>
      <c r="AT223" s="228">
        <v>110</v>
      </c>
      <c r="AU223" s="228">
        <v>8</v>
      </c>
      <c r="AV223" s="229">
        <v>6.9900000000000004E-2</v>
      </c>
      <c r="AW223" s="228">
        <v>79</v>
      </c>
      <c r="AX223" s="228">
        <v>92</v>
      </c>
      <c r="AY223" s="228">
        <v>-13</v>
      </c>
      <c r="AZ223" s="229">
        <v>-0.14000000000000001</v>
      </c>
      <c r="BA223" s="228">
        <v>39</v>
      </c>
      <c r="BB223" s="228">
        <v>18</v>
      </c>
      <c r="BC223" s="228">
        <v>20</v>
      </c>
      <c r="BD223" s="229">
        <v>1.1111</v>
      </c>
      <c r="BE223" s="228">
        <v>0</v>
      </c>
      <c r="BF223" s="228">
        <v>0</v>
      </c>
      <c r="BG223" s="228">
        <v>0</v>
      </c>
      <c r="BH223" s="229">
        <v>1</v>
      </c>
      <c r="BI223" s="228">
        <v>189</v>
      </c>
      <c r="BJ223" s="228">
        <v>282</v>
      </c>
      <c r="BK223" s="228">
        <v>-94</v>
      </c>
      <c r="BL223" s="229">
        <v>-0.33110000000000001</v>
      </c>
      <c r="BM223" s="228">
        <v>92</v>
      </c>
      <c r="BN223" s="228">
        <v>105</v>
      </c>
      <c r="BO223" s="228">
        <v>-13</v>
      </c>
      <c r="BP223" s="229">
        <v>-0.1234</v>
      </c>
      <c r="BQ223" s="228">
        <v>399</v>
      </c>
      <c r="BR223" s="228">
        <v>498</v>
      </c>
      <c r="BS223" s="228">
        <v>-99</v>
      </c>
      <c r="BT223" s="229">
        <v>-0.19850000000000001</v>
      </c>
      <c r="BU223" s="230">
        <v>550172</v>
      </c>
      <c r="BV223" s="230">
        <v>787193</v>
      </c>
      <c r="BW223" s="230">
        <v>-237021</v>
      </c>
      <c r="BX223" s="229">
        <v>-0.30109999999999998</v>
      </c>
      <c r="BY223" s="228">
        <v>826</v>
      </c>
      <c r="BZ223" s="228">
        <v>807</v>
      </c>
      <c r="CA223" s="228">
        <v>19</v>
      </c>
      <c r="CB223" s="229">
        <v>2.3699999999999999E-2</v>
      </c>
      <c r="CC223" s="228">
        <v>698</v>
      </c>
      <c r="CD223" s="228">
        <v>702</v>
      </c>
      <c r="CE223" s="228">
        <v>-4</v>
      </c>
      <c r="CF223" s="229">
        <v>-5.5999999999999999E-3</v>
      </c>
      <c r="CG223" s="228">
        <v>125</v>
      </c>
      <c r="CH223" s="228">
        <v>102</v>
      </c>
      <c r="CI223" s="228">
        <v>23</v>
      </c>
      <c r="CJ223" s="229">
        <v>0.2258</v>
      </c>
      <c r="CK223" s="228">
        <v>3</v>
      </c>
      <c r="CL223" s="228">
        <v>3</v>
      </c>
      <c r="CM223" s="228">
        <v>0</v>
      </c>
      <c r="CN223" s="229">
        <v>2.7799999999999998E-2</v>
      </c>
      <c r="CO223" s="228">
        <v>290</v>
      </c>
      <c r="CP223" s="228">
        <v>302</v>
      </c>
      <c r="CQ223" s="228">
        <v>-12</v>
      </c>
      <c r="CR223" s="229">
        <v>-3.9300000000000002E-2</v>
      </c>
      <c r="CS223" s="228">
        <v>284</v>
      </c>
      <c r="CT223" s="228">
        <v>284</v>
      </c>
      <c r="CU223" s="228">
        <v>1</v>
      </c>
      <c r="CV223" s="229">
        <v>2.2000000000000001E-3</v>
      </c>
      <c r="CW223" s="230">
        <v>1400</v>
      </c>
      <c r="CX223" s="230">
        <v>1392</v>
      </c>
      <c r="CY223" s="228">
        <v>8</v>
      </c>
      <c r="CZ223" s="229">
        <v>5.7000000000000002E-3</v>
      </c>
      <c r="DA223" s="228">
        <v>24.16</v>
      </c>
      <c r="DB223" s="228">
        <v>24.22</v>
      </c>
      <c r="DC223" s="228">
        <v>-0.06</v>
      </c>
      <c r="DD223" s="228">
        <v>-0.06</v>
      </c>
      <c r="DE223" s="228">
        <v>30.66</v>
      </c>
      <c r="DF223" s="228">
        <v>30.71</v>
      </c>
      <c r="DG223" s="228">
        <v>-6.5</v>
      </c>
      <c r="DH223" s="228">
        <v>-0.05</v>
      </c>
      <c r="DI223" s="228">
        <v>23.69</v>
      </c>
      <c r="DJ223" s="228">
        <v>23.57</v>
      </c>
      <c r="DK223" s="228">
        <v>0.12</v>
      </c>
      <c r="DL223" s="228">
        <v>0.12</v>
      </c>
      <c r="DM223" s="228">
        <v>25.12</v>
      </c>
      <c r="DN223" s="228">
        <v>25.99</v>
      </c>
      <c r="DO223" s="228">
        <v>-0.87</v>
      </c>
      <c r="DP223" s="228">
        <v>-0.87</v>
      </c>
      <c r="DQ223" s="228">
        <v>0.98</v>
      </c>
      <c r="DR223" s="228">
        <v>0.94</v>
      </c>
      <c r="DS223" s="228">
        <v>0.04</v>
      </c>
      <c r="DT223" s="229">
        <v>4.2599999999999999E-2</v>
      </c>
      <c r="DU223" s="231">
        <v>1000</v>
      </c>
      <c r="DV223" s="228">
        <v>900</v>
      </c>
      <c r="DW223" s="228">
        <v>0.49</v>
      </c>
      <c r="DX223" s="228">
        <v>0.37</v>
      </c>
      <c r="DY223" s="228">
        <v>0.12</v>
      </c>
      <c r="DZ223" s="229">
        <v>0.32429999999999998</v>
      </c>
      <c r="EA223" s="229">
        <v>0.1547</v>
      </c>
      <c r="EB223" s="230">
        <v>1064700</v>
      </c>
      <c r="EC223" s="229">
        <v>5.7999999999999996E-3</v>
      </c>
      <c r="ED223" s="229">
        <v>0.1547</v>
      </c>
      <c r="EE223" s="228">
        <v>5.99</v>
      </c>
      <c r="EF223" s="229">
        <v>6.1000000000000004E-3</v>
      </c>
      <c r="EG223" s="230">
        <v>324609</v>
      </c>
      <c r="EH223" s="230">
        <v>439640</v>
      </c>
      <c r="EI223" s="229">
        <v>-0.2616</v>
      </c>
      <c r="EJ223" s="229">
        <v>0.59</v>
      </c>
      <c r="EK223" s="228">
        <v>195.84</v>
      </c>
      <c r="EL223" s="228">
        <v>90.82</v>
      </c>
      <c r="EM223" s="228">
        <v>118.25</v>
      </c>
      <c r="EN223" s="228">
        <v>0</v>
      </c>
      <c r="EO223" s="228">
        <v>404.91</v>
      </c>
      <c r="EP223" s="228">
        <v>507.98</v>
      </c>
      <c r="EQ223" s="228">
        <v>-103.07</v>
      </c>
      <c r="ER223" s="229">
        <v>-0.2029</v>
      </c>
      <c r="ES223" s="228">
        <v>298.98</v>
      </c>
      <c r="ET223" s="228">
        <v>270.35000000000002</v>
      </c>
      <c r="EU223" s="228">
        <v>826.71</v>
      </c>
      <c r="EV223" s="231">
        <v>50321935</v>
      </c>
      <c r="EW223" s="231">
        <v>1396.03</v>
      </c>
      <c r="EX223" s="231">
        <v>1395.63</v>
      </c>
      <c r="EY223" s="228">
        <v>0.4</v>
      </c>
      <c r="EZ223" s="229">
        <v>2.9999999999999997E-4</v>
      </c>
      <c r="FA223" s="229">
        <v>0.2828</v>
      </c>
      <c r="FB223" s="227" t="s">
        <v>567</v>
      </c>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BY333-CC333</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BY397-CC397</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C160" sqref="CC160"/>
    </sheetView>
  </sheetViews>
  <sheetFormatPr defaultRowHeight="15" x14ac:dyDescent="0.25"/>
  <cols>
    <col min="1" max="1" width="12.42578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 customWidth="1"/>
    <col min="80" max="81" width="15.5703125" customWidth="1"/>
    <col min="82" max="82" width="13.7109375" customWidth="1"/>
    <col min="83" max="83" width="11.42578125" customWidth="1"/>
    <col min="84" max="84" width="15.5703125" customWidth="1"/>
    <col min="85" max="85" width="14.42578125" customWidth="1"/>
    <col min="86" max="86" width="14"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45889</v>
      </c>
      <c r="B2" s="227" t="s">
        <v>175</v>
      </c>
      <c r="C2" s="227" t="s">
        <v>684</v>
      </c>
      <c r="D2" s="228">
        <v>500</v>
      </c>
      <c r="E2" s="231">
        <v>1102.8</v>
      </c>
      <c r="F2" s="231">
        <v>1080</v>
      </c>
      <c r="G2" s="228">
        <v>22.8</v>
      </c>
      <c r="H2" s="229">
        <v>2.1100000000000001E-2</v>
      </c>
      <c r="I2" s="231">
        <v>1102.9000000000001</v>
      </c>
      <c r="J2" s="231">
        <v>1078.9000000000001</v>
      </c>
      <c r="K2" s="228">
        <v>24</v>
      </c>
      <c r="L2" s="229">
        <v>2.2200000000000001E-2</v>
      </c>
      <c r="M2" s="231">
        <v>1102.8</v>
      </c>
      <c r="N2" s="231">
        <v>1080</v>
      </c>
      <c r="O2" s="228">
        <v>22.8</v>
      </c>
      <c r="P2" s="229">
        <v>2.1100000000000001E-2</v>
      </c>
      <c r="Q2" s="231">
        <v>1106.3</v>
      </c>
      <c r="R2" s="231">
        <v>1083.9000000000001</v>
      </c>
      <c r="S2" s="228">
        <v>22.4</v>
      </c>
      <c r="T2" s="229">
        <v>2.07E-2</v>
      </c>
      <c r="U2" s="231">
        <v>1108</v>
      </c>
      <c r="V2" s="231">
        <v>1032.5</v>
      </c>
      <c r="W2" s="228">
        <v>75.5</v>
      </c>
      <c r="X2" s="229">
        <v>7.3099999999999998E-2</v>
      </c>
      <c r="Y2" s="228">
        <v>-0.1</v>
      </c>
      <c r="Z2" s="228">
        <v>1.1000000000000001</v>
      </c>
      <c r="AA2" s="228">
        <v>-1.2</v>
      </c>
      <c r="AB2" s="229">
        <v>-1E-4</v>
      </c>
      <c r="AC2" s="228">
        <v>-0.1</v>
      </c>
      <c r="AD2" s="228">
        <v>1.1000000000000001</v>
      </c>
      <c r="AE2" s="228">
        <v>-1.2</v>
      </c>
      <c r="AF2" s="229">
        <v>-1E-4</v>
      </c>
      <c r="AG2" s="228">
        <v>3.4</v>
      </c>
      <c r="AH2" s="228">
        <v>5</v>
      </c>
      <c r="AI2" s="228">
        <v>-1.6</v>
      </c>
      <c r="AJ2" s="229">
        <v>3.0999999999999999E-3</v>
      </c>
      <c r="AK2" s="228">
        <v>5.0999999999999996</v>
      </c>
      <c r="AL2" s="228">
        <v>-46.4</v>
      </c>
      <c r="AM2" s="228">
        <v>51.5</v>
      </c>
      <c r="AN2" s="229">
        <v>4.5999999999999999E-3</v>
      </c>
      <c r="AO2" s="231">
        <v>1092.6600000000001</v>
      </c>
      <c r="AP2" s="231">
        <v>1094.93</v>
      </c>
      <c r="AQ2" s="228">
        <v>0</v>
      </c>
      <c r="AR2" s="230">
        <v>1581000</v>
      </c>
      <c r="AS2" s="230">
        <v>1014000</v>
      </c>
      <c r="AT2" s="230">
        <v>567000</v>
      </c>
      <c r="AU2" s="229">
        <v>0.55920000000000003</v>
      </c>
      <c r="AV2" s="230">
        <v>1455500</v>
      </c>
      <c r="AW2" s="230">
        <v>972500</v>
      </c>
      <c r="AX2" s="230">
        <v>483000</v>
      </c>
      <c r="AY2" s="229">
        <v>0.49669999999999997</v>
      </c>
      <c r="AZ2" s="230">
        <v>123500</v>
      </c>
      <c r="BA2" s="230">
        <v>41500</v>
      </c>
      <c r="BB2" s="230">
        <v>82000</v>
      </c>
      <c r="BC2" s="229">
        <v>1.9759</v>
      </c>
      <c r="BD2" s="230">
        <v>2000</v>
      </c>
      <c r="BE2" s="228">
        <v>0</v>
      </c>
      <c r="BF2" s="230">
        <v>2000</v>
      </c>
      <c r="BG2" s="229">
        <v>0</v>
      </c>
      <c r="BH2" s="230">
        <v>3457000</v>
      </c>
      <c r="BI2" s="230">
        <v>2046000</v>
      </c>
      <c r="BJ2" s="230">
        <v>1411000</v>
      </c>
      <c r="BK2" s="229">
        <v>0.68959999999999999</v>
      </c>
      <c r="BL2" s="230">
        <v>1165500</v>
      </c>
      <c r="BM2" s="230">
        <v>443000</v>
      </c>
      <c r="BN2" s="230">
        <v>722500</v>
      </c>
      <c r="BO2" s="229">
        <v>1.6309</v>
      </c>
      <c r="BP2" s="230">
        <v>6203500</v>
      </c>
      <c r="BQ2" s="230">
        <v>3503000</v>
      </c>
      <c r="BR2" s="230">
        <v>2700500</v>
      </c>
      <c r="BS2" s="229">
        <v>0.77090000000000003</v>
      </c>
      <c r="BT2" s="230">
        <v>1060212</v>
      </c>
      <c r="BU2" s="230">
        <v>495009</v>
      </c>
      <c r="BV2" s="230">
        <v>565203</v>
      </c>
      <c r="BW2" s="229">
        <v>1.1417999999999999</v>
      </c>
      <c r="BX2" s="230">
        <v>5513500</v>
      </c>
      <c r="BY2" s="230">
        <v>5509500</v>
      </c>
      <c r="BZ2" s="230">
        <v>4000</v>
      </c>
      <c r="CA2" s="229">
        <v>6.9999999999999999E-4</v>
      </c>
      <c r="CB2" s="230">
        <v>5343500</v>
      </c>
      <c r="CC2" s="230">
        <v>5358000</v>
      </c>
      <c r="CD2" s="230">
        <v>-14500</v>
      </c>
      <c r="CE2" s="229">
        <v>-2.7000000000000001E-3</v>
      </c>
      <c r="CF2" s="230">
        <v>168500</v>
      </c>
      <c r="CG2" s="230">
        <v>150000</v>
      </c>
      <c r="CH2" s="230">
        <v>18500</v>
      </c>
      <c r="CI2" s="229">
        <v>0.12330000000000001</v>
      </c>
      <c r="CJ2" s="230">
        <v>1500</v>
      </c>
      <c r="CK2" s="230">
        <v>1500</v>
      </c>
      <c r="CL2" s="228">
        <v>0</v>
      </c>
      <c r="CM2" s="229">
        <v>0</v>
      </c>
      <c r="CN2" s="230">
        <v>1219500</v>
      </c>
      <c r="CO2" s="230">
        <v>1220000</v>
      </c>
      <c r="CP2" s="228">
        <v>-500</v>
      </c>
      <c r="CQ2" s="229">
        <v>-4.0000000000000002E-4</v>
      </c>
      <c r="CR2" s="230">
        <v>706000</v>
      </c>
      <c r="CS2" s="230">
        <v>781500</v>
      </c>
      <c r="CT2" s="230">
        <v>-75500</v>
      </c>
      <c r="CU2" s="229">
        <v>-9.6600000000000005E-2</v>
      </c>
      <c r="CV2" s="230">
        <v>7439000</v>
      </c>
      <c r="CW2" s="230">
        <v>7511000</v>
      </c>
      <c r="CX2" s="230">
        <v>-72000</v>
      </c>
      <c r="CY2" s="229">
        <v>-9.5999999999999992E-3</v>
      </c>
      <c r="CZ2" s="228">
        <v>28.35</v>
      </c>
      <c r="DA2" s="228">
        <v>27.13</v>
      </c>
      <c r="DB2" s="228">
        <v>1.22</v>
      </c>
      <c r="DC2" s="228">
        <v>1.22</v>
      </c>
      <c r="DD2" s="228">
        <v>48.51</v>
      </c>
      <c r="DE2" s="228">
        <v>48.55</v>
      </c>
      <c r="DF2" s="228">
        <v>-20.16</v>
      </c>
      <c r="DG2" s="228">
        <v>-0.04</v>
      </c>
      <c r="DH2" s="228">
        <v>28.2</v>
      </c>
      <c r="DI2" s="228">
        <v>27.14</v>
      </c>
      <c r="DJ2" s="228">
        <v>1.06</v>
      </c>
      <c r="DK2" s="228">
        <v>1.06</v>
      </c>
      <c r="DL2" s="228">
        <v>28.8</v>
      </c>
      <c r="DM2" s="228">
        <v>27.07</v>
      </c>
      <c r="DN2" s="228">
        <v>1.73</v>
      </c>
      <c r="DO2" s="228">
        <v>1.73</v>
      </c>
      <c r="DP2" s="228">
        <v>0.57999999999999996</v>
      </c>
      <c r="DQ2" s="228">
        <v>0.64</v>
      </c>
      <c r="DR2" s="228">
        <v>-0.06</v>
      </c>
      <c r="DS2" s="229">
        <v>-9.3799999999999994E-2</v>
      </c>
      <c r="DT2" s="231">
        <v>1200</v>
      </c>
      <c r="DU2" s="231">
        <v>1000</v>
      </c>
      <c r="DV2" s="228">
        <v>0.34</v>
      </c>
      <c r="DW2" s="228">
        <v>0.22</v>
      </c>
      <c r="DX2" s="228">
        <v>0.12</v>
      </c>
      <c r="DY2" s="229">
        <v>0.54549999999999998</v>
      </c>
      <c r="DZ2" s="229">
        <v>3.0800000000000001E-2</v>
      </c>
      <c r="EA2" s="230">
        <v>151500</v>
      </c>
      <c r="EB2" s="229">
        <v>3.2000000000000002E-3</v>
      </c>
      <c r="EC2" s="229">
        <v>3.0800000000000001E-2</v>
      </c>
      <c r="ED2" s="228">
        <v>2.27</v>
      </c>
      <c r="EE2" s="229">
        <v>2.0999999999999999E-3</v>
      </c>
      <c r="EF2" s="230">
        <v>684113</v>
      </c>
      <c r="EG2" s="230">
        <v>298261</v>
      </c>
      <c r="EH2" s="229">
        <v>1.2937000000000001</v>
      </c>
      <c r="EI2" s="229">
        <v>0.64529999999999998</v>
      </c>
      <c r="EJ2" s="231">
        <v>39156.28</v>
      </c>
      <c r="EK2" s="231">
        <v>12475.03</v>
      </c>
      <c r="EL2" s="231">
        <v>17277.830000000002</v>
      </c>
      <c r="EM2" s="228">
        <v>0</v>
      </c>
      <c r="EN2" s="231">
        <v>68909.14</v>
      </c>
      <c r="EO2" s="231">
        <v>38580.410000000003</v>
      </c>
      <c r="EP2" s="231">
        <v>30328.73</v>
      </c>
      <c r="EQ2" s="229">
        <v>0.78610000000000002</v>
      </c>
      <c r="ER2" s="231">
        <v>13878</v>
      </c>
      <c r="ES2" s="231">
        <v>7496</v>
      </c>
      <c r="ET2" s="231">
        <v>60809</v>
      </c>
      <c r="EU2" s="231">
        <v>73064092</v>
      </c>
      <c r="EV2" s="231">
        <v>82183</v>
      </c>
      <c r="EW2" s="231">
        <v>81646</v>
      </c>
      <c r="EX2" s="228">
        <v>537</v>
      </c>
      <c r="EY2" s="229">
        <v>6.6E-3</v>
      </c>
      <c r="EZ2" s="229">
        <v>0.1018</v>
      </c>
      <c r="FA2" s="227" t="s">
        <v>555</v>
      </c>
      <c r="FB2" s="161">
        <f>BX2-CB2</f>
        <v>170000</v>
      </c>
    </row>
    <row r="3" spans="1:158" ht="17.25" hidden="1" thickBot="1" x14ac:dyDescent="0.3">
      <c r="A3" s="226">
        <v>45889</v>
      </c>
      <c r="B3" s="227" t="s">
        <v>184</v>
      </c>
      <c r="C3" s="227" t="s">
        <v>553</v>
      </c>
      <c r="D3" s="228">
        <v>125</v>
      </c>
      <c r="E3" s="231">
        <v>5132.5</v>
      </c>
      <c r="F3" s="231">
        <v>5087</v>
      </c>
      <c r="G3" s="228">
        <v>45.5</v>
      </c>
      <c r="H3" s="229">
        <v>8.8999999999999999E-3</v>
      </c>
      <c r="I3" s="231">
        <v>5121.5</v>
      </c>
      <c r="J3" s="231">
        <v>5068</v>
      </c>
      <c r="K3" s="228">
        <v>53.5</v>
      </c>
      <c r="L3" s="229">
        <v>1.06E-2</v>
      </c>
      <c r="M3" s="231">
        <v>5132.5</v>
      </c>
      <c r="N3" s="231">
        <v>5087</v>
      </c>
      <c r="O3" s="228">
        <v>45.5</v>
      </c>
      <c r="P3" s="229">
        <v>8.8999999999999999E-3</v>
      </c>
      <c r="Q3" s="231">
        <v>5161</v>
      </c>
      <c r="R3" s="231">
        <v>5113</v>
      </c>
      <c r="S3" s="228">
        <v>48</v>
      </c>
      <c r="T3" s="229">
        <v>9.4000000000000004E-3</v>
      </c>
      <c r="U3" s="231">
        <v>5188.5</v>
      </c>
      <c r="V3" s="231">
        <v>5140</v>
      </c>
      <c r="W3" s="228">
        <v>48.5</v>
      </c>
      <c r="X3" s="229">
        <v>9.4000000000000004E-3</v>
      </c>
      <c r="Y3" s="228">
        <v>11</v>
      </c>
      <c r="Z3" s="228">
        <v>19</v>
      </c>
      <c r="AA3" s="228">
        <v>-8</v>
      </c>
      <c r="AB3" s="229">
        <v>2.0999999999999999E-3</v>
      </c>
      <c r="AC3" s="228">
        <v>11</v>
      </c>
      <c r="AD3" s="228">
        <v>19</v>
      </c>
      <c r="AE3" s="228">
        <v>-8</v>
      </c>
      <c r="AF3" s="229">
        <v>2.0999999999999999E-3</v>
      </c>
      <c r="AG3" s="228">
        <v>39.5</v>
      </c>
      <c r="AH3" s="228">
        <v>45</v>
      </c>
      <c r="AI3" s="228">
        <v>-5.5</v>
      </c>
      <c r="AJ3" s="229">
        <v>7.7000000000000002E-3</v>
      </c>
      <c r="AK3" s="228">
        <v>67</v>
      </c>
      <c r="AL3" s="228">
        <v>72</v>
      </c>
      <c r="AM3" s="228">
        <v>-5</v>
      </c>
      <c r="AN3" s="229">
        <v>1.3100000000000001E-2</v>
      </c>
      <c r="AO3" s="231">
        <v>5128.13</v>
      </c>
      <c r="AP3" s="231">
        <v>5154.7299999999996</v>
      </c>
      <c r="AQ3" s="228">
        <v>0</v>
      </c>
      <c r="AR3" s="230">
        <v>485500</v>
      </c>
      <c r="AS3" s="230">
        <v>442625</v>
      </c>
      <c r="AT3" s="230">
        <v>42875</v>
      </c>
      <c r="AU3" s="229">
        <v>9.69E-2</v>
      </c>
      <c r="AV3" s="230">
        <v>342500</v>
      </c>
      <c r="AW3" s="230">
        <v>315375</v>
      </c>
      <c r="AX3" s="230">
        <v>27125</v>
      </c>
      <c r="AY3" s="229">
        <v>8.5999999999999993E-2</v>
      </c>
      <c r="AZ3" s="230">
        <v>129250</v>
      </c>
      <c r="BA3" s="230">
        <v>118875</v>
      </c>
      <c r="BB3" s="230">
        <v>10375</v>
      </c>
      <c r="BC3" s="229">
        <v>8.7300000000000003E-2</v>
      </c>
      <c r="BD3" s="230">
        <v>13750</v>
      </c>
      <c r="BE3" s="230">
        <v>8375</v>
      </c>
      <c r="BF3" s="230">
        <v>5375</v>
      </c>
      <c r="BG3" s="229">
        <v>0.64180000000000004</v>
      </c>
      <c r="BH3" s="230">
        <v>3151500</v>
      </c>
      <c r="BI3" s="230">
        <v>2216125</v>
      </c>
      <c r="BJ3" s="230">
        <v>935375</v>
      </c>
      <c r="BK3" s="229">
        <v>0.42209999999999998</v>
      </c>
      <c r="BL3" s="230">
        <v>926125</v>
      </c>
      <c r="BM3" s="230">
        <v>783000</v>
      </c>
      <c r="BN3" s="230">
        <v>143125</v>
      </c>
      <c r="BO3" s="229">
        <v>0.18279999999999999</v>
      </c>
      <c r="BP3" s="230">
        <v>4563125</v>
      </c>
      <c r="BQ3" s="230">
        <v>3441750</v>
      </c>
      <c r="BR3" s="230">
        <v>1121375</v>
      </c>
      <c r="BS3" s="229">
        <v>0.32579999999999998</v>
      </c>
      <c r="BT3" s="230">
        <v>323692</v>
      </c>
      <c r="BU3" s="230">
        <v>213650</v>
      </c>
      <c r="BV3" s="230">
        <v>110042</v>
      </c>
      <c r="BW3" s="229">
        <v>0.5151</v>
      </c>
      <c r="BX3" s="230">
        <v>2973500</v>
      </c>
      <c r="BY3" s="230">
        <v>2963375</v>
      </c>
      <c r="BZ3" s="230">
        <v>10125</v>
      </c>
      <c r="CA3" s="229">
        <v>3.3999999999999998E-3</v>
      </c>
      <c r="CB3" s="230">
        <v>2691500</v>
      </c>
      <c r="CC3" s="230">
        <v>2717125</v>
      </c>
      <c r="CD3" s="230">
        <v>-25625</v>
      </c>
      <c r="CE3" s="229">
        <v>-9.4000000000000004E-3</v>
      </c>
      <c r="CF3" s="230">
        <v>251750</v>
      </c>
      <c r="CG3" s="230">
        <v>216750</v>
      </c>
      <c r="CH3" s="230">
        <v>35000</v>
      </c>
      <c r="CI3" s="229">
        <v>0.1615</v>
      </c>
      <c r="CJ3" s="230">
        <v>30250</v>
      </c>
      <c r="CK3" s="230">
        <v>29500</v>
      </c>
      <c r="CL3" s="228">
        <v>750</v>
      </c>
      <c r="CM3" s="229">
        <v>2.5399999999999999E-2</v>
      </c>
      <c r="CN3" s="230">
        <v>1889500</v>
      </c>
      <c r="CO3" s="230">
        <v>1953875</v>
      </c>
      <c r="CP3" s="230">
        <v>-64375</v>
      </c>
      <c r="CQ3" s="229">
        <v>-3.2899999999999999E-2</v>
      </c>
      <c r="CR3" s="230">
        <v>1093625</v>
      </c>
      <c r="CS3" s="230">
        <v>1120125</v>
      </c>
      <c r="CT3" s="230">
        <v>-26500</v>
      </c>
      <c r="CU3" s="229">
        <v>-2.3699999999999999E-2</v>
      </c>
      <c r="CV3" s="230">
        <v>5956625</v>
      </c>
      <c r="CW3" s="230">
        <v>6037375</v>
      </c>
      <c r="CX3" s="230">
        <v>-80750</v>
      </c>
      <c r="CY3" s="229">
        <v>-1.34E-2</v>
      </c>
      <c r="CZ3" s="228">
        <v>30.48</v>
      </c>
      <c r="DA3" s="228">
        <v>30.63</v>
      </c>
      <c r="DB3" s="228">
        <v>-0.15</v>
      </c>
      <c r="DC3" s="228">
        <v>-0.15</v>
      </c>
      <c r="DD3" s="228">
        <v>39.49</v>
      </c>
      <c r="DE3" s="228">
        <v>39.57</v>
      </c>
      <c r="DF3" s="228">
        <v>-9.01</v>
      </c>
      <c r="DG3" s="228">
        <v>-0.08</v>
      </c>
      <c r="DH3" s="228">
        <v>30.75</v>
      </c>
      <c r="DI3" s="228">
        <v>31.07</v>
      </c>
      <c r="DJ3" s="228">
        <v>-0.32</v>
      </c>
      <c r="DK3" s="228">
        <v>-0.32</v>
      </c>
      <c r="DL3" s="228">
        <v>29.56</v>
      </c>
      <c r="DM3" s="228">
        <v>29.39</v>
      </c>
      <c r="DN3" s="228">
        <v>0.17</v>
      </c>
      <c r="DO3" s="228">
        <v>0.17</v>
      </c>
      <c r="DP3" s="228">
        <v>0.57999999999999996</v>
      </c>
      <c r="DQ3" s="228">
        <v>0.56999999999999995</v>
      </c>
      <c r="DR3" s="228">
        <v>0.01</v>
      </c>
      <c r="DS3" s="229">
        <v>1.7500000000000002E-2</v>
      </c>
      <c r="DT3" s="231">
        <v>5500</v>
      </c>
      <c r="DU3" s="231">
        <v>5000</v>
      </c>
      <c r="DV3" s="228">
        <v>0.28999999999999998</v>
      </c>
      <c r="DW3" s="228">
        <v>0.35</v>
      </c>
      <c r="DX3" s="228">
        <v>-0.06</v>
      </c>
      <c r="DY3" s="229">
        <v>-0.1714</v>
      </c>
      <c r="DZ3" s="229">
        <v>9.4799999999999995E-2</v>
      </c>
      <c r="EA3" s="230">
        <v>246250</v>
      </c>
      <c r="EB3" s="229">
        <v>5.5999999999999999E-3</v>
      </c>
      <c r="EC3" s="229">
        <v>9.4799999999999995E-2</v>
      </c>
      <c r="ED3" s="228">
        <v>26.6</v>
      </c>
      <c r="EE3" s="229">
        <v>5.1999999999999998E-3</v>
      </c>
      <c r="EF3" s="230">
        <v>125609</v>
      </c>
      <c r="EG3" s="230">
        <v>101463</v>
      </c>
      <c r="EH3" s="229">
        <v>0.23799999999999999</v>
      </c>
      <c r="EI3" s="229">
        <v>0.3881</v>
      </c>
      <c r="EJ3" s="231">
        <v>168369.06</v>
      </c>
      <c r="EK3" s="231">
        <v>47010.07</v>
      </c>
      <c r="EL3" s="231">
        <v>24939.52</v>
      </c>
      <c r="EM3" s="228">
        <v>0</v>
      </c>
      <c r="EN3" s="231">
        <v>240318.65</v>
      </c>
      <c r="EO3" s="231">
        <v>180549.23</v>
      </c>
      <c r="EP3" s="231">
        <v>59769.42</v>
      </c>
      <c r="EQ3" s="229">
        <v>0.33100000000000002</v>
      </c>
      <c r="ER3" s="231">
        <v>103801</v>
      </c>
      <c r="ES3" s="231">
        <v>56558</v>
      </c>
      <c r="ET3" s="231">
        <v>152704</v>
      </c>
      <c r="EU3" s="231">
        <v>10595418</v>
      </c>
      <c r="EV3" s="231">
        <v>313063</v>
      </c>
      <c r="EW3" s="231">
        <v>316049</v>
      </c>
      <c r="EX3" s="231">
        <v>-2986</v>
      </c>
      <c r="EY3" s="229">
        <v>-9.4000000000000004E-3</v>
      </c>
      <c r="EZ3" s="229">
        <v>0.56220000000000003</v>
      </c>
      <c r="FA3" s="227" t="s">
        <v>555</v>
      </c>
      <c r="FB3" s="161">
        <f t="shared" ref="FB3:FB66" si="0">BX3-CB3</f>
        <v>282000</v>
      </c>
    </row>
    <row r="4" spans="1:158" ht="17.25" hidden="1" thickBot="1" x14ac:dyDescent="0.3">
      <c r="A4" s="226">
        <v>45889</v>
      </c>
      <c r="B4" s="227" t="s">
        <v>175</v>
      </c>
      <c r="C4" s="227" t="s">
        <v>544</v>
      </c>
      <c r="D4" s="228">
        <v>3100</v>
      </c>
      <c r="E4" s="228">
        <v>284.14999999999998</v>
      </c>
      <c r="F4" s="228">
        <v>288.25</v>
      </c>
      <c r="G4" s="228">
        <v>-4.0999999999999996</v>
      </c>
      <c r="H4" s="229">
        <v>-1.4200000000000001E-2</v>
      </c>
      <c r="I4" s="228">
        <v>283.45</v>
      </c>
      <c r="J4" s="228">
        <v>287.35000000000002</v>
      </c>
      <c r="K4" s="228">
        <v>-3.9</v>
      </c>
      <c r="L4" s="229">
        <v>-1.3599999999999999E-2</v>
      </c>
      <c r="M4" s="228">
        <v>284.14999999999998</v>
      </c>
      <c r="N4" s="228">
        <v>288.25</v>
      </c>
      <c r="O4" s="228">
        <v>-4.0999999999999996</v>
      </c>
      <c r="P4" s="229">
        <v>-1.4200000000000001E-2</v>
      </c>
      <c r="Q4" s="228">
        <v>285.89999999999998</v>
      </c>
      <c r="R4" s="228">
        <v>289.85000000000002</v>
      </c>
      <c r="S4" s="228">
        <v>-3.95</v>
      </c>
      <c r="T4" s="229">
        <v>-1.3599999999999999E-2</v>
      </c>
      <c r="U4" s="228">
        <v>287.3</v>
      </c>
      <c r="V4" s="228">
        <v>291.10000000000002</v>
      </c>
      <c r="W4" s="228">
        <v>-3.8</v>
      </c>
      <c r="X4" s="229">
        <v>-1.3100000000000001E-2</v>
      </c>
      <c r="Y4" s="228">
        <v>0.7</v>
      </c>
      <c r="Z4" s="228">
        <v>0.9</v>
      </c>
      <c r="AA4" s="228">
        <v>-0.2</v>
      </c>
      <c r="AB4" s="229">
        <v>2.5000000000000001E-3</v>
      </c>
      <c r="AC4" s="228">
        <v>0.7</v>
      </c>
      <c r="AD4" s="228">
        <v>0.9</v>
      </c>
      <c r="AE4" s="228">
        <v>-0.2</v>
      </c>
      <c r="AF4" s="229">
        <v>2.5000000000000001E-3</v>
      </c>
      <c r="AG4" s="228">
        <v>2.4500000000000002</v>
      </c>
      <c r="AH4" s="228">
        <v>2.5</v>
      </c>
      <c r="AI4" s="228">
        <v>-0.05</v>
      </c>
      <c r="AJ4" s="229">
        <v>8.6E-3</v>
      </c>
      <c r="AK4" s="228">
        <v>3.85</v>
      </c>
      <c r="AL4" s="228">
        <v>3.75</v>
      </c>
      <c r="AM4" s="228">
        <v>0.1</v>
      </c>
      <c r="AN4" s="229">
        <v>1.3599999999999999E-2</v>
      </c>
      <c r="AO4" s="228">
        <v>285.95999999999998</v>
      </c>
      <c r="AP4" s="228">
        <v>287.87</v>
      </c>
      <c r="AQ4" s="228">
        <v>0</v>
      </c>
      <c r="AR4" s="230">
        <v>8525000</v>
      </c>
      <c r="AS4" s="230">
        <v>14253800</v>
      </c>
      <c r="AT4" s="230">
        <v>-5728800</v>
      </c>
      <c r="AU4" s="229">
        <v>-0.40189999999999998</v>
      </c>
      <c r="AV4" s="230">
        <v>6460400</v>
      </c>
      <c r="AW4" s="230">
        <v>11749000</v>
      </c>
      <c r="AX4" s="230">
        <v>-5288600</v>
      </c>
      <c r="AY4" s="229">
        <v>-0.4501</v>
      </c>
      <c r="AZ4" s="230">
        <v>2015000</v>
      </c>
      <c r="BA4" s="230">
        <v>2387000</v>
      </c>
      <c r="BB4" s="230">
        <v>-372000</v>
      </c>
      <c r="BC4" s="229">
        <v>-0.15579999999999999</v>
      </c>
      <c r="BD4" s="230">
        <v>49600</v>
      </c>
      <c r="BE4" s="230">
        <v>117800</v>
      </c>
      <c r="BF4" s="230">
        <v>-68200</v>
      </c>
      <c r="BG4" s="229">
        <v>-0.57889999999999997</v>
      </c>
      <c r="BH4" s="230">
        <v>22605200</v>
      </c>
      <c r="BI4" s="230">
        <v>39794700</v>
      </c>
      <c r="BJ4" s="230">
        <v>-17189500</v>
      </c>
      <c r="BK4" s="229">
        <v>-0.432</v>
      </c>
      <c r="BL4" s="230">
        <v>11355300</v>
      </c>
      <c r="BM4" s="230">
        <v>22484300</v>
      </c>
      <c r="BN4" s="230">
        <v>-11129000</v>
      </c>
      <c r="BO4" s="229">
        <v>-0.495</v>
      </c>
      <c r="BP4" s="230">
        <v>42485500</v>
      </c>
      <c r="BQ4" s="230">
        <v>76532800</v>
      </c>
      <c r="BR4" s="230">
        <v>-34047300</v>
      </c>
      <c r="BS4" s="229">
        <v>-0.44490000000000002</v>
      </c>
      <c r="BT4" s="230">
        <v>2462299</v>
      </c>
      <c r="BU4" s="230">
        <v>5606533</v>
      </c>
      <c r="BV4" s="230">
        <v>-3144234</v>
      </c>
      <c r="BW4" s="229">
        <v>-0.56079999999999997</v>
      </c>
      <c r="BX4" s="230">
        <v>48366200</v>
      </c>
      <c r="BY4" s="230">
        <v>48214300</v>
      </c>
      <c r="BZ4" s="230">
        <v>151900</v>
      </c>
      <c r="CA4" s="229">
        <v>3.2000000000000002E-3</v>
      </c>
      <c r="CB4" s="230">
        <v>43930100</v>
      </c>
      <c r="CC4" s="230">
        <v>44782600</v>
      </c>
      <c r="CD4" s="230">
        <v>-852500</v>
      </c>
      <c r="CE4" s="229">
        <v>-1.9E-2</v>
      </c>
      <c r="CF4" s="230">
        <v>4172600</v>
      </c>
      <c r="CG4" s="230">
        <v>3162000</v>
      </c>
      <c r="CH4" s="230">
        <v>1010600</v>
      </c>
      <c r="CI4" s="229">
        <v>0.3196</v>
      </c>
      <c r="CJ4" s="230">
        <v>263500</v>
      </c>
      <c r="CK4" s="230">
        <v>269700</v>
      </c>
      <c r="CL4" s="230">
        <v>-6200</v>
      </c>
      <c r="CM4" s="229">
        <v>-2.3E-2</v>
      </c>
      <c r="CN4" s="230">
        <v>25959400</v>
      </c>
      <c r="CO4" s="230">
        <v>24015700</v>
      </c>
      <c r="CP4" s="230">
        <v>1943700</v>
      </c>
      <c r="CQ4" s="229">
        <v>8.09E-2</v>
      </c>
      <c r="CR4" s="230">
        <v>17905600</v>
      </c>
      <c r="CS4" s="230">
        <v>18255900</v>
      </c>
      <c r="CT4" s="230">
        <v>-350300</v>
      </c>
      <c r="CU4" s="229">
        <v>-1.9199999999999998E-2</v>
      </c>
      <c r="CV4" s="230">
        <v>92231200</v>
      </c>
      <c r="CW4" s="230">
        <v>90485900</v>
      </c>
      <c r="CX4" s="230">
        <v>1745300</v>
      </c>
      <c r="CY4" s="229">
        <v>1.9300000000000001E-2</v>
      </c>
      <c r="CZ4" s="228">
        <v>31.38</v>
      </c>
      <c r="DA4" s="228">
        <v>32.26</v>
      </c>
      <c r="DB4" s="228">
        <v>-0.88</v>
      </c>
      <c r="DC4" s="228">
        <v>-0.88</v>
      </c>
      <c r="DD4" s="228">
        <v>42.11</v>
      </c>
      <c r="DE4" s="228">
        <v>42.17</v>
      </c>
      <c r="DF4" s="228">
        <v>-10.73</v>
      </c>
      <c r="DG4" s="228">
        <v>-0.06</v>
      </c>
      <c r="DH4" s="228">
        <v>31.43</v>
      </c>
      <c r="DI4" s="228">
        <v>31.8</v>
      </c>
      <c r="DJ4" s="228">
        <v>-0.37</v>
      </c>
      <c r="DK4" s="228">
        <v>-0.37</v>
      </c>
      <c r="DL4" s="228">
        <v>31.27</v>
      </c>
      <c r="DM4" s="228">
        <v>33.06</v>
      </c>
      <c r="DN4" s="228">
        <v>-1.79</v>
      </c>
      <c r="DO4" s="228">
        <v>-1.79</v>
      </c>
      <c r="DP4" s="228">
        <v>0.69</v>
      </c>
      <c r="DQ4" s="228">
        <v>0.76</v>
      </c>
      <c r="DR4" s="228">
        <v>-7.0000000000000007E-2</v>
      </c>
      <c r="DS4" s="229">
        <v>-9.2100000000000001E-2</v>
      </c>
      <c r="DT4" s="228">
        <v>300</v>
      </c>
      <c r="DU4" s="228">
        <v>280</v>
      </c>
      <c r="DV4" s="228">
        <v>0.5</v>
      </c>
      <c r="DW4" s="228">
        <v>0.56999999999999995</v>
      </c>
      <c r="DX4" s="228">
        <v>-7.0000000000000007E-2</v>
      </c>
      <c r="DY4" s="229">
        <v>-0.12280000000000001</v>
      </c>
      <c r="DZ4" s="229">
        <v>9.1700000000000004E-2</v>
      </c>
      <c r="EA4" s="230">
        <v>3431700</v>
      </c>
      <c r="EB4" s="229">
        <v>6.1999999999999998E-3</v>
      </c>
      <c r="EC4" s="229">
        <v>9.1700000000000004E-2</v>
      </c>
      <c r="ED4" s="228">
        <v>1.91</v>
      </c>
      <c r="EE4" s="229">
        <v>6.7000000000000002E-3</v>
      </c>
      <c r="EF4" s="230">
        <v>1039517</v>
      </c>
      <c r="EG4" s="230">
        <v>2305755</v>
      </c>
      <c r="EH4" s="229">
        <v>-0.54920000000000002</v>
      </c>
      <c r="EI4" s="229">
        <v>0.42220000000000002</v>
      </c>
      <c r="EJ4" s="231">
        <v>67296.66</v>
      </c>
      <c r="EK4" s="231">
        <v>31968.17</v>
      </c>
      <c r="EL4" s="231">
        <v>24417.8</v>
      </c>
      <c r="EM4" s="228">
        <v>0</v>
      </c>
      <c r="EN4" s="231">
        <v>123682.63</v>
      </c>
      <c r="EO4" s="231">
        <v>222393.87</v>
      </c>
      <c r="EP4" s="231">
        <v>-98711.24</v>
      </c>
      <c r="EQ4" s="229">
        <v>-0.44390000000000002</v>
      </c>
      <c r="ER4" s="231">
        <v>75609</v>
      </c>
      <c r="ES4" s="231">
        <v>47656</v>
      </c>
      <c r="ET4" s="231">
        <v>137514</v>
      </c>
      <c r="EU4" s="231">
        <v>163088564</v>
      </c>
      <c r="EV4" s="231">
        <v>260780</v>
      </c>
      <c r="EW4" s="231">
        <v>257283</v>
      </c>
      <c r="EX4" s="231">
        <v>3497</v>
      </c>
      <c r="EY4" s="229">
        <v>1.3599999999999999E-2</v>
      </c>
      <c r="EZ4" s="229">
        <v>0.5655</v>
      </c>
      <c r="FA4" s="227" t="s">
        <v>567</v>
      </c>
      <c r="FB4" s="161">
        <f t="shared" si="0"/>
        <v>4436100</v>
      </c>
    </row>
    <row r="5" spans="1:158" ht="17.25" hidden="1" thickBot="1" x14ac:dyDescent="0.3">
      <c r="A5" s="226">
        <v>45889</v>
      </c>
      <c r="B5" s="227" t="s">
        <v>197</v>
      </c>
      <c r="C5" s="227" t="s">
        <v>499</v>
      </c>
      <c r="D5" s="228">
        <v>2600</v>
      </c>
      <c r="E5" s="228">
        <v>76.569999999999993</v>
      </c>
      <c r="F5" s="228">
        <v>77.45</v>
      </c>
      <c r="G5" s="228">
        <v>-0.88</v>
      </c>
      <c r="H5" s="229">
        <v>-1.14E-2</v>
      </c>
      <c r="I5" s="228">
        <v>76.260000000000005</v>
      </c>
      <c r="J5" s="228">
        <v>77.180000000000007</v>
      </c>
      <c r="K5" s="228">
        <v>-0.92</v>
      </c>
      <c r="L5" s="229">
        <v>-1.1900000000000001E-2</v>
      </c>
      <c r="M5" s="228">
        <v>76.569999999999993</v>
      </c>
      <c r="N5" s="228">
        <v>77.45</v>
      </c>
      <c r="O5" s="228">
        <v>-0.88</v>
      </c>
      <c r="P5" s="229">
        <v>-1.14E-2</v>
      </c>
      <c r="Q5" s="228">
        <v>0</v>
      </c>
      <c r="R5" s="228">
        <v>0</v>
      </c>
      <c r="S5" s="228">
        <v>0</v>
      </c>
      <c r="T5" s="229">
        <v>0</v>
      </c>
      <c r="U5" s="228">
        <v>0</v>
      </c>
      <c r="V5" s="228">
        <v>0</v>
      </c>
      <c r="W5" s="228">
        <v>0</v>
      </c>
      <c r="X5" s="229">
        <v>0</v>
      </c>
      <c r="Y5" s="228">
        <v>0.31</v>
      </c>
      <c r="Z5" s="228">
        <v>0.27</v>
      </c>
      <c r="AA5" s="228">
        <v>0.04</v>
      </c>
      <c r="AB5" s="229">
        <v>4.1000000000000003E-3</v>
      </c>
      <c r="AC5" s="228">
        <v>0.31</v>
      </c>
      <c r="AD5" s="228">
        <v>0.27</v>
      </c>
      <c r="AE5" s="228">
        <v>0.04</v>
      </c>
      <c r="AF5" s="229">
        <v>4.1000000000000003E-3</v>
      </c>
      <c r="AG5" s="228">
        <v>0</v>
      </c>
      <c r="AH5" s="228">
        <v>0</v>
      </c>
      <c r="AI5" s="228">
        <v>0</v>
      </c>
      <c r="AJ5" s="229">
        <v>0</v>
      </c>
      <c r="AK5" s="228">
        <v>0</v>
      </c>
      <c r="AL5" s="228">
        <v>0</v>
      </c>
      <c r="AM5" s="228">
        <v>0</v>
      </c>
      <c r="AN5" s="229">
        <v>0</v>
      </c>
      <c r="AO5" s="228">
        <v>76.88</v>
      </c>
      <c r="AP5" s="228">
        <v>0</v>
      </c>
      <c r="AQ5" s="228">
        <v>0</v>
      </c>
      <c r="AR5" s="230">
        <v>3335800</v>
      </c>
      <c r="AS5" s="230">
        <v>7599800</v>
      </c>
      <c r="AT5" s="230">
        <v>-4264000</v>
      </c>
      <c r="AU5" s="229">
        <v>-0.56110000000000004</v>
      </c>
      <c r="AV5" s="230">
        <v>3335800</v>
      </c>
      <c r="AW5" s="230">
        <v>7599800</v>
      </c>
      <c r="AX5" s="230">
        <v>-4264000</v>
      </c>
      <c r="AY5" s="229">
        <v>-0.56110000000000004</v>
      </c>
      <c r="AZ5" s="228">
        <v>0</v>
      </c>
      <c r="BA5" s="228">
        <v>0</v>
      </c>
      <c r="BB5" s="228">
        <v>0</v>
      </c>
      <c r="BC5" s="229">
        <v>0</v>
      </c>
      <c r="BD5" s="228">
        <v>0</v>
      </c>
      <c r="BE5" s="228">
        <v>0</v>
      </c>
      <c r="BF5" s="228">
        <v>0</v>
      </c>
      <c r="BG5" s="229">
        <v>0</v>
      </c>
      <c r="BH5" s="230">
        <v>13605800</v>
      </c>
      <c r="BI5" s="230">
        <v>20672600</v>
      </c>
      <c r="BJ5" s="230">
        <v>-7066800</v>
      </c>
      <c r="BK5" s="229">
        <v>-0.34179999999999999</v>
      </c>
      <c r="BL5" s="230">
        <v>2025400</v>
      </c>
      <c r="BM5" s="230">
        <v>6328400</v>
      </c>
      <c r="BN5" s="230">
        <v>-4303000</v>
      </c>
      <c r="BO5" s="229">
        <v>-0.68</v>
      </c>
      <c r="BP5" s="230">
        <v>18967000</v>
      </c>
      <c r="BQ5" s="230">
        <v>34600800</v>
      </c>
      <c r="BR5" s="230">
        <v>-15633800</v>
      </c>
      <c r="BS5" s="229">
        <v>-0.45179999999999998</v>
      </c>
      <c r="BT5" s="230">
        <v>4280372</v>
      </c>
      <c r="BU5" s="230">
        <v>10059686</v>
      </c>
      <c r="BV5" s="230">
        <v>-5779314</v>
      </c>
      <c r="BW5" s="229">
        <v>-0.57450000000000001</v>
      </c>
      <c r="BX5" s="230">
        <v>42876600</v>
      </c>
      <c r="BY5" s="230">
        <v>43022200</v>
      </c>
      <c r="BZ5" s="230">
        <v>-145600</v>
      </c>
      <c r="CA5" s="229">
        <v>-3.3999999999999998E-3</v>
      </c>
      <c r="CB5" s="230">
        <v>42876600</v>
      </c>
      <c r="CC5" s="230">
        <v>43022200</v>
      </c>
      <c r="CD5" s="230">
        <v>-145600</v>
      </c>
      <c r="CE5" s="229">
        <v>-3.3999999999999998E-3</v>
      </c>
      <c r="CF5" s="228">
        <v>0</v>
      </c>
      <c r="CG5" s="228">
        <v>0</v>
      </c>
      <c r="CH5" s="228">
        <v>0</v>
      </c>
      <c r="CI5" s="229">
        <v>0</v>
      </c>
      <c r="CJ5" s="228">
        <v>0</v>
      </c>
      <c r="CK5" s="228">
        <v>0</v>
      </c>
      <c r="CL5" s="228">
        <v>0</v>
      </c>
      <c r="CM5" s="229">
        <v>0</v>
      </c>
      <c r="CN5" s="230">
        <v>20436000</v>
      </c>
      <c r="CO5" s="230">
        <v>21463000</v>
      </c>
      <c r="CP5" s="230">
        <v>-1027000</v>
      </c>
      <c r="CQ5" s="229">
        <v>-4.7800000000000002E-2</v>
      </c>
      <c r="CR5" s="230">
        <v>12984400</v>
      </c>
      <c r="CS5" s="230">
        <v>13348400</v>
      </c>
      <c r="CT5" s="230">
        <v>-364000</v>
      </c>
      <c r="CU5" s="229">
        <v>-2.7300000000000001E-2</v>
      </c>
      <c r="CV5" s="230">
        <v>76297000</v>
      </c>
      <c r="CW5" s="230">
        <v>77833600</v>
      </c>
      <c r="CX5" s="230">
        <v>-1536600</v>
      </c>
      <c r="CY5" s="229">
        <v>-1.9699999999999999E-2</v>
      </c>
      <c r="CZ5" s="228">
        <v>33.979999999999997</v>
      </c>
      <c r="DA5" s="228">
        <v>33.619999999999997</v>
      </c>
      <c r="DB5" s="228">
        <v>0.36</v>
      </c>
      <c r="DC5" s="228">
        <v>0.36</v>
      </c>
      <c r="DD5" s="228">
        <v>42.8</v>
      </c>
      <c r="DE5" s="228">
        <v>42.88</v>
      </c>
      <c r="DF5" s="228">
        <v>-8.82</v>
      </c>
      <c r="DG5" s="228">
        <v>-0.08</v>
      </c>
      <c r="DH5" s="228">
        <v>34.31</v>
      </c>
      <c r="DI5" s="228">
        <v>33.909999999999997</v>
      </c>
      <c r="DJ5" s="228">
        <v>0.4</v>
      </c>
      <c r="DK5" s="228">
        <v>0.4</v>
      </c>
      <c r="DL5" s="228">
        <v>31.72</v>
      </c>
      <c r="DM5" s="228">
        <v>32.659999999999997</v>
      </c>
      <c r="DN5" s="228">
        <v>-0.94</v>
      </c>
      <c r="DO5" s="228">
        <v>-0.94</v>
      </c>
      <c r="DP5" s="228">
        <v>0.64</v>
      </c>
      <c r="DQ5" s="228">
        <v>0.62</v>
      </c>
      <c r="DR5" s="228">
        <v>0.02</v>
      </c>
      <c r="DS5" s="229">
        <v>3.2300000000000002E-2</v>
      </c>
      <c r="DT5" s="228">
        <v>80</v>
      </c>
      <c r="DU5" s="228">
        <v>70</v>
      </c>
      <c r="DV5" s="228">
        <v>0.15</v>
      </c>
      <c r="DW5" s="228">
        <v>0.31</v>
      </c>
      <c r="DX5" s="228">
        <v>-0.16</v>
      </c>
      <c r="DY5" s="229">
        <v>-0.5161</v>
      </c>
      <c r="DZ5" s="229">
        <v>0</v>
      </c>
      <c r="EA5" s="228">
        <v>0</v>
      </c>
      <c r="EB5" s="229">
        <v>0</v>
      </c>
      <c r="EC5" s="229">
        <v>0</v>
      </c>
      <c r="ED5" s="228">
        <v>0</v>
      </c>
      <c r="EE5" s="229">
        <v>0</v>
      </c>
      <c r="EF5" s="230">
        <v>2016371</v>
      </c>
      <c r="EG5" s="230">
        <v>5053471</v>
      </c>
      <c r="EH5" s="229">
        <v>-0.60099999999999998</v>
      </c>
      <c r="EI5" s="229">
        <v>0.47110000000000002</v>
      </c>
      <c r="EJ5" s="231">
        <v>10835.4</v>
      </c>
      <c r="EK5" s="231">
        <v>1582.76</v>
      </c>
      <c r="EL5" s="231">
        <v>2564.6</v>
      </c>
      <c r="EM5" s="228">
        <v>0</v>
      </c>
      <c r="EN5" s="231">
        <v>14982.76</v>
      </c>
      <c r="EO5" s="231">
        <v>27322.87</v>
      </c>
      <c r="EP5" s="231">
        <v>-12340.11</v>
      </c>
      <c r="EQ5" s="229">
        <v>-0.4516</v>
      </c>
      <c r="ER5" s="231">
        <v>16228</v>
      </c>
      <c r="ES5" s="231">
        <v>9419</v>
      </c>
      <c r="ET5" s="231">
        <v>32831</v>
      </c>
      <c r="EU5" s="231">
        <v>121604705</v>
      </c>
      <c r="EV5" s="231">
        <v>58477</v>
      </c>
      <c r="EW5" s="231">
        <v>60083</v>
      </c>
      <c r="EX5" s="231">
        <v>-1606</v>
      </c>
      <c r="EY5" s="229">
        <v>-2.6700000000000002E-2</v>
      </c>
      <c r="EZ5" s="229">
        <v>0.62739999999999996</v>
      </c>
      <c r="FA5" s="227" t="s">
        <v>568</v>
      </c>
      <c r="FB5" s="161">
        <f t="shared" si="0"/>
        <v>0</v>
      </c>
    </row>
    <row r="6" spans="1:158" ht="17.25" hidden="1" thickBot="1" x14ac:dyDescent="0.3">
      <c r="A6" s="226">
        <v>45889</v>
      </c>
      <c r="B6" s="227" t="s">
        <v>161</v>
      </c>
      <c r="C6" s="227" t="s">
        <v>580</v>
      </c>
      <c r="D6" s="228">
        <v>675</v>
      </c>
      <c r="E6" s="228">
        <v>825.4</v>
      </c>
      <c r="F6" s="228">
        <v>830.85</v>
      </c>
      <c r="G6" s="228">
        <v>-5.45</v>
      </c>
      <c r="H6" s="229">
        <v>-6.6E-3</v>
      </c>
      <c r="I6" s="228">
        <v>824.2</v>
      </c>
      <c r="J6" s="228">
        <v>828.2</v>
      </c>
      <c r="K6" s="228">
        <v>-4</v>
      </c>
      <c r="L6" s="229">
        <v>-4.7999999999999996E-3</v>
      </c>
      <c r="M6" s="228">
        <v>825.4</v>
      </c>
      <c r="N6" s="228">
        <v>830.85</v>
      </c>
      <c r="O6" s="228">
        <v>-5.45</v>
      </c>
      <c r="P6" s="229">
        <v>-6.6E-3</v>
      </c>
      <c r="Q6" s="228">
        <v>830.35</v>
      </c>
      <c r="R6" s="228">
        <v>835.8</v>
      </c>
      <c r="S6" s="228">
        <v>-5.45</v>
      </c>
      <c r="T6" s="229">
        <v>-6.4999999999999997E-3</v>
      </c>
      <c r="U6" s="228">
        <v>834</v>
      </c>
      <c r="V6" s="228">
        <v>840.5</v>
      </c>
      <c r="W6" s="228">
        <v>-6.5</v>
      </c>
      <c r="X6" s="229">
        <v>-7.7000000000000002E-3</v>
      </c>
      <c r="Y6" s="228">
        <v>1.2</v>
      </c>
      <c r="Z6" s="228">
        <v>2.65</v>
      </c>
      <c r="AA6" s="228">
        <v>-1.45</v>
      </c>
      <c r="AB6" s="229">
        <v>1.5E-3</v>
      </c>
      <c r="AC6" s="228">
        <v>1.2</v>
      </c>
      <c r="AD6" s="228">
        <v>2.65</v>
      </c>
      <c r="AE6" s="228">
        <v>-1.45</v>
      </c>
      <c r="AF6" s="229">
        <v>1.5E-3</v>
      </c>
      <c r="AG6" s="228">
        <v>6.15</v>
      </c>
      <c r="AH6" s="228">
        <v>7.6</v>
      </c>
      <c r="AI6" s="228">
        <v>-1.45</v>
      </c>
      <c r="AJ6" s="229">
        <v>7.4999999999999997E-3</v>
      </c>
      <c r="AK6" s="228">
        <v>9.8000000000000007</v>
      </c>
      <c r="AL6" s="228">
        <v>12.3</v>
      </c>
      <c r="AM6" s="228">
        <v>-2.5</v>
      </c>
      <c r="AN6" s="229">
        <v>1.1900000000000001E-2</v>
      </c>
      <c r="AO6" s="228">
        <v>828.47</v>
      </c>
      <c r="AP6" s="228">
        <v>834.23</v>
      </c>
      <c r="AQ6" s="228">
        <v>0</v>
      </c>
      <c r="AR6" s="230">
        <v>1248750</v>
      </c>
      <c r="AS6" s="230">
        <v>2172825</v>
      </c>
      <c r="AT6" s="230">
        <v>-924075</v>
      </c>
      <c r="AU6" s="229">
        <v>-0.42530000000000001</v>
      </c>
      <c r="AV6" s="230">
        <v>903825</v>
      </c>
      <c r="AW6" s="230">
        <v>1796850</v>
      </c>
      <c r="AX6" s="230">
        <v>-893025</v>
      </c>
      <c r="AY6" s="229">
        <v>-0.497</v>
      </c>
      <c r="AZ6" s="230">
        <v>334800</v>
      </c>
      <c r="BA6" s="230">
        <v>356400</v>
      </c>
      <c r="BB6" s="230">
        <v>-21600</v>
      </c>
      <c r="BC6" s="229">
        <v>-6.0600000000000001E-2</v>
      </c>
      <c r="BD6" s="230">
        <v>10125</v>
      </c>
      <c r="BE6" s="230">
        <v>19575</v>
      </c>
      <c r="BF6" s="230">
        <v>-9450</v>
      </c>
      <c r="BG6" s="229">
        <v>-0.48280000000000001</v>
      </c>
      <c r="BH6" s="230">
        <v>1325025</v>
      </c>
      <c r="BI6" s="230">
        <v>4601475</v>
      </c>
      <c r="BJ6" s="230">
        <v>-3276450</v>
      </c>
      <c r="BK6" s="229">
        <v>-0.71199999999999997</v>
      </c>
      <c r="BL6" s="230">
        <v>820800</v>
      </c>
      <c r="BM6" s="230">
        <v>2845125</v>
      </c>
      <c r="BN6" s="230">
        <v>-2024325</v>
      </c>
      <c r="BO6" s="229">
        <v>-0.71150000000000002</v>
      </c>
      <c r="BP6" s="230">
        <v>3394575</v>
      </c>
      <c r="BQ6" s="230">
        <v>9619425</v>
      </c>
      <c r="BR6" s="230">
        <v>-6224850</v>
      </c>
      <c r="BS6" s="229">
        <v>-0.64710000000000001</v>
      </c>
      <c r="BT6" s="230">
        <v>437312</v>
      </c>
      <c r="BU6" s="230">
        <v>1008668</v>
      </c>
      <c r="BV6" s="230">
        <v>-571356</v>
      </c>
      <c r="BW6" s="229">
        <v>-0.56640000000000001</v>
      </c>
      <c r="BX6" s="230">
        <v>19706625</v>
      </c>
      <c r="BY6" s="230">
        <v>19628325</v>
      </c>
      <c r="BZ6" s="230">
        <v>78300</v>
      </c>
      <c r="CA6" s="229">
        <v>4.0000000000000001E-3</v>
      </c>
      <c r="CB6" s="230">
        <v>18885825</v>
      </c>
      <c r="CC6" s="230">
        <v>19044450</v>
      </c>
      <c r="CD6" s="230">
        <v>-158625</v>
      </c>
      <c r="CE6" s="229">
        <v>-8.3000000000000001E-3</v>
      </c>
      <c r="CF6" s="230">
        <v>783000</v>
      </c>
      <c r="CG6" s="230">
        <v>546750</v>
      </c>
      <c r="CH6" s="230">
        <v>236250</v>
      </c>
      <c r="CI6" s="229">
        <v>0.43209999999999998</v>
      </c>
      <c r="CJ6" s="230">
        <v>37800</v>
      </c>
      <c r="CK6" s="230">
        <v>37125</v>
      </c>
      <c r="CL6" s="228">
        <v>675</v>
      </c>
      <c r="CM6" s="229">
        <v>1.8200000000000001E-2</v>
      </c>
      <c r="CN6" s="230">
        <v>3582900</v>
      </c>
      <c r="CO6" s="230">
        <v>3489075</v>
      </c>
      <c r="CP6" s="230">
        <v>93825</v>
      </c>
      <c r="CQ6" s="229">
        <v>2.69E-2</v>
      </c>
      <c r="CR6" s="230">
        <v>2570400</v>
      </c>
      <c r="CS6" s="230">
        <v>2504925</v>
      </c>
      <c r="CT6" s="230">
        <v>65475</v>
      </c>
      <c r="CU6" s="229">
        <v>2.6100000000000002E-2</v>
      </c>
      <c r="CV6" s="230">
        <v>25859925</v>
      </c>
      <c r="CW6" s="230">
        <v>25622325</v>
      </c>
      <c r="CX6" s="230">
        <v>237600</v>
      </c>
      <c r="CY6" s="229">
        <v>9.2999999999999992E-3</v>
      </c>
      <c r="CZ6" s="228">
        <v>27.14</v>
      </c>
      <c r="DA6" s="228">
        <v>29.26</v>
      </c>
      <c r="DB6" s="228">
        <v>-2.12</v>
      </c>
      <c r="DC6" s="228">
        <v>-2.12</v>
      </c>
      <c r="DD6" s="228">
        <v>58.99</v>
      </c>
      <c r="DE6" s="228">
        <v>59.13</v>
      </c>
      <c r="DF6" s="228">
        <v>-31.85</v>
      </c>
      <c r="DG6" s="228">
        <v>-0.14000000000000001</v>
      </c>
      <c r="DH6" s="228">
        <v>27.04</v>
      </c>
      <c r="DI6" s="228">
        <v>28.56</v>
      </c>
      <c r="DJ6" s="228">
        <v>-1.52</v>
      </c>
      <c r="DK6" s="228">
        <v>-1.52</v>
      </c>
      <c r="DL6" s="228">
        <v>27.3</v>
      </c>
      <c r="DM6" s="228">
        <v>30.41</v>
      </c>
      <c r="DN6" s="228">
        <v>-3.11</v>
      </c>
      <c r="DO6" s="228">
        <v>-3.11</v>
      </c>
      <c r="DP6" s="228">
        <v>0.72</v>
      </c>
      <c r="DQ6" s="228">
        <v>0.72</v>
      </c>
      <c r="DR6" s="228">
        <v>0</v>
      </c>
      <c r="DS6" s="229">
        <v>0</v>
      </c>
      <c r="DT6" s="228">
        <v>800</v>
      </c>
      <c r="DU6" s="228">
        <v>820</v>
      </c>
      <c r="DV6" s="228">
        <v>0.62</v>
      </c>
      <c r="DW6" s="228">
        <v>0.62</v>
      </c>
      <c r="DX6" s="228">
        <v>0</v>
      </c>
      <c r="DY6" s="229">
        <v>0</v>
      </c>
      <c r="DZ6" s="229">
        <v>4.1700000000000001E-2</v>
      </c>
      <c r="EA6" s="230">
        <v>583875</v>
      </c>
      <c r="EB6" s="229">
        <v>6.0000000000000001E-3</v>
      </c>
      <c r="EC6" s="229">
        <v>4.1700000000000001E-2</v>
      </c>
      <c r="ED6" s="228">
        <v>5.76</v>
      </c>
      <c r="EE6" s="229">
        <v>7.0000000000000001E-3</v>
      </c>
      <c r="EF6" s="230">
        <v>155267</v>
      </c>
      <c r="EG6" s="230">
        <v>378368</v>
      </c>
      <c r="EH6" s="229">
        <v>-0.58960000000000001</v>
      </c>
      <c r="EI6" s="229">
        <v>0.35499999999999998</v>
      </c>
      <c r="EJ6" s="231">
        <v>11307.69</v>
      </c>
      <c r="EK6" s="231">
        <v>6783.21</v>
      </c>
      <c r="EL6" s="231">
        <v>10365.64</v>
      </c>
      <c r="EM6" s="228">
        <v>0</v>
      </c>
      <c r="EN6" s="231">
        <v>28456.54</v>
      </c>
      <c r="EO6" s="231">
        <v>80335.520000000004</v>
      </c>
      <c r="EP6" s="231">
        <v>-51878.98</v>
      </c>
      <c r="EQ6" s="229">
        <v>-0.64580000000000004</v>
      </c>
      <c r="ER6" s="231">
        <v>30153</v>
      </c>
      <c r="ES6" s="231">
        <v>20816</v>
      </c>
      <c r="ET6" s="231">
        <v>162700</v>
      </c>
      <c r="EU6" s="231">
        <v>69209851</v>
      </c>
      <c r="EV6" s="231">
        <v>213669</v>
      </c>
      <c r="EW6" s="231">
        <v>212720</v>
      </c>
      <c r="EX6" s="228">
        <v>949</v>
      </c>
      <c r="EY6" s="229">
        <v>4.4999999999999997E-3</v>
      </c>
      <c r="EZ6" s="229">
        <v>0.37359999999999999</v>
      </c>
      <c r="FA6" s="227" t="s">
        <v>567</v>
      </c>
      <c r="FB6" s="161">
        <f t="shared" si="0"/>
        <v>820800</v>
      </c>
    </row>
    <row r="7" spans="1:158" ht="17.25" hidden="1" thickBot="1" x14ac:dyDescent="0.3">
      <c r="A7" s="226">
        <v>45889</v>
      </c>
      <c r="B7" s="227" t="s">
        <v>215</v>
      </c>
      <c r="C7" s="227" t="s">
        <v>159</v>
      </c>
      <c r="D7" s="228">
        <v>300</v>
      </c>
      <c r="E7" s="231">
        <v>2386.4</v>
      </c>
      <c r="F7" s="231">
        <v>2388.9</v>
      </c>
      <c r="G7" s="228">
        <v>-2.5</v>
      </c>
      <c r="H7" s="229">
        <v>-1E-3</v>
      </c>
      <c r="I7" s="231">
        <v>2387.1</v>
      </c>
      <c r="J7" s="231">
        <v>2388.4</v>
      </c>
      <c r="K7" s="228">
        <v>-1.3</v>
      </c>
      <c r="L7" s="229">
        <v>-5.0000000000000001E-4</v>
      </c>
      <c r="M7" s="231">
        <v>2386.4</v>
      </c>
      <c r="N7" s="231">
        <v>2388.9</v>
      </c>
      <c r="O7" s="228">
        <v>-2.5</v>
      </c>
      <c r="P7" s="229">
        <v>-1E-3</v>
      </c>
      <c r="Q7" s="231">
        <v>2400</v>
      </c>
      <c r="R7" s="231">
        <v>2402.3000000000002</v>
      </c>
      <c r="S7" s="228">
        <v>-2.2999999999999998</v>
      </c>
      <c r="T7" s="229">
        <v>-1E-3</v>
      </c>
      <c r="U7" s="231">
        <v>2411.1999999999998</v>
      </c>
      <c r="V7" s="231">
        <v>2411.1999999999998</v>
      </c>
      <c r="W7" s="228">
        <v>0</v>
      </c>
      <c r="X7" s="229">
        <v>0</v>
      </c>
      <c r="Y7" s="228">
        <v>-0.7</v>
      </c>
      <c r="Z7" s="228">
        <v>0.5</v>
      </c>
      <c r="AA7" s="228">
        <v>-1.2</v>
      </c>
      <c r="AB7" s="229">
        <v>-2.9999999999999997E-4</v>
      </c>
      <c r="AC7" s="228">
        <v>-0.7</v>
      </c>
      <c r="AD7" s="228">
        <v>0.5</v>
      </c>
      <c r="AE7" s="228">
        <v>-1.2</v>
      </c>
      <c r="AF7" s="229">
        <v>-2.9999999999999997E-4</v>
      </c>
      <c r="AG7" s="228">
        <v>12.9</v>
      </c>
      <c r="AH7" s="228">
        <v>13.9</v>
      </c>
      <c r="AI7" s="228">
        <v>-1</v>
      </c>
      <c r="AJ7" s="229">
        <v>5.4000000000000003E-3</v>
      </c>
      <c r="AK7" s="228">
        <v>24.1</v>
      </c>
      <c r="AL7" s="228">
        <v>22.8</v>
      </c>
      <c r="AM7" s="228">
        <v>1.3</v>
      </c>
      <c r="AN7" s="229">
        <v>1.01E-2</v>
      </c>
      <c r="AO7" s="231">
        <v>2390.66</v>
      </c>
      <c r="AP7" s="231">
        <v>2403.2199999999998</v>
      </c>
      <c r="AQ7" s="228">
        <v>0</v>
      </c>
      <c r="AR7" s="230">
        <v>2409300</v>
      </c>
      <c r="AS7" s="230">
        <v>2991900</v>
      </c>
      <c r="AT7" s="230">
        <v>-582600</v>
      </c>
      <c r="AU7" s="229">
        <v>-0.19470000000000001</v>
      </c>
      <c r="AV7" s="230">
        <v>2031000</v>
      </c>
      <c r="AW7" s="230">
        <v>2445000</v>
      </c>
      <c r="AX7" s="230">
        <v>-414000</v>
      </c>
      <c r="AY7" s="229">
        <v>-0.16930000000000001</v>
      </c>
      <c r="AZ7" s="230">
        <v>370800</v>
      </c>
      <c r="BA7" s="230">
        <v>534000</v>
      </c>
      <c r="BB7" s="230">
        <v>-163200</v>
      </c>
      <c r="BC7" s="229">
        <v>-0.30559999999999998</v>
      </c>
      <c r="BD7" s="230">
        <v>7500</v>
      </c>
      <c r="BE7" s="230">
        <v>12900</v>
      </c>
      <c r="BF7" s="230">
        <v>-5400</v>
      </c>
      <c r="BG7" s="229">
        <v>-0.41860000000000003</v>
      </c>
      <c r="BH7" s="230">
        <v>10453200</v>
      </c>
      <c r="BI7" s="230">
        <v>14639400</v>
      </c>
      <c r="BJ7" s="230">
        <v>-4186200</v>
      </c>
      <c r="BK7" s="229">
        <v>-0.28599999999999998</v>
      </c>
      <c r="BL7" s="230">
        <v>5467500</v>
      </c>
      <c r="BM7" s="230">
        <v>7817700</v>
      </c>
      <c r="BN7" s="230">
        <v>-2350200</v>
      </c>
      <c r="BO7" s="229">
        <v>-0.30059999999999998</v>
      </c>
      <c r="BP7" s="230">
        <v>18330000</v>
      </c>
      <c r="BQ7" s="230">
        <v>25449000</v>
      </c>
      <c r="BR7" s="230">
        <v>-7119000</v>
      </c>
      <c r="BS7" s="229">
        <v>-0.2797</v>
      </c>
      <c r="BT7" s="230">
        <v>813558</v>
      </c>
      <c r="BU7" s="230">
        <v>1131103</v>
      </c>
      <c r="BV7" s="230">
        <v>-317545</v>
      </c>
      <c r="BW7" s="229">
        <v>-0.28070000000000001</v>
      </c>
      <c r="BX7" s="230">
        <v>17055000</v>
      </c>
      <c r="BY7" s="230">
        <v>17252700</v>
      </c>
      <c r="BZ7" s="230">
        <v>-197700</v>
      </c>
      <c r="CA7" s="229">
        <v>-1.15E-2</v>
      </c>
      <c r="CB7" s="230">
        <v>15794700</v>
      </c>
      <c r="CC7" s="230">
        <v>16201500</v>
      </c>
      <c r="CD7" s="230">
        <v>-406800</v>
      </c>
      <c r="CE7" s="229">
        <v>-2.5100000000000001E-2</v>
      </c>
      <c r="CF7" s="230">
        <v>1010400</v>
      </c>
      <c r="CG7" s="230">
        <v>802500</v>
      </c>
      <c r="CH7" s="230">
        <v>207900</v>
      </c>
      <c r="CI7" s="229">
        <v>0.2591</v>
      </c>
      <c r="CJ7" s="230">
        <v>249900</v>
      </c>
      <c r="CK7" s="230">
        <v>248700</v>
      </c>
      <c r="CL7" s="230">
        <v>1200</v>
      </c>
      <c r="CM7" s="229">
        <v>4.7999999999999996E-3</v>
      </c>
      <c r="CN7" s="230">
        <v>9311100</v>
      </c>
      <c r="CO7" s="230">
        <v>9068400</v>
      </c>
      <c r="CP7" s="230">
        <v>242700</v>
      </c>
      <c r="CQ7" s="229">
        <v>2.6800000000000001E-2</v>
      </c>
      <c r="CR7" s="230">
        <v>8688000</v>
      </c>
      <c r="CS7" s="230">
        <v>8773800</v>
      </c>
      <c r="CT7" s="230">
        <v>-85800</v>
      </c>
      <c r="CU7" s="229">
        <v>-9.7999999999999997E-3</v>
      </c>
      <c r="CV7" s="230">
        <v>35054100</v>
      </c>
      <c r="CW7" s="230">
        <v>35094900</v>
      </c>
      <c r="CX7" s="230">
        <v>-40800</v>
      </c>
      <c r="CY7" s="229">
        <v>-1.1999999999999999E-3</v>
      </c>
      <c r="CZ7" s="228">
        <v>29.72</v>
      </c>
      <c r="DA7" s="228">
        <v>30.35</v>
      </c>
      <c r="DB7" s="228">
        <v>-0.63</v>
      </c>
      <c r="DC7" s="228">
        <v>-0.63</v>
      </c>
      <c r="DD7" s="228">
        <v>52.58</v>
      </c>
      <c r="DE7" s="228">
        <v>52.72</v>
      </c>
      <c r="DF7" s="228">
        <v>-22.86</v>
      </c>
      <c r="DG7" s="228">
        <v>-0.14000000000000001</v>
      </c>
      <c r="DH7" s="228">
        <v>28.62</v>
      </c>
      <c r="DI7" s="228">
        <v>28.07</v>
      </c>
      <c r="DJ7" s="228">
        <v>0.55000000000000004</v>
      </c>
      <c r="DK7" s="228">
        <v>0.55000000000000004</v>
      </c>
      <c r="DL7" s="228">
        <v>31.81</v>
      </c>
      <c r="DM7" s="228">
        <v>34.619999999999997</v>
      </c>
      <c r="DN7" s="228">
        <v>-2.81</v>
      </c>
      <c r="DO7" s="228">
        <v>-2.81</v>
      </c>
      <c r="DP7" s="228">
        <v>0.93</v>
      </c>
      <c r="DQ7" s="228">
        <v>0.97</v>
      </c>
      <c r="DR7" s="228">
        <v>-0.04</v>
      </c>
      <c r="DS7" s="229">
        <v>-4.1200000000000001E-2</v>
      </c>
      <c r="DT7" s="231">
        <v>2600</v>
      </c>
      <c r="DU7" s="231">
        <v>2700</v>
      </c>
      <c r="DV7" s="228">
        <v>0.52</v>
      </c>
      <c r="DW7" s="228">
        <v>0.53</v>
      </c>
      <c r="DX7" s="228">
        <v>-0.01</v>
      </c>
      <c r="DY7" s="229">
        <v>-1.89E-2</v>
      </c>
      <c r="DZ7" s="229">
        <v>7.3899999999999993E-2</v>
      </c>
      <c r="EA7" s="230">
        <v>1051200</v>
      </c>
      <c r="EB7" s="229">
        <v>5.7000000000000002E-3</v>
      </c>
      <c r="EC7" s="229">
        <v>7.3899999999999993E-2</v>
      </c>
      <c r="ED7" s="228">
        <v>12.56</v>
      </c>
      <c r="EE7" s="229">
        <v>5.3E-3</v>
      </c>
      <c r="EF7" s="230">
        <v>330033</v>
      </c>
      <c r="EG7" s="230">
        <v>435487</v>
      </c>
      <c r="EH7" s="229">
        <v>-0.2422</v>
      </c>
      <c r="EI7" s="229">
        <v>0.40570000000000001</v>
      </c>
      <c r="EJ7" s="231">
        <v>259637.55</v>
      </c>
      <c r="EK7" s="231">
        <v>126448.15</v>
      </c>
      <c r="EL7" s="231">
        <v>57646.27</v>
      </c>
      <c r="EM7" s="228">
        <v>0</v>
      </c>
      <c r="EN7" s="231">
        <v>443731.97</v>
      </c>
      <c r="EO7" s="231">
        <v>609925.30000000005</v>
      </c>
      <c r="EP7" s="231">
        <v>-166193.32999999999</v>
      </c>
      <c r="EQ7" s="229">
        <v>-0.27250000000000002</v>
      </c>
      <c r="ER7" s="231">
        <v>232028</v>
      </c>
      <c r="ES7" s="231">
        <v>207930</v>
      </c>
      <c r="ET7" s="231">
        <v>407200</v>
      </c>
      <c r="EU7" s="231">
        <v>60081955</v>
      </c>
      <c r="EV7" s="231">
        <v>847158</v>
      </c>
      <c r="EW7" s="231">
        <v>847397</v>
      </c>
      <c r="EX7" s="228">
        <v>-239</v>
      </c>
      <c r="EY7" s="229">
        <v>-2.9999999999999997E-4</v>
      </c>
      <c r="EZ7" s="229">
        <v>0.58340000000000003</v>
      </c>
      <c r="FA7" s="227" t="s">
        <v>568</v>
      </c>
      <c r="FB7" s="161">
        <f t="shared" si="0"/>
        <v>1260300</v>
      </c>
    </row>
    <row r="8" spans="1:158" ht="17.25" hidden="1" thickBot="1" x14ac:dyDescent="0.3">
      <c r="A8" s="226">
        <v>45889</v>
      </c>
      <c r="B8" s="227" t="s">
        <v>161</v>
      </c>
      <c r="C8" s="227" t="s">
        <v>607</v>
      </c>
      <c r="D8" s="228">
        <v>600</v>
      </c>
      <c r="E8" s="228">
        <v>976.45</v>
      </c>
      <c r="F8" s="228">
        <v>976.2</v>
      </c>
      <c r="G8" s="228">
        <v>0.25</v>
      </c>
      <c r="H8" s="229">
        <v>2.9999999999999997E-4</v>
      </c>
      <c r="I8" s="228">
        <v>975.95</v>
      </c>
      <c r="J8" s="228">
        <v>973.4</v>
      </c>
      <c r="K8" s="228">
        <v>2.5499999999999998</v>
      </c>
      <c r="L8" s="229">
        <v>2.5999999999999999E-3</v>
      </c>
      <c r="M8" s="228">
        <v>976.45</v>
      </c>
      <c r="N8" s="228">
        <v>976.2</v>
      </c>
      <c r="O8" s="228">
        <v>0.25</v>
      </c>
      <c r="P8" s="229">
        <v>2.9999999999999997E-4</v>
      </c>
      <c r="Q8" s="228">
        <v>982.1</v>
      </c>
      <c r="R8" s="228">
        <v>981.55</v>
      </c>
      <c r="S8" s="228">
        <v>0.55000000000000004</v>
      </c>
      <c r="T8" s="229">
        <v>5.9999999999999995E-4</v>
      </c>
      <c r="U8" s="228">
        <v>986.7</v>
      </c>
      <c r="V8" s="228">
        <v>986.1</v>
      </c>
      <c r="W8" s="228">
        <v>0.6</v>
      </c>
      <c r="X8" s="229">
        <v>5.9999999999999995E-4</v>
      </c>
      <c r="Y8" s="228">
        <v>0.5</v>
      </c>
      <c r="Z8" s="228">
        <v>2.8</v>
      </c>
      <c r="AA8" s="228">
        <v>-2.2999999999999998</v>
      </c>
      <c r="AB8" s="229">
        <v>5.0000000000000001E-4</v>
      </c>
      <c r="AC8" s="228">
        <v>0.5</v>
      </c>
      <c r="AD8" s="228">
        <v>2.8</v>
      </c>
      <c r="AE8" s="228">
        <v>-2.2999999999999998</v>
      </c>
      <c r="AF8" s="229">
        <v>5.0000000000000001E-4</v>
      </c>
      <c r="AG8" s="228">
        <v>6.15</v>
      </c>
      <c r="AH8" s="228">
        <v>8.15</v>
      </c>
      <c r="AI8" s="228">
        <v>-2</v>
      </c>
      <c r="AJ8" s="229">
        <v>6.3E-3</v>
      </c>
      <c r="AK8" s="228">
        <v>10.75</v>
      </c>
      <c r="AL8" s="228">
        <v>12.7</v>
      </c>
      <c r="AM8" s="228">
        <v>-1.95</v>
      </c>
      <c r="AN8" s="229">
        <v>1.0999999999999999E-2</v>
      </c>
      <c r="AO8" s="228">
        <v>978.06</v>
      </c>
      <c r="AP8" s="228">
        <v>983.91</v>
      </c>
      <c r="AQ8" s="228">
        <v>0</v>
      </c>
      <c r="AR8" s="230">
        <v>1999200</v>
      </c>
      <c r="AS8" s="230">
        <v>3255600</v>
      </c>
      <c r="AT8" s="230">
        <v>-1256400</v>
      </c>
      <c r="AU8" s="229">
        <v>-0.38590000000000002</v>
      </c>
      <c r="AV8" s="230">
        <v>1692000</v>
      </c>
      <c r="AW8" s="230">
        <v>2785800</v>
      </c>
      <c r="AX8" s="230">
        <v>-1093800</v>
      </c>
      <c r="AY8" s="229">
        <v>-0.3926</v>
      </c>
      <c r="AZ8" s="230">
        <v>289800</v>
      </c>
      <c r="BA8" s="230">
        <v>432600</v>
      </c>
      <c r="BB8" s="230">
        <v>-142800</v>
      </c>
      <c r="BC8" s="229">
        <v>-0.3301</v>
      </c>
      <c r="BD8" s="230">
        <v>17400</v>
      </c>
      <c r="BE8" s="230">
        <v>37200</v>
      </c>
      <c r="BF8" s="230">
        <v>-19800</v>
      </c>
      <c r="BG8" s="229">
        <v>-0.5323</v>
      </c>
      <c r="BH8" s="230">
        <v>6759000</v>
      </c>
      <c r="BI8" s="230">
        <v>11060400</v>
      </c>
      <c r="BJ8" s="230">
        <v>-4301400</v>
      </c>
      <c r="BK8" s="229">
        <v>-0.38890000000000002</v>
      </c>
      <c r="BL8" s="230">
        <v>3594000</v>
      </c>
      <c r="BM8" s="230">
        <v>4554600</v>
      </c>
      <c r="BN8" s="230">
        <v>-960600</v>
      </c>
      <c r="BO8" s="229">
        <v>-0.2109</v>
      </c>
      <c r="BP8" s="230">
        <v>12352200</v>
      </c>
      <c r="BQ8" s="230">
        <v>18870600</v>
      </c>
      <c r="BR8" s="230">
        <v>-6518400</v>
      </c>
      <c r="BS8" s="229">
        <v>-0.34539999999999998</v>
      </c>
      <c r="BT8" s="230">
        <v>1724499</v>
      </c>
      <c r="BU8" s="230">
        <v>2012517</v>
      </c>
      <c r="BV8" s="230">
        <v>-288018</v>
      </c>
      <c r="BW8" s="229">
        <v>-0.1431</v>
      </c>
      <c r="BX8" s="230">
        <v>19405800</v>
      </c>
      <c r="BY8" s="230">
        <v>19716000</v>
      </c>
      <c r="BZ8" s="230">
        <v>-310200</v>
      </c>
      <c r="CA8" s="229">
        <v>-1.5699999999999999E-2</v>
      </c>
      <c r="CB8" s="230">
        <v>18511800</v>
      </c>
      <c r="CC8" s="230">
        <v>18902400</v>
      </c>
      <c r="CD8" s="230">
        <v>-390600</v>
      </c>
      <c r="CE8" s="229">
        <v>-2.07E-2</v>
      </c>
      <c r="CF8" s="230">
        <v>779400</v>
      </c>
      <c r="CG8" s="230">
        <v>702000</v>
      </c>
      <c r="CH8" s="230">
        <v>77400</v>
      </c>
      <c r="CI8" s="229">
        <v>0.1103</v>
      </c>
      <c r="CJ8" s="230">
        <v>114600</v>
      </c>
      <c r="CK8" s="230">
        <v>111600</v>
      </c>
      <c r="CL8" s="230">
        <v>3000</v>
      </c>
      <c r="CM8" s="229">
        <v>2.69E-2</v>
      </c>
      <c r="CN8" s="230">
        <v>5215200</v>
      </c>
      <c r="CO8" s="230">
        <v>5306400</v>
      </c>
      <c r="CP8" s="230">
        <v>-91200</v>
      </c>
      <c r="CQ8" s="229">
        <v>-1.72E-2</v>
      </c>
      <c r="CR8" s="230">
        <v>4059600</v>
      </c>
      <c r="CS8" s="230">
        <v>4053600</v>
      </c>
      <c r="CT8" s="230">
        <v>6000</v>
      </c>
      <c r="CU8" s="229">
        <v>1.5E-3</v>
      </c>
      <c r="CV8" s="230">
        <v>28680600</v>
      </c>
      <c r="CW8" s="230">
        <v>29076000</v>
      </c>
      <c r="CX8" s="230">
        <v>-395400</v>
      </c>
      <c r="CY8" s="229">
        <v>-1.3599999999999999E-2</v>
      </c>
      <c r="CZ8" s="228">
        <v>34.61</v>
      </c>
      <c r="DA8" s="228">
        <v>36.630000000000003</v>
      </c>
      <c r="DB8" s="228">
        <v>-2.02</v>
      </c>
      <c r="DC8" s="228">
        <v>-2.02</v>
      </c>
      <c r="DD8" s="228">
        <v>60.64</v>
      </c>
      <c r="DE8" s="228">
        <v>60.79</v>
      </c>
      <c r="DF8" s="228">
        <v>-26.03</v>
      </c>
      <c r="DG8" s="228">
        <v>-0.15</v>
      </c>
      <c r="DH8" s="228">
        <v>34.299999999999997</v>
      </c>
      <c r="DI8" s="228">
        <v>35.58</v>
      </c>
      <c r="DJ8" s="228">
        <v>-1.28</v>
      </c>
      <c r="DK8" s="228">
        <v>-1.28</v>
      </c>
      <c r="DL8" s="228">
        <v>35.17</v>
      </c>
      <c r="DM8" s="228">
        <v>39.19</v>
      </c>
      <c r="DN8" s="228">
        <v>-4.0199999999999996</v>
      </c>
      <c r="DO8" s="228">
        <v>-4.0199999999999996</v>
      </c>
      <c r="DP8" s="228">
        <v>0.78</v>
      </c>
      <c r="DQ8" s="228">
        <v>0.76</v>
      </c>
      <c r="DR8" s="228">
        <v>0.02</v>
      </c>
      <c r="DS8" s="229">
        <v>2.63E-2</v>
      </c>
      <c r="DT8" s="231">
        <v>1000</v>
      </c>
      <c r="DU8" s="228">
        <v>900</v>
      </c>
      <c r="DV8" s="228">
        <v>0.53</v>
      </c>
      <c r="DW8" s="228">
        <v>0.41</v>
      </c>
      <c r="DX8" s="228">
        <v>0.12</v>
      </c>
      <c r="DY8" s="229">
        <v>0.29270000000000002</v>
      </c>
      <c r="DZ8" s="229">
        <v>4.6100000000000002E-2</v>
      </c>
      <c r="EA8" s="230">
        <v>813600</v>
      </c>
      <c r="EB8" s="229">
        <v>5.7999999999999996E-3</v>
      </c>
      <c r="EC8" s="229">
        <v>4.6100000000000002E-2</v>
      </c>
      <c r="ED8" s="228">
        <v>5.85</v>
      </c>
      <c r="EE8" s="229">
        <v>6.0000000000000001E-3</v>
      </c>
      <c r="EF8" s="230">
        <v>510662</v>
      </c>
      <c r="EG8" s="230">
        <v>584655</v>
      </c>
      <c r="EH8" s="229">
        <v>-0.12659999999999999</v>
      </c>
      <c r="EI8" s="229">
        <v>0.29609999999999997</v>
      </c>
      <c r="EJ8" s="231">
        <v>68917.5</v>
      </c>
      <c r="EK8" s="231">
        <v>34695.94</v>
      </c>
      <c r="EL8" s="231">
        <v>19571.96</v>
      </c>
      <c r="EM8" s="228">
        <v>0</v>
      </c>
      <c r="EN8" s="231">
        <v>123185.4</v>
      </c>
      <c r="EO8" s="231">
        <v>184982.62</v>
      </c>
      <c r="EP8" s="231">
        <v>-61797.22</v>
      </c>
      <c r="EQ8" s="229">
        <v>-0.33410000000000001</v>
      </c>
      <c r="ER8" s="231">
        <v>53818</v>
      </c>
      <c r="ES8" s="231">
        <v>38478</v>
      </c>
      <c r="ET8" s="231">
        <v>189544</v>
      </c>
      <c r="EU8" s="231">
        <v>123755903</v>
      </c>
      <c r="EV8" s="231">
        <v>281840</v>
      </c>
      <c r="EW8" s="231">
        <v>285580</v>
      </c>
      <c r="EX8" s="231">
        <v>-3740</v>
      </c>
      <c r="EY8" s="229">
        <v>-1.3100000000000001E-2</v>
      </c>
      <c r="EZ8" s="229">
        <v>0.23180000000000001</v>
      </c>
      <c r="FA8" s="227" t="s">
        <v>556</v>
      </c>
      <c r="FB8" s="161">
        <f t="shared" si="0"/>
        <v>894000</v>
      </c>
    </row>
    <row r="9" spans="1:158" ht="17.25" hidden="1" thickBot="1" x14ac:dyDescent="0.3">
      <c r="A9" s="226">
        <v>45889</v>
      </c>
      <c r="B9" s="227" t="s">
        <v>215</v>
      </c>
      <c r="C9" s="227" t="s">
        <v>160</v>
      </c>
      <c r="D9" s="228">
        <v>475</v>
      </c>
      <c r="E9" s="231">
        <v>1371.3</v>
      </c>
      <c r="F9" s="231">
        <v>1373.2</v>
      </c>
      <c r="G9" s="228">
        <v>-1.9</v>
      </c>
      <c r="H9" s="229">
        <v>-1.4E-3</v>
      </c>
      <c r="I9" s="231">
        <v>1370.6</v>
      </c>
      <c r="J9" s="231">
        <v>1369.4</v>
      </c>
      <c r="K9" s="228">
        <v>1.2</v>
      </c>
      <c r="L9" s="229">
        <v>8.9999999999999998E-4</v>
      </c>
      <c r="M9" s="231">
        <v>1371.3</v>
      </c>
      <c r="N9" s="231">
        <v>1373.2</v>
      </c>
      <c r="O9" s="228">
        <v>-1.9</v>
      </c>
      <c r="P9" s="229">
        <v>-1.4E-3</v>
      </c>
      <c r="Q9" s="231">
        <v>1378.8</v>
      </c>
      <c r="R9" s="231">
        <v>1380.7</v>
      </c>
      <c r="S9" s="228">
        <v>-1.9</v>
      </c>
      <c r="T9" s="229">
        <v>-1.4E-3</v>
      </c>
      <c r="U9" s="231">
        <v>1386.6</v>
      </c>
      <c r="V9" s="231">
        <v>1387.8</v>
      </c>
      <c r="W9" s="228">
        <v>-1.2</v>
      </c>
      <c r="X9" s="229">
        <v>-8.9999999999999998E-4</v>
      </c>
      <c r="Y9" s="228">
        <v>0.7</v>
      </c>
      <c r="Z9" s="228">
        <v>3.8</v>
      </c>
      <c r="AA9" s="228">
        <v>-3.1</v>
      </c>
      <c r="AB9" s="229">
        <v>5.0000000000000001E-4</v>
      </c>
      <c r="AC9" s="228">
        <v>0.7</v>
      </c>
      <c r="AD9" s="228">
        <v>3.8</v>
      </c>
      <c r="AE9" s="228">
        <v>-3.1</v>
      </c>
      <c r="AF9" s="229">
        <v>5.0000000000000001E-4</v>
      </c>
      <c r="AG9" s="228">
        <v>8.1999999999999993</v>
      </c>
      <c r="AH9" s="228">
        <v>11.3</v>
      </c>
      <c r="AI9" s="228">
        <v>-3.1</v>
      </c>
      <c r="AJ9" s="229">
        <v>6.0000000000000001E-3</v>
      </c>
      <c r="AK9" s="228">
        <v>16</v>
      </c>
      <c r="AL9" s="228">
        <v>18.399999999999999</v>
      </c>
      <c r="AM9" s="228">
        <v>-2.4</v>
      </c>
      <c r="AN9" s="229">
        <v>1.17E-2</v>
      </c>
      <c r="AO9" s="231">
        <v>1369.53</v>
      </c>
      <c r="AP9" s="231">
        <v>1377.47</v>
      </c>
      <c r="AQ9" s="228">
        <v>0</v>
      </c>
      <c r="AR9" s="230">
        <v>2684225</v>
      </c>
      <c r="AS9" s="230">
        <v>5793575</v>
      </c>
      <c r="AT9" s="230">
        <v>-3109350</v>
      </c>
      <c r="AU9" s="229">
        <v>-0.53669999999999995</v>
      </c>
      <c r="AV9" s="230">
        <v>2218250</v>
      </c>
      <c r="AW9" s="230">
        <v>4968025</v>
      </c>
      <c r="AX9" s="230">
        <v>-2749775</v>
      </c>
      <c r="AY9" s="229">
        <v>-0.55349999999999999</v>
      </c>
      <c r="AZ9" s="230">
        <v>430825</v>
      </c>
      <c r="BA9" s="230">
        <v>738625</v>
      </c>
      <c r="BB9" s="230">
        <v>-307800</v>
      </c>
      <c r="BC9" s="229">
        <v>-0.41670000000000001</v>
      </c>
      <c r="BD9" s="230">
        <v>35150</v>
      </c>
      <c r="BE9" s="230">
        <v>86925</v>
      </c>
      <c r="BF9" s="230">
        <v>-51775</v>
      </c>
      <c r="BG9" s="229">
        <v>-0.59560000000000002</v>
      </c>
      <c r="BH9" s="230">
        <v>11919175</v>
      </c>
      <c r="BI9" s="230">
        <v>34030900</v>
      </c>
      <c r="BJ9" s="230">
        <v>-22111725</v>
      </c>
      <c r="BK9" s="229">
        <v>-0.64980000000000004</v>
      </c>
      <c r="BL9" s="230">
        <v>6554050</v>
      </c>
      <c r="BM9" s="230">
        <v>12950875</v>
      </c>
      <c r="BN9" s="230">
        <v>-6396825</v>
      </c>
      <c r="BO9" s="229">
        <v>-0.49390000000000001</v>
      </c>
      <c r="BP9" s="230">
        <v>21157450</v>
      </c>
      <c r="BQ9" s="230">
        <v>52775350</v>
      </c>
      <c r="BR9" s="230">
        <v>-31617900</v>
      </c>
      <c r="BS9" s="229">
        <v>-0.59909999999999997</v>
      </c>
      <c r="BT9" s="230">
        <v>1731428</v>
      </c>
      <c r="BU9" s="230">
        <v>3316763</v>
      </c>
      <c r="BV9" s="230">
        <v>-1585335</v>
      </c>
      <c r="BW9" s="229">
        <v>-0.47799999999999998</v>
      </c>
      <c r="BX9" s="230">
        <v>25108025</v>
      </c>
      <c r="BY9" s="230">
        <v>25344575</v>
      </c>
      <c r="BZ9" s="230">
        <v>-236550</v>
      </c>
      <c r="CA9" s="229">
        <v>-9.2999999999999992E-3</v>
      </c>
      <c r="CB9" s="230">
        <v>22980975</v>
      </c>
      <c r="CC9" s="230">
        <v>23431750</v>
      </c>
      <c r="CD9" s="230">
        <v>-450775</v>
      </c>
      <c r="CE9" s="229">
        <v>-1.9199999999999998E-2</v>
      </c>
      <c r="CF9" s="230">
        <v>1913300</v>
      </c>
      <c r="CG9" s="230">
        <v>1704300</v>
      </c>
      <c r="CH9" s="230">
        <v>209000</v>
      </c>
      <c r="CI9" s="229">
        <v>0.1226</v>
      </c>
      <c r="CJ9" s="230">
        <v>213750</v>
      </c>
      <c r="CK9" s="230">
        <v>208525</v>
      </c>
      <c r="CL9" s="230">
        <v>5225</v>
      </c>
      <c r="CM9" s="229">
        <v>2.5100000000000001E-2</v>
      </c>
      <c r="CN9" s="230">
        <v>9014550</v>
      </c>
      <c r="CO9" s="230">
        <v>9161800</v>
      </c>
      <c r="CP9" s="230">
        <v>-147250</v>
      </c>
      <c r="CQ9" s="229">
        <v>-1.61E-2</v>
      </c>
      <c r="CR9" s="230">
        <v>6855675</v>
      </c>
      <c r="CS9" s="230">
        <v>7068475</v>
      </c>
      <c r="CT9" s="230">
        <v>-212800</v>
      </c>
      <c r="CU9" s="229">
        <v>-3.0099999999999998E-2</v>
      </c>
      <c r="CV9" s="230">
        <v>40978250</v>
      </c>
      <c r="CW9" s="230">
        <v>41574850</v>
      </c>
      <c r="CX9" s="230">
        <v>-596600</v>
      </c>
      <c r="CY9" s="229">
        <v>-1.44E-2</v>
      </c>
      <c r="CZ9" s="228">
        <v>23.65</v>
      </c>
      <c r="DA9" s="228">
        <v>24.79</v>
      </c>
      <c r="DB9" s="228">
        <v>-1.1399999999999999</v>
      </c>
      <c r="DC9" s="228">
        <v>-1.1399999999999999</v>
      </c>
      <c r="DD9" s="228">
        <v>41.98</v>
      </c>
      <c r="DE9" s="228">
        <v>42.08</v>
      </c>
      <c r="DF9" s="228">
        <v>-18.329999999999998</v>
      </c>
      <c r="DG9" s="228">
        <v>-0.1</v>
      </c>
      <c r="DH9" s="228">
        <v>23.61</v>
      </c>
      <c r="DI9" s="228">
        <v>24.33</v>
      </c>
      <c r="DJ9" s="228">
        <v>-0.72</v>
      </c>
      <c r="DK9" s="228">
        <v>-0.72</v>
      </c>
      <c r="DL9" s="228">
        <v>23.71</v>
      </c>
      <c r="DM9" s="228">
        <v>25.98</v>
      </c>
      <c r="DN9" s="228">
        <v>-2.27</v>
      </c>
      <c r="DO9" s="228">
        <v>-2.27</v>
      </c>
      <c r="DP9" s="228">
        <v>0.76</v>
      </c>
      <c r="DQ9" s="228">
        <v>0.77</v>
      </c>
      <c r="DR9" s="228">
        <v>-0.01</v>
      </c>
      <c r="DS9" s="229">
        <v>-1.2999999999999999E-2</v>
      </c>
      <c r="DT9" s="231">
        <v>1400</v>
      </c>
      <c r="DU9" s="231">
        <v>1300</v>
      </c>
      <c r="DV9" s="228">
        <v>0.55000000000000004</v>
      </c>
      <c r="DW9" s="228">
        <v>0.38</v>
      </c>
      <c r="DX9" s="228">
        <v>0.17</v>
      </c>
      <c r="DY9" s="229">
        <v>0.44740000000000002</v>
      </c>
      <c r="DZ9" s="229">
        <v>8.4699999999999998E-2</v>
      </c>
      <c r="EA9" s="230">
        <v>1912825</v>
      </c>
      <c r="EB9" s="229">
        <v>5.4999999999999997E-3</v>
      </c>
      <c r="EC9" s="229">
        <v>8.4699999999999998E-2</v>
      </c>
      <c r="ED9" s="228">
        <v>7.94</v>
      </c>
      <c r="EE9" s="229">
        <v>5.7999999999999996E-3</v>
      </c>
      <c r="EF9" s="230">
        <v>891234</v>
      </c>
      <c r="EG9" s="230">
        <v>1200263</v>
      </c>
      <c r="EH9" s="229">
        <v>-0.25750000000000001</v>
      </c>
      <c r="EI9" s="229">
        <v>0.51470000000000005</v>
      </c>
      <c r="EJ9" s="231">
        <v>167916.64</v>
      </c>
      <c r="EK9" s="231">
        <v>88996.69</v>
      </c>
      <c r="EL9" s="231">
        <v>36800.54</v>
      </c>
      <c r="EM9" s="228">
        <v>0</v>
      </c>
      <c r="EN9" s="231">
        <v>293713.87</v>
      </c>
      <c r="EO9" s="231">
        <v>726939.16</v>
      </c>
      <c r="EP9" s="231">
        <v>-433225.29</v>
      </c>
      <c r="EQ9" s="229">
        <v>-0.59599999999999997</v>
      </c>
      <c r="ER9" s="231">
        <v>127422</v>
      </c>
      <c r="ES9" s="231">
        <v>91189</v>
      </c>
      <c r="ET9" s="231">
        <v>344483</v>
      </c>
      <c r="EU9" s="231">
        <v>147352572</v>
      </c>
      <c r="EV9" s="231">
        <v>563094</v>
      </c>
      <c r="EW9" s="231">
        <v>571366</v>
      </c>
      <c r="EX9" s="231">
        <v>-8272</v>
      </c>
      <c r="EY9" s="229">
        <v>-1.4500000000000001E-2</v>
      </c>
      <c r="EZ9" s="229">
        <v>0.27810000000000001</v>
      </c>
      <c r="FA9" s="227" t="s">
        <v>568</v>
      </c>
      <c r="FB9" s="161">
        <f t="shared" si="0"/>
        <v>2127050</v>
      </c>
    </row>
    <row r="10" spans="1:158" ht="17.25" hidden="1" thickBot="1" x14ac:dyDescent="0.3">
      <c r="A10" s="226">
        <v>45889</v>
      </c>
      <c r="B10" s="227" t="s">
        <v>170</v>
      </c>
      <c r="C10" s="227" t="s">
        <v>497</v>
      </c>
      <c r="D10" s="228">
        <v>125</v>
      </c>
      <c r="E10" s="231">
        <v>5398.5</v>
      </c>
      <c r="F10" s="231">
        <v>5412</v>
      </c>
      <c r="G10" s="228">
        <v>-13.5</v>
      </c>
      <c r="H10" s="229">
        <v>-2.5000000000000001E-3</v>
      </c>
      <c r="I10" s="231">
        <v>5393</v>
      </c>
      <c r="J10" s="231">
        <v>5392</v>
      </c>
      <c r="K10" s="228">
        <v>1</v>
      </c>
      <c r="L10" s="229">
        <v>2.0000000000000001E-4</v>
      </c>
      <c r="M10" s="231">
        <v>5398.5</v>
      </c>
      <c r="N10" s="231">
        <v>5412</v>
      </c>
      <c r="O10" s="228">
        <v>-13.5</v>
      </c>
      <c r="P10" s="229">
        <v>-2.5000000000000001E-3</v>
      </c>
      <c r="Q10" s="231">
        <v>5426.5</v>
      </c>
      <c r="R10" s="231">
        <v>5439.5</v>
      </c>
      <c r="S10" s="228">
        <v>-13</v>
      </c>
      <c r="T10" s="229">
        <v>-2.3999999999999998E-3</v>
      </c>
      <c r="U10" s="231">
        <v>5450</v>
      </c>
      <c r="V10" s="231">
        <v>5456</v>
      </c>
      <c r="W10" s="228">
        <v>-6</v>
      </c>
      <c r="X10" s="229">
        <v>-1.1000000000000001E-3</v>
      </c>
      <c r="Y10" s="228">
        <v>5.5</v>
      </c>
      <c r="Z10" s="228">
        <v>20</v>
      </c>
      <c r="AA10" s="228">
        <v>-14.5</v>
      </c>
      <c r="AB10" s="229">
        <v>1E-3</v>
      </c>
      <c r="AC10" s="228">
        <v>5.5</v>
      </c>
      <c r="AD10" s="228">
        <v>20</v>
      </c>
      <c r="AE10" s="228">
        <v>-14.5</v>
      </c>
      <c r="AF10" s="229">
        <v>1E-3</v>
      </c>
      <c r="AG10" s="228">
        <v>33.5</v>
      </c>
      <c r="AH10" s="228">
        <v>47.5</v>
      </c>
      <c r="AI10" s="228">
        <v>-14</v>
      </c>
      <c r="AJ10" s="229">
        <v>6.1999999999999998E-3</v>
      </c>
      <c r="AK10" s="228">
        <v>57</v>
      </c>
      <c r="AL10" s="228">
        <v>64</v>
      </c>
      <c r="AM10" s="228">
        <v>-7</v>
      </c>
      <c r="AN10" s="229">
        <v>1.06E-2</v>
      </c>
      <c r="AO10" s="231">
        <v>5410.23</v>
      </c>
      <c r="AP10" s="231">
        <v>5444.61</v>
      </c>
      <c r="AQ10" s="228">
        <v>0</v>
      </c>
      <c r="AR10" s="230">
        <v>216750</v>
      </c>
      <c r="AS10" s="230">
        <v>208000</v>
      </c>
      <c r="AT10" s="230">
        <v>8750</v>
      </c>
      <c r="AU10" s="229">
        <v>4.2099999999999999E-2</v>
      </c>
      <c r="AV10" s="230">
        <v>187125</v>
      </c>
      <c r="AW10" s="230">
        <v>164375</v>
      </c>
      <c r="AX10" s="230">
        <v>22750</v>
      </c>
      <c r="AY10" s="229">
        <v>0.1384</v>
      </c>
      <c r="AZ10" s="230">
        <v>28875</v>
      </c>
      <c r="BA10" s="230">
        <v>42500</v>
      </c>
      <c r="BB10" s="230">
        <v>-13625</v>
      </c>
      <c r="BC10" s="229">
        <v>-0.3206</v>
      </c>
      <c r="BD10" s="228">
        <v>750</v>
      </c>
      <c r="BE10" s="230">
        <v>1125</v>
      </c>
      <c r="BF10" s="228">
        <v>-375</v>
      </c>
      <c r="BG10" s="229">
        <v>-0.33329999999999999</v>
      </c>
      <c r="BH10" s="230">
        <v>1084750</v>
      </c>
      <c r="BI10" s="230">
        <v>1112250</v>
      </c>
      <c r="BJ10" s="230">
        <v>-27500</v>
      </c>
      <c r="BK10" s="229">
        <v>-2.47E-2</v>
      </c>
      <c r="BL10" s="230">
        <v>319750</v>
      </c>
      <c r="BM10" s="230">
        <v>457500</v>
      </c>
      <c r="BN10" s="230">
        <v>-137750</v>
      </c>
      <c r="BO10" s="229">
        <v>-0.30109999999999998</v>
      </c>
      <c r="BP10" s="230">
        <v>1621250</v>
      </c>
      <c r="BQ10" s="230">
        <v>1777750</v>
      </c>
      <c r="BR10" s="230">
        <v>-156500</v>
      </c>
      <c r="BS10" s="229">
        <v>-8.7999999999999995E-2</v>
      </c>
      <c r="BT10" s="230">
        <v>142626</v>
      </c>
      <c r="BU10" s="230">
        <v>229713</v>
      </c>
      <c r="BV10" s="230">
        <v>-87087</v>
      </c>
      <c r="BW10" s="229">
        <v>-0.37909999999999999</v>
      </c>
      <c r="BX10" s="230">
        <v>1643125</v>
      </c>
      <c r="BY10" s="230">
        <v>1637750</v>
      </c>
      <c r="BZ10" s="230">
        <v>5375</v>
      </c>
      <c r="CA10" s="229">
        <v>3.3E-3</v>
      </c>
      <c r="CB10" s="230">
        <v>1440750</v>
      </c>
      <c r="CC10" s="230">
        <v>1444625</v>
      </c>
      <c r="CD10" s="230">
        <v>-3875</v>
      </c>
      <c r="CE10" s="229">
        <v>-2.7000000000000001E-3</v>
      </c>
      <c r="CF10" s="230">
        <v>197250</v>
      </c>
      <c r="CG10" s="230">
        <v>188125</v>
      </c>
      <c r="CH10" s="230">
        <v>9125</v>
      </c>
      <c r="CI10" s="229">
        <v>4.8500000000000001E-2</v>
      </c>
      <c r="CJ10" s="230">
        <v>5125</v>
      </c>
      <c r="CK10" s="230">
        <v>5000</v>
      </c>
      <c r="CL10" s="228">
        <v>125</v>
      </c>
      <c r="CM10" s="229">
        <v>2.5000000000000001E-2</v>
      </c>
      <c r="CN10" s="230">
        <v>626750</v>
      </c>
      <c r="CO10" s="230">
        <v>544125</v>
      </c>
      <c r="CP10" s="230">
        <v>82625</v>
      </c>
      <c r="CQ10" s="229">
        <v>0.15179999999999999</v>
      </c>
      <c r="CR10" s="230">
        <v>482500</v>
      </c>
      <c r="CS10" s="230">
        <v>504750</v>
      </c>
      <c r="CT10" s="230">
        <v>-22250</v>
      </c>
      <c r="CU10" s="229">
        <v>-4.41E-2</v>
      </c>
      <c r="CV10" s="230">
        <v>2752375</v>
      </c>
      <c r="CW10" s="230">
        <v>2686625</v>
      </c>
      <c r="CX10" s="230">
        <v>65750</v>
      </c>
      <c r="CY10" s="229">
        <v>2.4500000000000001E-2</v>
      </c>
      <c r="CZ10" s="228">
        <v>25.35</v>
      </c>
      <c r="DA10" s="228">
        <v>24.95</v>
      </c>
      <c r="DB10" s="228">
        <v>0.4</v>
      </c>
      <c r="DC10" s="228">
        <v>0.4</v>
      </c>
      <c r="DD10" s="228">
        <v>30.02</v>
      </c>
      <c r="DE10" s="228">
        <v>30.09</v>
      </c>
      <c r="DF10" s="228">
        <v>-4.67</v>
      </c>
      <c r="DG10" s="228">
        <v>-7.0000000000000007E-2</v>
      </c>
      <c r="DH10" s="228">
        <v>24.91</v>
      </c>
      <c r="DI10" s="228">
        <v>24.26</v>
      </c>
      <c r="DJ10" s="228">
        <v>0.65</v>
      </c>
      <c r="DK10" s="228">
        <v>0.65</v>
      </c>
      <c r="DL10" s="228">
        <v>26.86</v>
      </c>
      <c r="DM10" s="228">
        <v>26.64</v>
      </c>
      <c r="DN10" s="228">
        <v>0.22</v>
      </c>
      <c r="DO10" s="228">
        <v>0.22</v>
      </c>
      <c r="DP10" s="228">
        <v>0.77</v>
      </c>
      <c r="DQ10" s="228">
        <v>0.93</v>
      </c>
      <c r="DR10" s="228">
        <v>-0.16</v>
      </c>
      <c r="DS10" s="229">
        <v>-0.17199999999999999</v>
      </c>
      <c r="DT10" s="231">
        <v>5400</v>
      </c>
      <c r="DU10" s="231">
        <v>5400</v>
      </c>
      <c r="DV10" s="228">
        <v>0.28999999999999998</v>
      </c>
      <c r="DW10" s="228">
        <v>0.41</v>
      </c>
      <c r="DX10" s="228">
        <v>-0.12</v>
      </c>
      <c r="DY10" s="229">
        <v>-0.29270000000000002</v>
      </c>
      <c r="DZ10" s="229">
        <v>0.1232</v>
      </c>
      <c r="EA10" s="230">
        <v>193125</v>
      </c>
      <c r="EB10" s="229">
        <v>5.1999999999999998E-3</v>
      </c>
      <c r="EC10" s="229">
        <v>0.1232</v>
      </c>
      <c r="ED10" s="228">
        <v>34.380000000000003</v>
      </c>
      <c r="EE10" s="229">
        <v>6.4000000000000003E-3</v>
      </c>
      <c r="EF10" s="230">
        <v>82941</v>
      </c>
      <c r="EG10" s="230">
        <v>144250</v>
      </c>
      <c r="EH10" s="229">
        <v>-0.42499999999999999</v>
      </c>
      <c r="EI10" s="229">
        <v>0.58150000000000002</v>
      </c>
      <c r="EJ10" s="231">
        <v>59895.15</v>
      </c>
      <c r="EK10" s="231">
        <v>16865.82</v>
      </c>
      <c r="EL10" s="231">
        <v>11736.97</v>
      </c>
      <c r="EM10" s="228">
        <v>0</v>
      </c>
      <c r="EN10" s="231">
        <v>88497.94</v>
      </c>
      <c r="EO10" s="231">
        <v>96891.69</v>
      </c>
      <c r="EP10" s="231">
        <v>-8393.75</v>
      </c>
      <c r="EQ10" s="229">
        <v>-8.6599999999999996E-2</v>
      </c>
      <c r="ER10" s="231">
        <v>33774</v>
      </c>
      <c r="ES10" s="231">
        <v>24424</v>
      </c>
      <c r="ET10" s="231">
        <v>88762</v>
      </c>
      <c r="EU10" s="231">
        <v>11230378</v>
      </c>
      <c r="EV10" s="231">
        <v>146960</v>
      </c>
      <c r="EW10" s="231">
        <v>143419</v>
      </c>
      <c r="EX10" s="231">
        <v>3541</v>
      </c>
      <c r="EY10" s="229">
        <v>2.47E-2</v>
      </c>
      <c r="EZ10" s="229">
        <v>0.24510000000000001</v>
      </c>
      <c r="FA10" s="227" t="s">
        <v>567</v>
      </c>
      <c r="FB10" s="161">
        <f t="shared" si="0"/>
        <v>202375</v>
      </c>
    </row>
    <row r="11" spans="1:158" ht="17.25" hidden="1" thickBot="1" x14ac:dyDescent="0.3">
      <c r="A11" s="226">
        <v>45889</v>
      </c>
      <c r="B11" s="227" t="s">
        <v>184</v>
      </c>
      <c r="C11" s="227" t="s">
        <v>683</v>
      </c>
      <c r="D11" s="228">
        <v>100</v>
      </c>
      <c r="E11" s="231">
        <v>7384</v>
      </c>
      <c r="F11" s="231">
        <v>7390.5</v>
      </c>
      <c r="G11" s="228">
        <v>-6.5</v>
      </c>
      <c r="H11" s="229">
        <v>-8.9999999999999998E-4</v>
      </c>
      <c r="I11" s="231">
        <v>7362</v>
      </c>
      <c r="J11" s="231">
        <v>7368.5</v>
      </c>
      <c r="K11" s="228">
        <v>-6.5</v>
      </c>
      <c r="L11" s="229">
        <v>-8.9999999999999998E-4</v>
      </c>
      <c r="M11" s="231">
        <v>7384</v>
      </c>
      <c r="N11" s="231">
        <v>7390.5</v>
      </c>
      <c r="O11" s="228">
        <v>-6.5</v>
      </c>
      <c r="P11" s="229">
        <v>-8.9999999999999998E-4</v>
      </c>
      <c r="Q11" s="231">
        <v>7423</v>
      </c>
      <c r="R11" s="231">
        <v>7432.5</v>
      </c>
      <c r="S11" s="228">
        <v>-9.5</v>
      </c>
      <c r="T11" s="229">
        <v>-1.2999999999999999E-3</v>
      </c>
      <c r="U11" s="231">
        <v>7463</v>
      </c>
      <c r="V11" s="231">
        <v>7454</v>
      </c>
      <c r="W11" s="228">
        <v>9</v>
      </c>
      <c r="X11" s="229">
        <v>1.1999999999999999E-3</v>
      </c>
      <c r="Y11" s="228">
        <v>22</v>
      </c>
      <c r="Z11" s="228">
        <v>22</v>
      </c>
      <c r="AA11" s="228">
        <v>0</v>
      </c>
      <c r="AB11" s="229">
        <v>3.0000000000000001E-3</v>
      </c>
      <c r="AC11" s="228">
        <v>22</v>
      </c>
      <c r="AD11" s="228">
        <v>22</v>
      </c>
      <c r="AE11" s="228">
        <v>0</v>
      </c>
      <c r="AF11" s="229">
        <v>3.0000000000000001E-3</v>
      </c>
      <c r="AG11" s="228">
        <v>61</v>
      </c>
      <c r="AH11" s="228">
        <v>64</v>
      </c>
      <c r="AI11" s="228">
        <v>-3</v>
      </c>
      <c r="AJ11" s="229">
        <v>8.3000000000000001E-3</v>
      </c>
      <c r="AK11" s="228">
        <v>101</v>
      </c>
      <c r="AL11" s="228">
        <v>85.5</v>
      </c>
      <c r="AM11" s="228">
        <v>15.5</v>
      </c>
      <c r="AN11" s="229">
        <v>1.37E-2</v>
      </c>
      <c r="AO11" s="231">
        <v>7411.72</v>
      </c>
      <c r="AP11" s="231">
        <v>7439.79</v>
      </c>
      <c r="AQ11" s="228">
        <v>0</v>
      </c>
      <c r="AR11" s="230">
        <v>283600</v>
      </c>
      <c r="AS11" s="230">
        <v>221700</v>
      </c>
      <c r="AT11" s="230">
        <v>61900</v>
      </c>
      <c r="AU11" s="229">
        <v>0.2792</v>
      </c>
      <c r="AV11" s="230">
        <v>245400</v>
      </c>
      <c r="AW11" s="230">
        <v>201100</v>
      </c>
      <c r="AX11" s="230">
        <v>44300</v>
      </c>
      <c r="AY11" s="229">
        <v>0.2203</v>
      </c>
      <c r="AZ11" s="230">
        <v>37300</v>
      </c>
      <c r="BA11" s="230">
        <v>20300</v>
      </c>
      <c r="BB11" s="230">
        <v>17000</v>
      </c>
      <c r="BC11" s="229">
        <v>0.83740000000000003</v>
      </c>
      <c r="BD11" s="228">
        <v>900</v>
      </c>
      <c r="BE11" s="228">
        <v>300</v>
      </c>
      <c r="BF11" s="228">
        <v>600</v>
      </c>
      <c r="BG11" s="229">
        <v>2</v>
      </c>
      <c r="BH11" s="230">
        <v>1167800</v>
      </c>
      <c r="BI11" s="230">
        <v>902500</v>
      </c>
      <c r="BJ11" s="230">
        <v>265300</v>
      </c>
      <c r="BK11" s="229">
        <v>0.29399999999999998</v>
      </c>
      <c r="BL11" s="230">
        <v>683100</v>
      </c>
      <c r="BM11" s="230">
        <v>747000</v>
      </c>
      <c r="BN11" s="230">
        <v>-63900</v>
      </c>
      <c r="BO11" s="229">
        <v>-8.5500000000000007E-2</v>
      </c>
      <c r="BP11" s="230">
        <v>2134500</v>
      </c>
      <c r="BQ11" s="230">
        <v>1871200</v>
      </c>
      <c r="BR11" s="230">
        <v>263300</v>
      </c>
      <c r="BS11" s="229">
        <v>0.14069999999999999</v>
      </c>
      <c r="BT11" s="230">
        <v>276449</v>
      </c>
      <c r="BU11" s="230">
        <v>297263</v>
      </c>
      <c r="BV11" s="230">
        <v>-20814</v>
      </c>
      <c r="BW11" s="229">
        <v>-7.0000000000000007E-2</v>
      </c>
      <c r="BX11" s="230">
        <v>721100</v>
      </c>
      <c r="BY11" s="230">
        <v>710300</v>
      </c>
      <c r="BZ11" s="230">
        <v>10800</v>
      </c>
      <c r="CA11" s="229">
        <v>1.52E-2</v>
      </c>
      <c r="CB11" s="230">
        <v>678900</v>
      </c>
      <c r="CC11" s="230">
        <v>680300</v>
      </c>
      <c r="CD11" s="230">
        <v>-1400</v>
      </c>
      <c r="CE11" s="229">
        <v>-2.0999999999999999E-3</v>
      </c>
      <c r="CF11" s="230">
        <v>40000</v>
      </c>
      <c r="CG11" s="230">
        <v>28000</v>
      </c>
      <c r="CH11" s="230">
        <v>12000</v>
      </c>
      <c r="CI11" s="229">
        <v>0.42859999999999998</v>
      </c>
      <c r="CJ11" s="230">
        <v>2200</v>
      </c>
      <c r="CK11" s="230">
        <v>2000</v>
      </c>
      <c r="CL11" s="228">
        <v>200</v>
      </c>
      <c r="CM11" s="229">
        <v>0.1</v>
      </c>
      <c r="CN11" s="230">
        <v>1011600</v>
      </c>
      <c r="CO11" s="230">
        <v>1024700</v>
      </c>
      <c r="CP11" s="230">
        <v>-13100</v>
      </c>
      <c r="CQ11" s="229">
        <v>-1.2800000000000001E-2</v>
      </c>
      <c r="CR11" s="230">
        <v>500900</v>
      </c>
      <c r="CS11" s="230">
        <v>565300</v>
      </c>
      <c r="CT11" s="230">
        <v>-64400</v>
      </c>
      <c r="CU11" s="229">
        <v>-0.1139</v>
      </c>
      <c r="CV11" s="230">
        <v>2233600</v>
      </c>
      <c r="CW11" s="230">
        <v>2300300</v>
      </c>
      <c r="CX11" s="230">
        <v>-66700</v>
      </c>
      <c r="CY11" s="229">
        <v>-2.9000000000000001E-2</v>
      </c>
      <c r="CZ11" s="228">
        <v>37.15</v>
      </c>
      <c r="DA11" s="228">
        <v>37.17</v>
      </c>
      <c r="DB11" s="228">
        <v>-0.02</v>
      </c>
      <c r="DC11" s="228">
        <v>-0.02</v>
      </c>
      <c r="DD11" s="228">
        <v>58.11</v>
      </c>
      <c r="DE11" s="228">
        <v>58.25</v>
      </c>
      <c r="DF11" s="228">
        <v>-20.96</v>
      </c>
      <c r="DG11" s="228">
        <v>-0.14000000000000001</v>
      </c>
      <c r="DH11" s="228">
        <v>36.950000000000003</v>
      </c>
      <c r="DI11" s="228">
        <v>38.33</v>
      </c>
      <c r="DJ11" s="228">
        <v>-1.38</v>
      </c>
      <c r="DK11" s="228">
        <v>-1.38</v>
      </c>
      <c r="DL11" s="228">
        <v>37.479999999999997</v>
      </c>
      <c r="DM11" s="228">
        <v>35.76</v>
      </c>
      <c r="DN11" s="228">
        <v>1.72</v>
      </c>
      <c r="DO11" s="228">
        <v>1.72</v>
      </c>
      <c r="DP11" s="228">
        <v>0.5</v>
      </c>
      <c r="DQ11" s="228">
        <v>0.55000000000000004</v>
      </c>
      <c r="DR11" s="228">
        <v>-0.05</v>
      </c>
      <c r="DS11" s="229">
        <v>-9.0899999999999995E-2</v>
      </c>
      <c r="DT11" s="231">
        <v>8000</v>
      </c>
      <c r="DU11" s="231">
        <v>7000</v>
      </c>
      <c r="DV11" s="228">
        <v>0.57999999999999996</v>
      </c>
      <c r="DW11" s="228">
        <v>0.83</v>
      </c>
      <c r="DX11" s="228">
        <v>-0.25</v>
      </c>
      <c r="DY11" s="229">
        <v>-0.30120000000000002</v>
      </c>
      <c r="DZ11" s="229">
        <v>5.8500000000000003E-2</v>
      </c>
      <c r="EA11" s="230">
        <v>30000</v>
      </c>
      <c r="EB11" s="229">
        <v>5.3E-3</v>
      </c>
      <c r="EC11" s="229">
        <v>5.8500000000000003E-2</v>
      </c>
      <c r="ED11" s="228">
        <v>28.07</v>
      </c>
      <c r="EE11" s="229">
        <v>3.8E-3</v>
      </c>
      <c r="EF11" s="230">
        <v>91017</v>
      </c>
      <c r="EG11" s="230">
        <v>85693</v>
      </c>
      <c r="EH11" s="229">
        <v>6.2100000000000002E-2</v>
      </c>
      <c r="EI11" s="229">
        <v>0.32919999999999999</v>
      </c>
      <c r="EJ11" s="231">
        <v>91437.08</v>
      </c>
      <c r="EK11" s="231">
        <v>48389.88</v>
      </c>
      <c r="EL11" s="231">
        <v>21030.94</v>
      </c>
      <c r="EM11" s="228">
        <v>0</v>
      </c>
      <c r="EN11" s="231">
        <v>160857.9</v>
      </c>
      <c r="EO11" s="231">
        <v>141240.38</v>
      </c>
      <c r="EP11" s="231">
        <v>19617.52</v>
      </c>
      <c r="EQ11" s="229">
        <v>0.1389</v>
      </c>
      <c r="ER11" s="231">
        <v>79004</v>
      </c>
      <c r="ES11" s="231">
        <v>35396</v>
      </c>
      <c r="ET11" s="231">
        <v>53263</v>
      </c>
      <c r="EU11" s="231">
        <v>4089938</v>
      </c>
      <c r="EV11" s="231">
        <v>167664</v>
      </c>
      <c r="EW11" s="231">
        <v>172156</v>
      </c>
      <c r="EX11" s="231">
        <v>-4492</v>
      </c>
      <c r="EY11" s="229">
        <v>-2.6100000000000002E-2</v>
      </c>
      <c r="EZ11" s="229">
        <v>0.54610000000000003</v>
      </c>
      <c r="FA11" s="227" t="s">
        <v>567</v>
      </c>
      <c r="FB11" s="161">
        <f t="shared" si="0"/>
        <v>42200</v>
      </c>
    </row>
    <row r="12" spans="1:158" ht="17.25" hidden="1" thickBot="1" x14ac:dyDescent="0.3">
      <c r="A12" s="226">
        <v>45889</v>
      </c>
      <c r="B12" s="227" t="s">
        <v>157</v>
      </c>
      <c r="C12" s="227" t="s">
        <v>164</v>
      </c>
      <c r="D12" s="228">
        <v>1050</v>
      </c>
      <c r="E12" s="228">
        <v>591.9</v>
      </c>
      <c r="F12" s="228">
        <v>594.5</v>
      </c>
      <c r="G12" s="228">
        <v>-2.6</v>
      </c>
      <c r="H12" s="229">
        <v>-4.4000000000000003E-3</v>
      </c>
      <c r="I12" s="228">
        <v>591.9</v>
      </c>
      <c r="J12" s="228">
        <v>592.4</v>
      </c>
      <c r="K12" s="228">
        <v>-0.5</v>
      </c>
      <c r="L12" s="229">
        <v>-8.0000000000000004E-4</v>
      </c>
      <c r="M12" s="228">
        <v>591.9</v>
      </c>
      <c r="N12" s="228">
        <v>594.5</v>
      </c>
      <c r="O12" s="228">
        <v>-2.6</v>
      </c>
      <c r="P12" s="229">
        <v>-4.4000000000000003E-3</v>
      </c>
      <c r="Q12" s="228">
        <v>595.20000000000005</v>
      </c>
      <c r="R12" s="228">
        <v>597.54999999999995</v>
      </c>
      <c r="S12" s="228">
        <v>-2.35</v>
      </c>
      <c r="T12" s="229">
        <v>-3.8999999999999998E-3</v>
      </c>
      <c r="U12" s="228">
        <v>598.25</v>
      </c>
      <c r="V12" s="228">
        <v>600.29999999999995</v>
      </c>
      <c r="W12" s="228">
        <v>-2.0499999999999998</v>
      </c>
      <c r="X12" s="229">
        <v>-3.3999999999999998E-3</v>
      </c>
      <c r="Y12" s="228">
        <v>0</v>
      </c>
      <c r="Z12" s="228">
        <v>2.1</v>
      </c>
      <c r="AA12" s="228">
        <v>-2.1</v>
      </c>
      <c r="AB12" s="229">
        <v>0</v>
      </c>
      <c r="AC12" s="228">
        <v>0</v>
      </c>
      <c r="AD12" s="228">
        <v>2.1</v>
      </c>
      <c r="AE12" s="228">
        <v>-2.1</v>
      </c>
      <c r="AF12" s="229">
        <v>0</v>
      </c>
      <c r="AG12" s="228">
        <v>3.3</v>
      </c>
      <c r="AH12" s="228">
        <v>5.15</v>
      </c>
      <c r="AI12" s="228">
        <v>-1.85</v>
      </c>
      <c r="AJ12" s="229">
        <v>5.5999999999999999E-3</v>
      </c>
      <c r="AK12" s="228">
        <v>6.35</v>
      </c>
      <c r="AL12" s="228">
        <v>7.9</v>
      </c>
      <c r="AM12" s="228">
        <v>-1.55</v>
      </c>
      <c r="AN12" s="229">
        <v>1.0699999999999999E-2</v>
      </c>
      <c r="AO12" s="228">
        <v>592.24</v>
      </c>
      <c r="AP12" s="228">
        <v>595.59</v>
      </c>
      <c r="AQ12" s="228">
        <v>0</v>
      </c>
      <c r="AR12" s="230">
        <v>4106550</v>
      </c>
      <c r="AS12" s="230">
        <v>2791950</v>
      </c>
      <c r="AT12" s="230">
        <v>1314600</v>
      </c>
      <c r="AU12" s="229">
        <v>0.47089999999999999</v>
      </c>
      <c r="AV12" s="230">
        <v>2819250</v>
      </c>
      <c r="AW12" s="230">
        <v>2229150</v>
      </c>
      <c r="AX12" s="230">
        <v>590100</v>
      </c>
      <c r="AY12" s="229">
        <v>0.26469999999999999</v>
      </c>
      <c r="AZ12" s="230">
        <v>1283100</v>
      </c>
      <c r="BA12" s="230">
        <v>528150</v>
      </c>
      <c r="BB12" s="230">
        <v>754950</v>
      </c>
      <c r="BC12" s="229">
        <v>1.4294</v>
      </c>
      <c r="BD12" s="230">
        <v>4200</v>
      </c>
      <c r="BE12" s="230">
        <v>34650</v>
      </c>
      <c r="BF12" s="230">
        <v>-30450</v>
      </c>
      <c r="BG12" s="229">
        <v>-0.87880000000000003</v>
      </c>
      <c r="BH12" s="230">
        <v>6006000</v>
      </c>
      <c r="BI12" s="230">
        <v>8713950</v>
      </c>
      <c r="BJ12" s="230">
        <v>-2707950</v>
      </c>
      <c r="BK12" s="229">
        <v>-0.31080000000000002</v>
      </c>
      <c r="BL12" s="230">
        <v>2450700</v>
      </c>
      <c r="BM12" s="230">
        <v>3259200</v>
      </c>
      <c r="BN12" s="230">
        <v>-808500</v>
      </c>
      <c r="BO12" s="229">
        <v>-0.24809999999999999</v>
      </c>
      <c r="BP12" s="230">
        <v>12563250</v>
      </c>
      <c r="BQ12" s="230">
        <v>14765100</v>
      </c>
      <c r="BR12" s="230">
        <v>-2201850</v>
      </c>
      <c r="BS12" s="229">
        <v>-0.14910000000000001</v>
      </c>
      <c r="BT12" s="230">
        <v>1122746</v>
      </c>
      <c r="BU12" s="230">
        <v>1960429</v>
      </c>
      <c r="BV12" s="230">
        <v>-837683</v>
      </c>
      <c r="BW12" s="229">
        <v>-0.42730000000000001</v>
      </c>
      <c r="BX12" s="230">
        <v>29981700</v>
      </c>
      <c r="BY12" s="230">
        <v>29507100</v>
      </c>
      <c r="BZ12" s="230">
        <v>474600</v>
      </c>
      <c r="CA12" s="229">
        <v>1.61E-2</v>
      </c>
      <c r="CB12" s="230">
        <v>27599250</v>
      </c>
      <c r="CC12" s="230">
        <v>28149450</v>
      </c>
      <c r="CD12" s="230">
        <v>-550200</v>
      </c>
      <c r="CE12" s="229">
        <v>-1.95E-2</v>
      </c>
      <c r="CF12" s="230">
        <v>2282700</v>
      </c>
      <c r="CG12" s="230">
        <v>1256850</v>
      </c>
      <c r="CH12" s="230">
        <v>1025850</v>
      </c>
      <c r="CI12" s="229">
        <v>0.81620000000000004</v>
      </c>
      <c r="CJ12" s="230">
        <v>99750</v>
      </c>
      <c r="CK12" s="230">
        <v>100800</v>
      </c>
      <c r="CL12" s="230">
        <v>-1050</v>
      </c>
      <c r="CM12" s="229">
        <v>-1.04E-2</v>
      </c>
      <c r="CN12" s="230">
        <v>11236050</v>
      </c>
      <c r="CO12" s="230">
        <v>10953600</v>
      </c>
      <c r="CP12" s="230">
        <v>282450</v>
      </c>
      <c r="CQ12" s="229">
        <v>2.58E-2</v>
      </c>
      <c r="CR12" s="230">
        <v>6159300</v>
      </c>
      <c r="CS12" s="230">
        <v>5894700</v>
      </c>
      <c r="CT12" s="230">
        <v>264600</v>
      </c>
      <c r="CU12" s="229">
        <v>4.4900000000000002E-2</v>
      </c>
      <c r="CV12" s="230">
        <v>47377050</v>
      </c>
      <c r="CW12" s="230">
        <v>46355400</v>
      </c>
      <c r="CX12" s="230">
        <v>1021650</v>
      </c>
      <c r="CY12" s="229">
        <v>2.1999999999999999E-2</v>
      </c>
      <c r="CZ12" s="228">
        <v>23.65</v>
      </c>
      <c r="DA12" s="228">
        <v>24.16</v>
      </c>
      <c r="DB12" s="228">
        <v>-0.51</v>
      </c>
      <c r="DC12" s="228">
        <v>-0.51</v>
      </c>
      <c r="DD12" s="228">
        <v>36.32</v>
      </c>
      <c r="DE12" s="228">
        <v>36.4</v>
      </c>
      <c r="DF12" s="228">
        <v>-12.67</v>
      </c>
      <c r="DG12" s="228">
        <v>-0.08</v>
      </c>
      <c r="DH12" s="228">
        <v>24.34</v>
      </c>
      <c r="DI12" s="228">
        <v>24.62</v>
      </c>
      <c r="DJ12" s="228">
        <v>-0.28000000000000003</v>
      </c>
      <c r="DK12" s="228">
        <v>-0.28000000000000003</v>
      </c>
      <c r="DL12" s="228">
        <v>21.96</v>
      </c>
      <c r="DM12" s="228">
        <v>22.92</v>
      </c>
      <c r="DN12" s="228">
        <v>-0.96</v>
      </c>
      <c r="DO12" s="228">
        <v>-0.96</v>
      </c>
      <c r="DP12" s="228">
        <v>0.55000000000000004</v>
      </c>
      <c r="DQ12" s="228">
        <v>0.54</v>
      </c>
      <c r="DR12" s="228">
        <v>0.01</v>
      </c>
      <c r="DS12" s="229">
        <v>1.8499999999999999E-2</v>
      </c>
      <c r="DT12" s="228">
        <v>650</v>
      </c>
      <c r="DU12" s="228">
        <v>650</v>
      </c>
      <c r="DV12" s="228">
        <v>0.41</v>
      </c>
      <c r="DW12" s="228">
        <v>0.37</v>
      </c>
      <c r="DX12" s="228">
        <v>0.04</v>
      </c>
      <c r="DY12" s="229">
        <v>0.1081</v>
      </c>
      <c r="DZ12" s="229">
        <v>7.9500000000000001E-2</v>
      </c>
      <c r="EA12" s="230">
        <v>1357650</v>
      </c>
      <c r="EB12" s="229">
        <v>5.5999999999999999E-3</v>
      </c>
      <c r="EC12" s="229">
        <v>7.9500000000000001E-2</v>
      </c>
      <c r="ED12" s="228">
        <v>3.35</v>
      </c>
      <c r="EE12" s="229">
        <v>5.7000000000000002E-3</v>
      </c>
      <c r="EF12" s="230">
        <v>757175</v>
      </c>
      <c r="EG12" s="230">
        <v>1077191</v>
      </c>
      <c r="EH12" s="229">
        <v>-0.29709999999999998</v>
      </c>
      <c r="EI12" s="229">
        <v>0.6744</v>
      </c>
      <c r="EJ12" s="231">
        <v>36715.75</v>
      </c>
      <c r="EK12" s="231">
        <v>14465.6</v>
      </c>
      <c r="EL12" s="231">
        <v>24363.95</v>
      </c>
      <c r="EM12" s="228">
        <v>0</v>
      </c>
      <c r="EN12" s="231">
        <v>75545.3</v>
      </c>
      <c r="EO12" s="231">
        <v>89603.68</v>
      </c>
      <c r="EP12" s="231">
        <v>-14058.38</v>
      </c>
      <c r="EQ12" s="229">
        <v>-0.15690000000000001</v>
      </c>
      <c r="ER12" s="231">
        <v>70053</v>
      </c>
      <c r="ES12" s="231">
        <v>36761</v>
      </c>
      <c r="ET12" s="231">
        <v>177543</v>
      </c>
      <c r="EU12" s="231">
        <v>159683698</v>
      </c>
      <c r="EV12" s="231">
        <v>284358</v>
      </c>
      <c r="EW12" s="231">
        <v>279031</v>
      </c>
      <c r="EX12" s="231">
        <v>5327</v>
      </c>
      <c r="EY12" s="229">
        <v>1.9099999999999999E-2</v>
      </c>
      <c r="EZ12" s="229">
        <v>0.29670000000000002</v>
      </c>
      <c r="FA12" s="227" t="s">
        <v>567</v>
      </c>
      <c r="FB12" s="161">
        <f t="shared" si="0"/>
        <v>2382450</v>
      </c>
    </row>
    <row r="13" spans="1:158" ht="17.25" hidden="1" thickBot="1" x14ac:dyDescent="0.3">
      <c r="A13" s="226">
        <v>45889</v>
      </c>
      <c r="B13" s="227" t="s">
        <v>175</v>
      </c>
      <c r="C13" s="227" t="s">
        <v>610</v>
      </c>
      <c r="D13" s="228">
        <v>250</v>
      </c>
      <c r="E13" s="231">
        <v>2722.4</v>
      </c>
      <c r="F13" s="231">
        <v>2679.3</v>
      </c>
      <c r="G13" s="228">
        <v>43.1</v>
      </c>
      <c r="H13" s="229">
        <v>1.61E-2</v>
      </c>
      <c r="I13" s="231">
        <v>2720.8</v>
      </c>
      <c r="J13" s="231">
        <v>2677.8</v>
      </c>
      <c r="K13" s="228">
        <v>43</v>
      </c>
      <c r="L13" s="229">
        <v>1.61E-2</v>
      </c>
      <c r="M13" s="231">
        <v>2722.4</v>
      </c>
      <c r="N13" s="231">
        <v>2679.3</v>
      </c>
      <c r="O13" s="228">
        <v>43.1</v>
      </c>
      <c r="P13" s="229">
        <v>1.61E-2</v>
      </c>
      <c r="Q13" s="231">
        <v>2722.2</v>
      </c>
      <c r="R13" s="231">
        <v>2682.6</v>
      </c>
      <c r="S13" s="228">
        <v>39.6</v>
      </c>
      <c r="T13" s="229">
        <v>1.4800000000000001E-2</v>
      </c>
      <c r="U13" s="231">
        <v>2723.7</v>
      </c>
      <c r="V13" s="231">
        <v>2696.2</v>
      </c>
      <c r="W13" s="228">
        <v>27.5</v>
      </c>
      <c r="X13" s="229">
        <v>1.0200000000000001E-2</v>
      </c>
      <c r="Y13" s="228">
        <v>1.6</v>
      </c>
      <c r="Z13" s="228">
        <v>1.5</v>
      </c>
      <c r="AA13" s="228">
        <v>0.1</v>
      </c>
      <c r="AB13" s="229">
        <v>5.9999999999999995E-4</v>
      </c>
      <c r="AC13" s="228">
        <v>1.6</v>
      </c>
      <c r="AD13" s="228">
        <v>1.5</v>
      </c>
      <c r="AE13" s="228">
        <v>0.1</v>
      </c>
      <c r="AF13" s="229">
        <v>5.9999999999999995E-4</v>
      </c>
      <c r="AG13" s="228">
        <v>1.4</v>
      </c>
      <c r="AH13" s="228">
        <v>4.8</v>
      </c>
      <c r="AI13" s="228">
        <v>-3.4</v>
      </c>
      <c r="AJ13" s="229">
        <v>5.0000000000000001E-4</v>
      </c>
      <c r="AK13" s="228">
        <v>2.9</v>
      </c>
      <c r="AL13" s="228">
        <v>18.399999999999999</v>
      </c>
      <c r="AM13" s="228">
        <v>-15.5</v>
      </c>
      <c r="AN13" s="229">
        <v>1.1000000000000001E-3</v>
      </c>
      <c r="AO13" s="231">
        <v>2699.23</v>
      </c>
      <c r="AP13" s="231">
        <v>2703.15</v>
      </c>
      <c r="AQ13" s="228">
        <v>0</v>
      </c>
      <c r="AR13" s="230">
        <v>739250</v>
      </c>
      <c r="AS13" s="230">
        <v>606500</v>
      </c>
      <c r="AT13" s="230">
        <v>132750</v>
      </c>
      <c r="AU13" s="229">
        <v>0.21890000000000001</v>
      </c>
      <c r="AV13" s="230">
        <v>614000</v>
      </c>
      <c r="AW13" s="230">
        <v>485750</v>
      </c>
      <c r="AX13" s="230">
        <v>128250</v>
      </c>
      <c r="AY13" s="229">
        <v>0.26400000000000001</v>
      </c>
      <c r="AZ13" s="230">
        <v>118250</v>
      </c>
      <c r="BA13" s="230">
        <v>116500</v>
      </c>
      <c r="BB13" s="230">
        <v>1750</v>
      </c>
      <c r="BC13" s="229">
        <v>1.4999999999999999E-2</v>
      </c>
      <c r="BD13" s="230">
        <v>7000</v>
      </c>
      <c r="BE13" s="230">
        <v>4250</v>
      </c>
      <c r="BF13" s="230">
        <v>2750</v>
      </c>
      <c r="BG13" s="229">
        <v>0.64710000000000001</v>
      </c>
      <c r="BH13" s="230">
        <v>3145500</v>
      </c>
      <c r="BI13" s="230">
        <v>2233500</v>
      </c>
      <c r="BJ13" s="230">
        <v>912000</v>
      </c>
      <c r="BK13" s="229">
        <v>0.4083</v>
      </c>
      <c r="BL13" s="230">
        <v>1758750</v>
      </c>
      <c r="BM13" s="230">
        <v>1381000</v>
      </c>
      <c r="BN13" s="230">
        <v>377750</v>
      </c>
      <c r="BO13" s="229">
        <v>0.27350000000000002</v>
      </c>
      <c r="BP13" s="230">
        <v>5643500</v>
      </c>
      <c r="BQ13" s="230">
        <v>4221000</v>
      </c>
      <c r="BR13" s="230">
        <v>1422500</v>
      </c>
      <c r="BS13" s="229">
        <v>0.33700000000000002</v>
      </c>
      <c r="BT13" s="230">
        <v>677100</v>
      </c>
      <c r="BU13" s="230">
        <v>472034</v>
      </c>
      <c r="BV13" s="230">
        <v>205066</v>
      </c>
      <c r="BW13" s="229">
        <v>0.43440000000000001</v>
      </c>
      <c r="BX13" s="230">
        <v>2583500</v>
      </c>
      <c r="BY13" s="230">
        <v>2563500</v>
      </c>
      <c r="BZ13" s="230">
        <v>20000</v>
      </c>
      <c r="CA13" s="229">
        <v>7.7999999999999996E-3</v>
      </c>
      <c r="CB13" s="230">
        <v>2363500</v>
      </c>
      <c r="CC13" s="230">
        <v>2354750</v>
      </c>
      <c r="CD13" s="230">
        <v>8750</v>
      </c>
      <c r="CE13" s="229">
        <v>3.7000000000000002E-3</v>
      </c>
      <c r="CF13" s="230">
        <v>185250</v>
      </c>
      <c r="CG13" s="230">
        <v>176250</v>
      </c>
      <c r="CH13" s="230">
        <v>9000</v>
      </c>
      <c r="CI13" s="229">
        <v>5.11E-2</v>
      </c>
      <c r="CJ13" s="230">
        <v>34750</v>
      </c>
      <c r="CK13" s="230">
        <v>32500</v>
      </c>
      <c r="CL13" s="230">
        <v>2250</v>
      </c>
      <c r="CM13" s="229">
        <v>6.9199999999999998E-2</v>
      </c>
      <c r="CN13" s="230">
        <v>1589750</v>
      </c>
      <c r="CO13" s="230">
        <v>1655250</v>
      </c>
      <c r="CP13" s="230">
        <v>-65500</v>
      </c>
      <c r="CQ13" s="229">
        <v>-3.9600000000000003E-2</v>
      </c>
      <c r="CR13" s="230">
        <v>1438250</v>
      </c>
      <c r="CS13" s="230">
        <v>1434500</v>
      </c>
      <c r="CT13" s="230">
        <v>3750</v>
      </c>
      <c r="CU13" s="229">
        <v>2.5999999999999999E-3</v>
      </c>
      <c r="CV13" s="230">
        <v>5611500</v>
      </c>
      <c r="CW13" s="230">
        <v>5653250</v>
      </c>
      <c r="CX13" s="230">
        <v>-41750</v>
      </c>
      <c r="CY13" s="229">
        <v>-7.4000000000000003E-3</v>
      </c>
      <c r="CZ13" s="228">
        <v>38.299999999999997</v>
      </c>
      <c r="DA13" s="228">
        <v>38.94</v>
      </c>
      <c r="DB13" s="228">
        <v>-0.64</v>
      </c>
      <c r="DC13" s="228">
        <v>-0.64</v>
      </c>
      <c r="DD13" s="228">
        <v>57.83</v>
      </c>
      <c r="DE13" s="228">
        <v>57.94</v>
      </c>
      <c r="DF13" s="228">
        <v>-19.53</v>
      </c>
      <c r="DG13" s="228">
        <v>-0.11</v>
      </c>
      <c r="DH13" s="228">
        <v>36.56</v>
      </c>
      <c r="DI13" s="228">
        <v>37.75</v>
      </c>
      <c r="DJ13" s="228">
        <v>-1.19</v>
      </c>
      <c r="DK13" s="228">
        <v>-1.19</v>
      </c>
      <c r="DL13" s="228">
        <v>41.41</v>
      </c>
      <c r="DM13" s="228">
        <v>40.869999999999997</v>
      </c>
      <c r="DN13" s="228">
        <v>0.54</v>
      </c>
      <c r="DO13" s="228">
        <v>0.54</v>
      </c>
      <c r="DP13" s="228">
        <v>0.9</v>
      </c>
      <c r="DQ13" s="228">
        <v>0.87</v>
      </c>
      <c r="DR13" s="228">
        <v>0.03</v>
      </c>
      <c r="DS13" s="229">
        <v>3.4500000000000003E-2</v>
      </c>
      <c r="DT13" s="231">
        <v>2700</v>
      </c>
      <c r="DU13" s="231">
        <v>2600</v>
      </c>
      <c r="DV13" s="228">
        <v>0.56000000000000005</v>
      </c>
      <c r="DW13" s="228">
        <v>0.62</v>
      </c>
      <c r="DX13" s="228">
        <v>-0.06</v>
      </c>
      <c r="DY13" s="229">
        <v>-9.6799999999999997E-2</v>
      </c>
      <c r="DZ13" s="229">
        <v>8.5199999999999998E-2</v>
      </c>
      <c r="EA13" s="230">
        <v>208750</v>
      </c>
      <c r="EB13" s="229">
        <v>-1E-4</v>
      </c>
      <c r="EC13" s="229">
        <v>8.5199999999999998E-2</v>
      </c>
      <c r="ED13" s="228">
        <v>3.92</v>
      </c>
      <c r="EE13" s="229">
        <v>1.5E-3</v>
      </c>
      <c r="EF13" s="230">
        <v>185566</v>
      </c>
      <c r="EG13" s="230">
        <v>95949</v>
      </c>
      <c r="EH13" s="229">
        <v>0.93400000000000005</v>
      </c>
      <c r="EI13" s="229">
        <v>0.27410000000000001</v>
      </c>
      <c r="EJ13" s="231">
        <v>88101.97</v>
      </c>
      <c r="EK13" s="231">
        <v>46171.81</v>
      </c>
      <c r="EL13" s="231">
        <v>19959.11</v>
      </c>
      <c r="EM13" s="228">
        <v>0</v>
      </c>
      <c r="EN13" s="231">
        <v>154232.89000000001</v>
      </c>
      <c r="EO13" s="231">
        <v>114879.81</v>
      </c>
      <c r="EP13" s="231">
        <v>39353.08</v>
      </c>
      <c r="EQ13" s="229">
        <v>0.34260000000000002</v>
      </c>
      <c r="ER13" s="231">
        <v>44281</v>
      </c>
      <c r="ES13" s="231">
        <v>36899</v>
      </c>
      <c r="ET13" s="231">
        <v>70333</v>
      </c>
      <c r="EU13" s="231">
        <v>12863513</v>
      </c>
      <c r="EV13" s="231">
        <v>151513</v>
      </c>
      <c r="EW13" s="231">
        <v>151409</v>
      </c>
      <c r="EX13" s="228">
        <v>104</v>
      </c>
      <c r="EY13" s="229">
        <v>6.9999999999999999E-4</v>
      </c>
      <c r="EZ13" s="229">
        <v>0.43619999999999998</v>
      </c>
      <c r="FA13" s="227" t="s">
        <v>555</v>
      </c>
      <c r="FB13" s="161">
        <f t="shared" si="0"/>
        <v>220000</v>
      </c>
    </row>
    <row r="14" spans="1:158" ht="17.25" hidden="1" thickBot="1" x14ac:dyDescent="0.3">
      <c r="A14" s="226">
        <v>45889</v>
      </c>
      <c r="B14" s="227" t="s">
        <v>227</v>
      </c>
      <c r="C14" s="227" t="s">
        <v>599</v>
      </c>
      <c r="D14" s="228">
        <v>350</v>
      </c>
      <c r="E14" s="231">
        <v>1627.1</v>
      </c>
      <c r="F14" s="231">
        <v>1625.5</v>
      </c>
      <c r="G14" s="228">
        <v>1.6</v>
      </c>
      <c r="H14" s="229">
        <v>1E-3</v>
      </c>
      <c r="I14" s="231">
        <v>1628.3</v>
      </c>
      <c r="J14" s="231">
        <v>1626.3</v>
      </c>
      <c r="K14" s="228">
        <v>2</v>
      </c>
      <c r="L14" s="229">
        <v>1.1999999999999999E-3</v>
      </c>
      <c r="M14" s="231">
        <v>1627.1</v>
      </c>
      <c r="N14" s="231">
        <v>1625.5</v>
      </c>
      <c r="O14" s="228">
        <v>1.6</v>
      </c>
      <c r="P14" s="229">
        <v>1E-3</v>
      </c>
      <c r="Q14" s="231">
        <v>1636.5</v>
      </c>
      <c r="R14" s="231">
        <v>1635.8</v>
      </c>
      <c r="S14" s="228">
        <v>0.7</v>
      </c>
      <c r="T14" s="229">
        <v>4.0000000000000002E-4</v>
      </c>
      <c r="U14" s="231">
        <v>1644</v>
      </c>
      <c r="V14" s="231">
        <v>1639</v>
      </c>
      <c r="W14" s="228">
        <v>5</v>
      </c>
      <c r="X14" s="229">
        <v>3.0999999999999999E-3</v>
      </c>
      <c r="Y14" s="228">
        <v>-1.2</v>
      </c>
      <c r="Z14" s="228">
        <v>-0.8</v>
      </c>
      <c r="AA14" s="228">
        <v>-0.4</v>
      </c>
      <c r="AB14" s="229">
        <v>-6.9999999999999999E-4</v>
      </c>
      <c r="AC14" s="228">
        <v>-1.2</v>
      </c>
      <c r="AD14" s="228">
        <v>-0.8</v>
      </c>
      <c r="AE14" s="228">
        <v>-0.4</v>
      </c>
      <c r="AF14" s="229">
        <v>-6.9999999999999999E-4</v>
      </c>
      <c r="AG14" s="228">
        <v>8.1999999999999993</v>
      </c>
      <c r="AH14" s="228">
        <v>9.5</v>
      </c>
      <c r="AI14" s="228">
        <v>-1.3</v>
      </c>
      <c r="AJ14" s="229">
        <v>5.0000000000000001E-3</v>
      </c>
      <c r="AK14" s="228">
        <v>15.7</v>
      </c>
      <c r="AL14" s="228">
        <v>12.7</v>
      </c>
      <c r="AM14" s="228">
        <v>3</v>
      </c>
      <c r="AN14" s="229">
        <v>9.5999999999999992E-3</v>
      </c>
      <c r="AO14" s="231">
        <v>1630.49</v>
      </c>
      <c r="AP14" s="231">
        <v>1641.19</v>
      </c>
      <c r="AQ14" s="228">
        <v>0</v>
      </c>
      <c r="AR14" s="230">
        <v>885150</v>
      </c>
      <c r="AS14" s="230">
        <v>604450</v>
      </c>
      <c r="AT14" s="230">
        <v>280700</v>
      </c>
      <c r="AU14" s="229">
        <v>0.46439999999999998</v>
      </c>
      <c r="AV14" s="230">
        <v>654150</v>
      </c>
      <c r="AW14" s="230">
        <v>427700</v>
      </c>
      <c r="AX14" s="230">
        <v>226450</v>
      </c>
      <c r="AY14" s="229">
        <v>0.52949999999999997</v>
      </c>
      <c r="AZ14" s="230">
        <v>227500</v>
      </c>
      <c r="BA14" s="230">
        <v>174650</v>
      </c>
      <c r="BB14" s="230">
        <v>52850</v>
      </c>
      <c r="BC14" s="229">
        <v>0.30259999999999998</v>
      </c>
      <c r="BD14" s="230">
        <v>3500</v>
      </c>
      <c r="BE14" s="230">
        <v>2100</v>
      </c>
      <c r="BF14" s="230">
        <v>1400</v>
      </c>
      <c r="BG14" s="229">
        <v>0.66669999999999996</v>
      </c>
      <c r="BH14" s="230">
        <v>2285850</v>
      </c>
      <c r="BI14" s="230">
        <v>1306900</v>
      </c>
      <c r="BJ14" s="230">
        <v>978950</v>
      </c>
      <c r="BK14" s="229">
        <v>0.74909999999999999</v>
      </c>
      <c r="BL14" s="230">
        <v>824250</v>
      </c>
      <c r="BM14" s="230">
        <v>490000</v>
      </c>
      <c r="BN14" s="230">
        <v>334250</v>
      </c>
      <c r="BO14" s="229">
        <v>0.68210000000000004</v>
      </c>
      <c r="BP14" s="230">
        <v>3995250</v>
      </c>
      <c r="BQ14" s="230">
        <v>2401350</v>
      </c>
      <c r="BR14" s="230">
        <v>1593900</v>
      </c>
      <c r="BS14" s="229">
        <v>0.66379999999999995</v>
      </c>
      <c r="BT14" s="230">
        <v>359116</v>
      </c>
      <c r="BU14" s="230">
        <v>272240</v>
      </c>
      <c r="BV14" s="230">
        <v>86876</v>
      </c>
      <c r="BW14" s="229">
        <v>0.31909999999999999</v>
      </c>
      <c r="BX14" s="230">
        <v>6697950</v>
      </c>
      <c r="BY14" s="230">
        <v>6571950</v>
      </c>
      <c r="BZ14" s="230">
        <v>126000</v>
      </c>
      <c r="CA14" s="229">
        <v>1.9199999999999998E-2</v>
      </c>
      <c r="CB14" s="230">
        <v>6320300</v>
      </c>
      <c r="CC14" s="230">
        <v>6325550</v>
      </c>
      <c r="CD14" s="230">
        <v>-5250</v>
      </c>
      <c r="CE14" s="229">
        <v>-8.0000000000000004E-4</v>
      </c>
      <c r="CF14" s="230">
        <v>367500</v>
      </c>
      <c r="CG14" s="230">
        <v>237650</v>
      </c>
      <c r="CH14" s="230">
        <v>129850</v>
      </c>
      <c r="CI14" s="229">
        <v>0.5464</v>
      </c>
      <c r="CJ14" s="230">
        <v>10150</v>
      </c>
      <c r="CK14" s="230">
        <v>8750</v>
      </c>
      <c r="CL14" s="230">
        <v>1400</v>
      </c>
      <c r="CM14" s="229">
        <v>0.16</v>
      </c>
      <c r="CN14" s="230">
        <v>1663200</v>
      </c>
      <c r="CO14" s="230">
        <v>1686300</v>
      </c>
      <c r="CP14" s="230">
        <v>-23100</v>
      </c>
      <c r="CQ14" s="229">
        <v>-1.37E-2</v>
      </c>
      <c r="CR14" s="230">
        <v>1817900</v>
      </c>
      <c r="CS14" s="230">
        <v>1771000</v>
      </c>
      <c r="CT14" s="230">
        <v>46900</v>
      </c>
      <c r="CU14" s="229">
        <v>2.6499999999999999E-2</v>
      </c>
      <c r="CV14" s="230">
        <v>10179050</v>
      </c>
      <c r="CW14" s="230">
        <v>10029250</v>
      </c>
      <c r="CX14" s="230">
        <v>149800</v>
      </c>
      <c r="CY14" s="229">
        <v>1.49E-2</v>
      </c>
      <c r="CZ14" s="228">
        <v>23.3</v>
      </c>
      <c r="DA14" s="228">
        <v>24.13</v>
      </c>
      <c r="DB14" s="228">
        <v>-0.83</v>
      </c>
      <c r="DC14" s="228">
        <v>-0.83</v>
      </c>
      <c r="DD14" s="228">
        <v>37.299999999999997</v>
      </c>
      <c r="DE14" s="228">
        <v>37.4</v>
      </c>
      <c r="DF14" s="228">
        <v>-14</v>
      </c>
      <c r="DG14" s="228">
        <v>-0.1</v>
      </c>
      <c r="DH14" s="228">
        <v>22.93</v>
      </c>
      <c r="DI14" s="228">
        <v>23.01</v>
      </c>
      <c r="DJ14" s="228">
        <v>-0.08</v>
      </c>
      <c r="DK14" s="228">
        <v>-0.08</v>
      </c>
      <c r="DL14" s="228">
        <v>24.32</v>
      </c>
      <c r="DM14" s="228">
        <v>27.11</v>
      </c>
      <c r="DN14" s="228">
        <v>-2.79</v>
      </c>
      <c r="DO14" s="228">
        <v>-2.79</v>
      </c>
      <c r="DP14" s="228">
        <v>1.0900000000000001</v>
      </c>
      <c r="DQ14" s="228">
        <v>1.05</v>
      </c>
      <c r="DR14" s="228">
        <v>0.04</v>
      </c>
      <c r="DS14" s="229">
        <v>3.8100000000000002E-2</v>
      </c>
      <c r="DT14" s="231">
        <v>1700</v>
      </c>
      <c r="DU14" s="231">
        <v>1600</v>
      </c>
      <c r="DV14" s="228">
        <v>0.36</v>
      </c>
      <c r="DW14" s="228">
        <v>0.37</v>
      </c>
      <c r="DX14" s="228">
        <v>-0.01</v>
      </c>
      <c r="DY14" s="229">
        <v>-2.7E-2</v>
      </c>
      <c r="DZ14" s="229">
        <v>5.6399999999999999E-2</v>
      </c>
      <c r="EA14" s="230">
        <v>246400</v>
      </c>
      <c r="EB14" s="229">
        <v>5.7999999999999996E-3</v>
      </c>
      <c r="EC14" s="229">
        <v>5.6399999999999999E-2</v>
      </c>
      <c r="ED14" s="228">
        <v>10.7</v>
      </c>
      <c r="EE14" s="229">
        <v>6.6E-3</v>
      </c>
      <c r="EF14" s="230">
        <v>208349</v>
      </c>
      <c r="EG14" s="230">
        <v>147018</v>
      </c>
      <c r="EH14" s="229">
        <v>0.41720000000000002</v>
      </c>
      <c r="EI14" s="229">
        <v>0.58020000000000005</v>
      </c>
      <c r="EJ14" s="231">
        <v>38260.83</v>
      </c>
      <c r="EK14" s="231">
        <v>13060.67</v>
      </c>
      <c r="EL14" s="231">
        <v>14457.17</v>
      </c>
      <c r="EM14" s="228">
        <v>0</v>
      </c>
      <c r="EN14" s="231">
        <v>65778.67</v>
      </c>
      <c r="EO14" s="231">
        <v>39212.97</v>
      </c>
      <c r="EP14" s="231">
        <v>26565.7</v>
      </c>
      <c r="EQ14" s="229">
        <v>0.67749999999999999</v>
      </c>
      <c r="ER14" s="231">
        <v>27632</v>
      </c>
      <c r="ES14" s="231">
        <v>28586</v>
      </c>
      <c r="ET14" s="231">
        <v>109019</v>
      </c>
      <c r="EU14" s="231">
        <v>39789203</v>
      </c>
      <c r="EV14" s="231">
        <v>165237</v>
      </c>
      <c r="EW14" s="231">
        <v>162682</v>
      </c>
      <c r="EX14" s="231">
        <v>2555</v>
      </c>
      <c r="EY14" s="229">
        <v>1.5699999999999999E-2</v>
      </c>
      <c r="EZ14" s="229">
        <v>0.25580000000000003</v>
      </c>
      <c r="FA14" s="227" t="s">
        <v>555</v>
      </c>
      <c r="FB14" s="161">
        <f t="shared" si="0"/>
        <v>377650</v>
      </c>
    </row>
    <row r="15" spans="1:158" ht="17.25" hidden="1" thickBot="1" x14ac:dyDescent="0.3">
      <c r="A15" s="226">
        <v>45889</v>
      </c>
      <c r="B15" s="227" t="s">
        <v>170</v>
      </c>
      <c r="C15" s="227" t="s">
        <v>165</v>
      </c>
      <c r="D15" s="228">
        <v>125</v>
      </c>
      <c r="E15" s="231">
        <v>7885.5</v>
      </c>
      <c r="F15" s="231">
        <v>7847.5</v>
      </c>
      <c r="G15" s="228">
        <v>38</v>
      </c>
      <c r="H15" s="229">
        <v>4.7999999999999996E-3</v>
      </c>
      <c r="I15" s="231">
        <v>7883</v>
      </c>
      <c r="J15" s="231">
        <v>7823.5</v>
      </c>
      <c r="K15" s="228">
        <v>59.5</v>
      </c>
      <c r="L15" s="229">
        <v>7.6E-3</v>
      </c>
      <c r="M15" s="231">
        <v>7885.5</v>
      </c>
      <c r="N15" s="231">
        <v>7847.5</v>
      </c>
      <c r="O15" s="228">
        <v>38</v>
      </c>
      <c r="P15" s="229">
        <v>4.7999999999999996E-3</v>
      </c>
      <c r="Q15" s="231">
        <v>7931.5</v>
      </c>
      <c r="R15" s="231">
        <v>7892</v>
      </c>
      <c r="S15" s="228">
        <v>39.5</v>
      </c>
      <c r="T15" s="229">
        <v>5.0000000000000001E-3</v>
      </c>
      <c r="U15" s="231">
        <v>7969</v>
      </c>
      <c r="V15" s="231">
        <v>7930</v>
      </c>
      <c r="W15" s="228">
        <v>39</v>
      </c>
      <c r="X15" s="229">
        <v>4.8999999999999998E-3</v>
      </c>
      <c r="Y15" s="228">
        <v>2.5</v>
      </c>
      <c r="Z15" s="228">
        <v>24</v>
      </c>
      <c r="AA15" s="228">
        <v>-21.5</v>
      </c>
      <c r="AB15" s="229">
        <v>2.9999999999999997E-4</v>
      </c>
      <c r="AC15" s="228">
        <v>2.5</v>
      </c>
      <c r="AD15" s="228">
        <v>24</v>
      </c>
      <c r="AE15" s="228">
        <v>-21.5</v>
      </c>
      <c r="AF15" s="229">
        <v>2.9999999999999997E-4</v>
      </c>
      <c r="AG15" s="228">
        <v>48.5</v>
      </c>
      <c r="AH15" s="228">
        <v>68.5</v>
      </c>
      <c r="AI15" s="228">
        <v>-20</v>
      </c>
      <c r="AJ15" s="229">
        <v>6.1999999999999998E-3</v>
      </c>
      <c r="AK15" s="228">
        <v>86</v>
      </c>
      <c r="AL15" s="228">
        <v>106.5</v>
      </c>
      <c r="AM15" s="228">
        <v>-20.5</v>
      </c>
      <c r="AN15" s="229">
        <v>1.09E-2</v>
      </c>
      <c r="AO15" s="231">
        <v>7889.41</v>
      </c>
      <c r="AP15" s="231">
        <v>7936.83</v>
      </c>
      <c r="AQ15" s="228">
        <v>0</v>
      </c>
      <c r="AR15" s="230">
        <v>569125</v>
      </c>
      <c r="AS15" s="230">
        <v>337125</v>
      </c>
      <c r="AT15" s="230">
        <v>232000</v>
      </c>
      <c r="AU15" s="229">
        <v>0.68820000000000003</v>
      </c>
      <c r="AV15" s="230">
        <v>482500</v>
      </c>
      <c r="AW15" s="230">
        <v>258500</v>
      </c>
      <c r="AX15" s="230">
        <v>224000</v>
      </c>
      <c r="AY15" s="229">
        <v>0.86650000000000005</v>
      </c>
      <c r="AZ15" s="230">
        <v>80750</v>
      </c>
      <c r="BA15" s="230">
        <v>73125</v>
      </c>
      <c r="BB15" s="230">
        <v>7625</v>
      </c>
      <c r="BC15" s="229">
        <v>0.1043</v>
      </c>
      <c r="BD15" s="230">
        <v>5875</v>
      </c>
      <c r="BE15" s="230">
        <v>5500</v>
      </c>
      <c r="BF15" s="228">
        <v>375</v>
      </c>
      <c r="BG15" s="229">
        <v>6.8199999999999997E-2</v>
      </c>
      <c r="BH15" s="230">
        <v>4109375</v>
      </c>
      <c r="BI15" s="230">
        <v>1982000</v>
      </c>
      <c r="BJ15" s="230">
        <v>2127375</v>
      </c>
      <c r="BK15" s="229">
        <v>1.0732999999999999</v>
      </c>
      <c r="BL15" s="230">
        <v>2608375</v>
      </c>
      <c r="BM15" s="230">
        <v>1844250</v>
      </c>
      <c r="BN15" s="230">
        <v>764125</v>
      </c>
      <c r="BO15" s="229">
        <v>0.4143</v>
      </c>
      <c r="BP15" s="230">
        <v>7286875</v>
      </c>
      <c r="BQ15" s="230">
        <v>4163375</v>
      </c>
      <c r="BR15" s="230">
        <v>3123500</v>
      </c>
      <c r="BS15" s="229">
        <v>0.75019999999999998</v>
      </c>
      <c r="BT15" s="230">
        <v>470677</v>
      </c>
      <c r="BU15" s="230">
        <v>407383</v>
      </c>
      <c r="BV15" s="230">
        <v>63294</v>
      </c>
      <c r="BW15" s="229">
        <v>0.15540000000000001</v>
      </c>
      <c r="BX15" s="230">
        <v>3423625</v>
      </c>
      <c r="BY15" s="230">
        <v>3537500</v>
      </c>
      <c r="BZ15" s="230">
        <v>-113875</v>
      </c>
      <c r="CA15" s="229">
        <v>-3.2199999999999999E-2</v>
      </c>
      <c r="CB15" s="230">
        <v>3119625</v>
      </c>
      <c r="CC15" s="230">
        <v>3251250</v>
      </c>
      <c r="CD15" s="230">
        <v>-131625</v>
      </c>
      <c r="CE15" s="229">
        <v>-4.0500000000000001E-2</v>
      </c>
      <c r="CF15" s="230">
        <v>278250</v>
      </c>
      <c r="CG15" s="230">
        <v>259125</v>
      </c>
      <c r="CH15" s="230">
        <v>19125</v>
      </c>
      <c r="CI15" s="229">
        <v>7.3800000000000004E-2</v>
      </c>
      <c r="CJ15" s="230">
        <v>25750</v>
      </c>
      <c r="CK15" s="230">
        <v>27125</v>
      </c>
      <c r="CL15" s="230">
        <v>-1375</v>
      </c>
      <c r="CM15" s="229">
        <v>-5.0700000000000002E-2</v>
      </c>
      <c r="CN15" s="230">
        <v>2044000</v>
      </c>
      <c r="CO15" s="230">
        <v>2025250</v>
      </c>
      <c r="CP15" s="230">
        <v>18750</v>
      </c>
      <c r="CQ15" s="229">
        <v>9.2999999999999992E-3</v>
      </c>
      <c r="CR15" s="230">
        <v>2415625</v>
      </c>
      <c r="CS15" s="230">
        <v>2281125</v>
      </c>
      <c r="CT15" s="230">
        <v>134500</v>
      </c>
      <c r="CU15" s="229">
        <v>5.8999999999999997E-2</v>
      </c>
      <c r="CV15" s="230">
        <v>7883250</v>
      </c>
      <c r="CW15" s="230">
        <v>7843875</v>
      </c>
      <c r="CX15" s="230">
        <v>39375</v>
      </c>
      <c r="CY15" s="229">
        <v>5.0000000000000001E-3</v>
      </c>
      <c r="CZ15" s="228">
        <v>20.79</v>
      </c>
      <c r="DA15" s="228">
        <v>21.67</v>
      </c>
      <c r="DB15" s="228">
        <v>-0.88</v>
      </c>
      <c r="DC15" s="228">
        <v>-0.88</v>
      </c>
      <c r="DD15" s="228">
        <v>28.05</v>
      </c>
      <c r="DE15" s="228">
        <v>28.1</v>
      </c>
      <c r="DF15" s="228">
        <v>-7.26</v>
      </c>
      <c r="DG15" s="228">
        <v>-0.05</v>
      </c>
      <c r="DH15" s="228">
        <v>19.649999999999999</v>
      </c>
      <c r="DI15" s="228">
        <v>19.97</v>
      </c>
      <c r="DJ15" s="228">
        <v>-0.32</v>
      </c>
      <c r="DK15" s="228">
        <v>-0.32</v>
      </c>
      <c r="DL15" s="228">
        <v>22.58</v>
      </c>
      <c r="DM15" s="228">
        <v>23.5</v>
      </c>
      <c r="DN15" s="228">
        <v>-0.92</v>
      </c>
      <c r="DO15" s="228">
        <v>-0.92</v>
      </c>
      <c r="DP15" s="228">
        <v>1.18</v>
      </c>
      <c r="DQ15" s="228">
        <v>1.1299999999999999</v>
      </c>
      <c r="DR15" s="228">
        <v>0.05</v>
      </c>
      <c r="DS15" s="229">
        <v>4.4200000000000003E-2</v>
      </c>
      <c r="DT15" s="231">
        <v>7900</v>
      </c>
      <c r="DU15" s="231">
        <v>7600</v>
      </c>
      <c r="DV15" s="228">
        <v>0.63</v>
      </c>
      <c r="DW15" s="228">
        <v>0.93</v>
      </c>
      <c r="DX15" s="228">
        <v>-0.3</v>
      </c>
      <c r="DY15" s="229">
        <v>-0.3226</v>
      </c>
      <c r="DZ15" s="229">
        <v>8.8800000000000004E-2</v>
      </c>
      <c r="EA15" s="230">
        <v>286250</v>
      </c>
      <c r="EB15" s="229">
        <v>5.7999999999999996E-3</v>
      </c>
      <c r="EC15" s="229">
        <v>8.8800000000000004E-2</v>
      </c>
      <c r="ED15" s="228">
        <v>47.42</v>
      </c>
      <c r="EE15" s="229">
        <v>6.0000000000000001E-3</v>
      </c>
      <c r="EF15" s="230">
        <v>317292</v>
      </c>
      <c r="EG15" s="230">
        <v>296233</v>
      </c>
      <c r="EH15" s="229">
        <v>7.1099999999999997E-2</v>
      </c>
      <c r="EI15" s="229">
        <v>0.67410000000000003</v>
      </c>
      <c r="EJ15" s="231">
        <v>331263.32</v>
      </c>
      <c r="EK15" s="231">
        <v>201738.4</v>
      </c>
      <c r="EL15" s="231">
        <v>44944.23</v>
      </c>
      <c r="EM15" s="228">
        <v>0</v>
      </c>
      <c r="EN15" s="231">
        <v>577945.94999999995</v>
      </c>
      <c r="EO15" s="231">
        <v>327262.8</v>
      </c>
      <c r="EP15" s="231">
        <v>250683.15</v>
      </c>
      <c r="EQ15" s="229">
        <v>0.76600000000000001</v>
      </c>
      <c r="ER15" s="231">
        <v>162546</v>
      </c>
      <c r="ES15" s="231">
        <v>180341</v>
      </c>
      <c r="ET15" s="231">
        <v>270119</v>
      </c>
      <c r="EU15" s="231">
        <v>20320057</v>
      </c>
      <c r="EV15" s="231">
        <v>613007</v>
      </c>
      <c r="EW15" s="231">
        <v>608101</v>
      </c>
      <c r="EX15" s="231">
        <v>4906</v>
      </c>
      <c r="EY15" s="229">
        <v>8.0999999999999996E-3</v>
      </c>
      <c r="EZ15" s="229">
        <v>0.38800000000000001</v>
      </c>
      <c r="FA15" s="227" t="s">
        <v>556</v>
      </c>
      <c r="FB15" s="161">
        <f t="shared" si="0"/>
        <v>304000</v>
      </c>
    </row>
    <row r="16" spans="1:158" ht="17.25" hidden="1" thickBot="1" x14ac:dyDescent="0.3">
      <c r="A16" s="226">
        <v>45889</v>
      </c>
      <c r="B16" s="227" t="s">
        <v>162</v>
      </c>
      <c r="C16" s="227" t="s">
        <v>167</v>
      </c>
      <c r="D16" s="228">
        <v>5000</v>
      </c>
      <c r="E16" s="228">
        <v>133.13</v>
      </c>
      <c r="F16" s="228">
        <v>133.32</v>
      </c>
      <c r="G16" s="228">
        <v>-0.19</v>
      </c>
      <c r="H16" s="229">
        <v>-1.4E-3</v>
      </c>
      <c r="I16" s="228">
        <v>133.1</v>
      </c>
      <c r="J16" s="228">
        <v>133.28</v>
      </c>
      <c r="K16" s="228">
        <v>-0.18</v>
      </c>
      <c r="L16" s="229">
        <v>-1.4E-3</v>
      </c>
      <c r="M16" s="228">
        <v>133.13</v>
      </c>
      <c r="N16" s="228">
        <v>133.32</v>
      </c>
      <c r="O16" s="228">
        <v>-0.19</v>
      </c>
      <c r="P16" s="229">
        <v>-1.4E-3</v>
      </c>
      <c r="Q16" s="228">
        <v>133.88</v>
      </c>
      <c r="R16" s="228">
        <v>134.02000000000001</v>
      </c>
      <c r="S16" s="228">
        <v>-0.14000000000000001</v>
      </c>
      <c r="T16" s="229">
        <v>-1E-3</v>
      </c>
      <c r="U16" s="228">
        <v>134.33000000000001</v>
      </c>
      <c r="V16" s="228">
        <v>134.37</v>
      </c>
      <c r="W16" s="228">
        <v>-0.04</v>
      </c>
      <c r="X16" s="229">
        <v>-2.9999999999999997E-4</v>
      </c>
      <c r="Y16" s="228">
        <v>0.03</v>
      </c>
      <c r="Z16" s="228">
        <v>0.04</v>
      </c>
      <c r="AA16" s="228">
        <v>-0.01</v>
      </c>
      <c r="AB16" s="229">
        <v>2.0000000000000001E-4</v>
      </c>
      <c r="AC16" s="228">
        <v>0.03</v>
      </c>
      <c r="AD16" s="228">
        <v>0.04</v>
      </c>
      <c r="AE16" s="228">
        <v>-0.01</v>
      </c>
      <c r="AF16" s="229">
        <v>2.0000000000000001E-4</v>
      </c>
      <c r="AG16" s="228">
        <v>0.78</v>
      </c>
      <c r="AH16" s="228">
        <v>0.74</v>
      </c>
      <c r="AI16" s="228">
        <v>0.04</v>
      </c>
      <c r="AJ16" s="229">
        <v>5.8999999999999999E-3</v>
      </c>
      <c r="AK16" s="228">
        <v>1.23</v>
      </c>
      <c r="AL16" s="228">
        <v>1.0900000000000001</v>
      </c>
      <c r="AM16" s="228">
        <v>0.14000000000000001</v>
      </c>
      <c r="AN16" s="229">
        <v>9.1999999999999998E-3</v>
      </c>
      <c r="AO16" s="228">
        <v>133.21</v>
      </c>
      <c r="AP16" s="228">
        <v>134.1</v>
      </c>
      <c r="AQ16" s="228">
        <v>0</v>
      </c>
      <c r="AR16" s="230">
        <v>27470000</v>
      </c>
      <c r="AS16" s="230">
        <v>73150000</v>
      </c>
      <c r="AT16" s="230">
        <v>-45680000</v>
      </c>
      <c r="AU16" s="229">
        <v>-0.62450000000000006</v>
      </c>
      <c r="AV16" s="230">
        <v>22330000</v>
      </c>
      <c r="AW16" s="230">
        <v>62365000</v>
      </c>
      <c r="AX16" s="230">
        <v>-40035000</v>
      </c>
      <c r="AY16" s="229">
        <v>-0.64190000000000003</v>
      </c>
      <c r="AZ16" s="230">
        <v>4890000</v>
      </c>
      <c r="BA16" s="230">
        <v>10030000</v>
      </c>
      <c r="BB16" s="230">
        <v>-5140000</v>
      </c>
      <c r="BC16" s="229">
        <v>-0.51249999999999996</v>
      </c>
      <c r="BD16" s="230">
        <v>250000</v>
      </c>
      <c r="BE16" s="230">
        <v>755000</v>
      </c>
      <c r="BF16" s="230">
        <v>-505000</v>
      </c>
      <c r="BG16" s="229">
        <v>-0.66890000000000005</v>
      </c>
      <c r="BH16" s="230">
        <v>106645000</v>
      </c>
      <c r="BI16" s="230">
        <v>321465000</v>
      </c>
      <c r="BJ16" s="230">
        <v>-214820000</v>
      </c>
      <c r="BK16" s="229">
        <v>-0.66830000000000001</v>
      </c>
      <c r="BL16" s="230">
        <v>71340000</v>
      </c>
      <c r="BM16" s="230">
        <v>187435000</v>
      </c>
      <c r="BN16" s="230">
        <v>-116095000</v>
      </c>
      <c r="BO16" s="229">
        <v>-0.61939999999999995</v>
      </c>
      <c r="BP16" s="230">
        <v>205455000</v>
      </c>
      <c r="BQ16" s="230">
        <v>582050000</v>
      </c>
      <c r="BR16" s="230">
        <v>-376595000</v>
      </c>
      <c r="BS16" s="229">
        <v>-0.64700000000000002</v>
      </c>
      <c r="BT16" s="230">
        <v>21754007</v>
      </c>
      <c r="BU16" s="230">
        <v>45277396</v>
      </c>
      <c r="BV16" s="230">
        <v>-23523389</v>
      </c>
      <c r="BW16" s="229">
        <v>-0.51949999999999996</v>
      </c>
      <c r="BX16" s="230">
        <v>107130000</v>
      </c>
      <c r="BY16" s="230">
        <v>106625000</v>
      </c>
      <c r="BZ16" s="230">
        <v>505000</v>
      </c>
      <c r="CA16" s="229">
        <v>4.7000000000000002E-3</v>
      </c>
      <c r="CB16" s="230">
        <v>98160000</v>
      </c>
      <c r="CC16" s="230">
        <v>99885000</v>
      </c>
      <c r="CD16" s="230">
        <v>-1725000</v>
      </c>
      <c r="CE16" s="229">
        <v>-1.7299999999999999E-2</v>
      </c>
      <c r="CF16" s="230">
        <v>8475000</v>
      </c>
      <c r="CG16" s="230">
        <v>6260000</v>
      </c>
      <c r="CH16" s="230">
        <v>2215000</v>
      </c>
      <c r="CI16" s="229">
        <v>0.3538</v>
      </c>
      <c r="CJ16" s="230">
        <v>495000</v>
      </c>
      <c r="CK16" s="230">
        <v>480000</v>
      </c>
      <c r="CL16" s="230">
        <v>15000</v>
      </c>
      <c r="CM16" s="229">
        <v>3.1300000000000001E-2</v>
      </c>
      <c r="CN16" s="230">
        <v>51740000</v>
      </c>
      <c r="CO16" s="230">
        <v>52155000</v>
      </c>
      <c r="CP16" s="230">
        <v>-415000</v>
      </c>
      <c r="CQ16" s="229">
        <v>-8.0000000000000002E-3</v>
      </c>
      <c r="CR16" s="230">
        <v>56955000</v>
      </c>
      <c r="CS16" s="230">
        <v>56495000</v>
      </c>
      <c r="CT16" s="230">
        <v>460000</v>
      </c>
      <c r="CU16" s="229">
        <v>8.0999999999999996E-3</v>
      </c>
      <c r="CV16" s="230">
        <v>215825000</v>
      </c>
      <c r="CW16" s="230">
        <v>215275000</v>
      </c>
      <c r="CX16" s="230">
        <v>550000</v>
      </c>
      <c r="CY16" s="229">
        <v>2.5999999999999999E-3</v>
      </c>
      <c r="CZ16" s="228">
        <v>30.28</v>
      </c>
      <c r="DA16" s="228">
        <v>31.81</v>
      </c>
      <c r="DB16" s="228">
        <v>-1.53</v>
      </c>
      <c r="DC16" s="228">
        <v>-1.53</v>
      </c>
      <c r="DD16" s="228">
        <v>36.43</v>
      </c>
      <c r="DE16" s="228">
        <v>36.520000000000003</v>
      </c>
      <c r="DF16" s="228">
        <v>-6.15</v>
      </c>
      <c r="DG16" s="228">
        <v>-0.09</v>
      </c>
      <c r="DH16" s="228">
        <v>29.7</v>
      </c>
      <c r="DI16" s="228">
        <v>30.81</v>
      </c>
      <c r="DJ16" s="228">
        <v>-1.1100000000000001</v>
      </c>
      <c r="DK16" s="228">
        <v>-1.1100000000000001</v>
      </c>
      <c r="DL16" s="228">
        <v>31.14</v>
      </c>
      <c r="DM16" s="228">
        <v>33.520000000000003</v>
      </c>
      <c r="DN16" s="228">
        <v>-2.38</v>
      </c>
      <c r="DO16" s="228">
        <v>-2.38</v>
      </c>
      <c r="DP16" s="228">
        <v>1.1000000000000001</v>
      </c>
      <c r="DQ16" s="228">
        <v>1.08</v>
      </c>
      <c r="DR16" s="228">
        <v>0.02</v>
      </c>
      <c r="DS16" s="229">
        <v>1.8499999999999999E-2</v>
      </c>
      <c r="DT16" s="228">
        <v>135</v>
      </c>
      <c r="DU16" s="228">
        <v>130</v>
      </c>
      <c r="DV16" s="228">
        <v>0.67</v>
      </c>
      <c r="DW16" s="228">
        <v>0.57999999999999996</v>
      </c>
      <c r="DX16" s="228">
        <v>0.09</v>
      </c>
      <c r="DY16" s="229">
        <v>0.1552</v>
      </c>
      <c r="DZ16" s="229">
        <v>8.3699999999999997E-2</v>
      </c>
      <c r="EA16" s="230">
        <v>6740000</v>
      </c>
      <c r="EB16" s="229">
        <v>5.5999999999999999E-3</v>
      </c>
      <c r="EC16" s="229">
        <v>8.3699999999999997E-2</v>
      </c>
      <c r="ED16" s="228">
        <v>0.89</v>
      </c>
      <c r="EE16" s="229">
        <v>6.7000000000000002E-3</v>
      </c>
      <c r="EF16" s="230">
        <v>10338220</v>
      </c>
      <c r="EG16" s="230">
        <v>18809668</v>
      </c>
      <c r="EH16" s="229">
        <v>-0.45040000000000002</v>
      </c>
      <c r="EI16" s="229">
        <v>0.47520000000000001</v>
      </c>
      <c r="EJ16" s="231">
        <v>147324.85</v>
      </c>
      <c r="EK16" s="231">
        <v>93544.18</v>
      </c>
      <c r="EL16" s="231">
        <v>36639.42</v>
      </c>
      <c r="EM16" s="228">
        <v>0</v>
      </c>
      <c r="EN16" s="231">
        <v>277508.45</v>
      </c>
      <c r="EO16" s="231">
        <v>777796.08</v>
      </c>
      <c r="EP16" s="231">
        <v>-500287.63</v>
      </c>
      <c r="EQ16" s="229">
        <v>-0.64319999999999999</v>
      </c>
      <c r="ER16" s="231">
        <v>68920</v>
      </c>
      <c r="ES16" s="231">
        <v>70984</v>
      </c>
      <c r="ET16" s="231">
        <v>142692</v>
      </c>
      <c r="EU16" s="231">
        <v>564878806</v>
      </c>
      <c r="EV16" s="231">
        <v>282596</v>
      </c>
      <c r="EW16" s="231">
        <v>281699</v>
      </c>
      <c r="EX16" s="228">
        <v>897</v>
      </c>
      <c r="EY16" s="229">
        <v>3.2000000000000002E-3</v>
      </c>
      <c r="EZ16" s="229">
        <v>0.3821</v>
      </c>
      <c r="FA16" s="227" t="s">
        <v>567</v>
      </c>
      <c r="FB16" s="161">
        <f t="shared" si="0"/>
        <v>8970000</v>
      </c>
    </row>
    <row r="17" spans="1:158" ht="17.25" hidden="1" thickBot="1" x14ac:dyDescent="0.3">
      <c r="A17" s="226">
        <v>45889</v>
      </c>
      <c r="B17" s="227" t="s">
        <v>168</v>
      </c>
      <c r="C17" s="227" t="s">
        <v>169</v>
      </c>
      <c r="D17" s="228">
        <v>250</v>
      </c>
      <c r="E17" s="231">
        <v>2569.6</v>
      </c>
      <c r="F17" s="231">
        <v>2579.8000000000002</v>
      </c>
      <c r="G17" s="228">
        <v>-10.199999999999999</v>
      </c>
      <c r="H17" s="229">
        <v>-4.0000000000000001E-3</v>
      </c>
      <c r="I17" s="231">
        <v>2570.1</v>
      </c>
      <c r="J17" s="231">
        <v>2579.4</v>
      </c>
      <c r="K17" s="228">
        <v>-9.3000000000000007</v>
      </c>
      <c r="L17" s="229">
        <v>-3.5999999999999999E-3</v>
      </c>
      <c r="M17" s="231">
        <v>2569.6</v>
      </c>
      <c r="N17" s="231">
        <v>2579.8000000000002</v>
      </c>
      <c r="O17" s="228">
        <v>-10.199999999999999</v>
      </c>
      <c r="P17" s="229">
        <v>-4.0000000000000001E-3</v>
      </c>
      <c r="Q17" s="231">
        <v>2582.8000000000002</v>
      </c>
      <c r="R17" s="231">
        <v>2593.4</v>
      </c>
      <c r="S17" s="228">
        <v>-10.6</v>
      </c>
      <c r="T17" s="229">
        <v>-4.1000000000000003E-3</v>
      </c>
      <c r="U17" s="231">
        <v>2596.8000000000002</v>
      </c>
      <c r="V17" s="231">
        <v>2608.4</v>
      </c>
      <c r="W17" s="228">
        <v>-11.6</v>
      </c>
      <c r="X17" s="229">
        <v>-4.4000000000000003E-3</v>
      </c>
      <c r="Y17" s="228">
        <v>-0.5</v>
      </c>
      <c r="Z17" s="228">
        <v>0.4</v>
      </c>
      <c r="AA17" s="228">
        <v>-0.9</v>
      </c>
      <c r="AB17" s="229">
        <v>-2.0000000000000001E-4</v>
      </c>
      <c r="AC17" s="228">
        <v>-0.5</v>
      </c>
      <c r="AD17" s="228">
        <v>0.4</v>
      </c>
      <c r="AE17" s="228">
        <v>-0.9</v>
      </c>
      <c r="AF17" s="229">
        <v>-2.0000000000000001E-4</v>
      </c>
      <c r="AG17" s="228">
        <v>12.7</v>
      </c>
      <c r="AH17" s="228">
        <v>14</v>
      </c>
      <c r="AI17" s="228">
        <v>-1.3</v>
      </c>
      <c r="AJ17" s="229">
        <v>4.8999999999999998E-3</v>
      </c>
      <c r="AK17" s="228">
        <v>26.7</v>
      </c>
      <c r="AL17" s="228">
        <v>29</v>
      </c>
      <c r="AM17" s="228">
        <v>-2.2999999999999998</v>
      </c>
      <c r="AN17" s="229">
        <v>1.04E-2</v>
      </c>
      <c r="AO17" s="231">
        <v>2570.41</v>
      </c>
      <c r="AP17" s="231">
        <v>2584.0100000000002</v>
      </c>
      <c r="AQ17" s="228">
        <v>0</v>
      </c>
      <c r="AR17" s="230">
        <v>1379750</v>
      </c>
      <c r="AS17" s="230">
        <v>1866750</v>
      </c>
      <c r="AT17" s="230">
        <v>-487000</v>
      </c>
      <c r="AU17" s="229">
        <v>-0.26090000000000002</v>
      </c>
      <c r="AV17" s="230">
        <v>1157500</v>
      </c>
      <c r="AW17" s="230">
        <v>1571750</v>
      </c>
      <c r="AX17" s="230">
        <v>-414250</v>
      </c>
      <c r="AY17" s="229">
        <v>-0.2636</v>
      </c>
      <c r="AZ17" s="230">
        <v>215000</v>
      </c>
      <c r="BA17" s="230">
        <v>275500</v>
      </c>
      <c r="BB17" s="230">
        <v>-60500</v>
      </c>
      <c r="BC17" s="229">
        <v>-0.21959999999999999</v>
      </c>
      <c r="BD17" s="230">
        <v>7250</v>
      </c>
      <c r="BE17" s="230">
        <v>19500</v>
      </c>
      <c r="BF17" s="230">
        <v>-12250</v>
      </c>
      <c r="BG17" s="229">
        <v>-0.62819999999999998</v>
      </c>
      <c r="BH17" s="230">
        <v>3844250</v>
      </c>
      <c r="BI17" s="230">
        <v>7583750</v>
      </c>
      <c r="BJ17" s="230">
        <v>-3739500</v>
      </c>
      <c r="BK17" s="229">
        <v>-0.49309999999999998</v>
      </c>
      <c r="BL17" s="230">
        <v>2291250</v>
      </c>
      <c r="BM17" s="230">
        <v>3940000</v>
      </c>
      <c r="BN17" s="230">
        <v>-1648750</v>
      </c>
      <c r="BO17" s="229">
        <v>-0.41849999999999998</v>
      </c>
      <c r="BP17" s="230">
        <v>7515250</v>
      </c>
      <c r="BQ17" s="230">
        <v>13390500</v>
      </c>
      <c r="BR17" s="230">
        <v>-5875250</v>
      </c>
      <c r="BS17" s="229">
        <v>-0.43880000000000002</v>
      </c>
      <c r="BT17" s="230">
        <v>357165</v>
      </c>
      <c r="BU17" s="230">
        <v>722677</v>
      </c>
      <c r="BV17" s="230">
        <v>-365512</v>
      </c>
      <c r="BW17" s="229">
        <v>-0.50580000000000003</v>
      </c>
      <c r="BX17" s="230">
        <v>14227750</v>
      </c>
      <c r="BY17" s="230">
        <v>13866750</v>
      </c>
      <c r="BZ17" s="230">
        <v>361000</v>
      </c>
      <c r="CA17" s="229">
        <v>2.5999999999999999E-2</v>
      </c>
      <c r="CB17" s="230">
        <v>13286250</v>
      </c>
      <c r="CC17" s="230">
        <v>13067250</v>
      </c>
      <c r="CD17" s="230">
        <v>219000</v>
      </c>
      <c r="CE17" s="229">
        <v>1.6799999999999999E-2</v>
      </c>
      <c r="CF17" s="230">
        <v>892250</v>
      </c>
      <c r="CG17" s="230">
        <v>753500</v>
      </c>
      <c r="CH17" s="230">
        <v>138750</v>
      </c>
      <c r="CI17" s="229">
        <v>0.18410000000000001</v>
      </c>
      <c r="CJ17" s="230">
        <v>49250</v>
      </c>
      <c r="CK17" s="230">
        <v>46000</v>
      </c>
      <c r="CL17" s="230">
        <v>3250</v>
      </c>
      <c r="CM17" s="229">
        <v>7.0699999999999999E-2</v>
      </c>
      <c r="CN17" s="230">
        <v>6602500</v>
      </c>
      <c r="CO17" s="230">
        <v>6741500</v>
      </c>
      <c r="CP17" s="230">
        <v>-139000</v>
      </c>
      <c r="CQ17" s="229">
        <v>-2.06E-2</v>
      </c>
      <c r="CR17" s="230">
        <v>4156500</v>
      </c>
      <c r="CS17" s="230">
        <v>4085250</v>
      </c>
      <c r="CT17" s="230">
        <v>71250</v>
      </c>
      <c r="CU17" s="229">
        <v>1.7399999999999999E-2</v>
      </c>
      <c r="CV17" s="230">
        <v>24986750</v>
      </c>
      <c r="CW17" s="230">
        <v>24693500</v>
      </c>
      <c r="CX17" s="230">
        <v>293250</v>
      </c>
      <c r="CY17" s="229">
        <v>1.1900000000000001E-2</v>
      </c>
      <c r="CZ17" s="228">
        <v>18.87</v>
      </c>
      <c r="DA17" s="228">
        <v>18.63</v>
      </c>
      <c r="DB17" s="228">
        <v>0.24</v>
      </c>
      <c r="DC17" s="228">
        <v>0.24</v>
      </c>
      <c r="DD17" s="228">
        <v>24.11</v>
      </c>
      <c r="DE17" s="228">
        <v>24.16</v>
      </c>
      <c r="DF17" s="228">
        <v>-5.24</v>
      </c>
      <c r="DG17" s="228">
        <v>-0.05</v>
      </c>
      <c r="DH17" s="228">
        <v>18.78</v>
      </c>
      <c r="DI17" s="228">
        <v>18.48</v>
      </c>
      <c r="DJ17" s="228">
        <v>0.3</v>
      </c>
      <c r="DK17" s="228">
        <v>0.3</v>
      </c>
      <c r="DL17" s="228">
        <v>19.03</v>
      </c>
      <c r="DM17" s="228">
        <v>18.899999999999999</v>
      </c>
      <c r="DN17" s="228">
        <v>0.13</v>
      </c>
      <c r="DO17" s="228">
        <v>0.13</v>
      </c>
      <c r="DP17" s="228">
        <v>0.63</v>
      </c>
      <c r="DQ17" s="228">
        <v>0.61</v>
      </c>
      <c r="DR17" s="228">
        <v>0.02</v>
      </c>
      <c r="DS17" s="229">
        <v>3.2800000000000003E-2</v>
      </c>
      <c r="DT17" s="231">
        <v>2540</v>
      </c>
      <c r="DU17" s="231">
        <v>2400</v>
      </c>
      <c r="DV17" s="228">
        <v>0.6</v>
      </c>
      <c r="DW17" s="228">
        <v>0.52</v>
      </c>
      <c r="DX17" s="228">
        <v>0.08</v>
      </c>
      <c r="DY17" s="229">
        <v>0.15379999999999999</v>
      </c>
      <c r="DZ17" s="229">
        <v>6.6199999999999995E-2</v>
      </c>
      <c r="EA17" s="230">
        <v>799500</v>
      </c>
      <c r="EB17" s="229">
        <v>5.1000000000000004E-3</v>
      </c>
      <c r="EC17" s="229">
        <v>6.6199999999999995E-2</v>
      </c>
      <c r="ED17" s="228">
        <v>13.6</v>
      </c>
      <c r="EE17" s="229">
        <v>5.3E-3</v>
      </c>
      <c r="EF17" s="230">
        <v>227336</v>
      </c>
      <c r="EG17" s="230">
        <v>362782</v>
      </c>
      <c r="EH17" s="229">
        <v>-0.37340000000000001</v>
      </c>
      <c r="EI17" s="229">
        <v>0.63649999999999995</v>
      </c>
      <c r="EJ17" s="231">
        <v>101685.78</v>
      </c>
      <c r="EK17" s="231">
        <v>57711.91</v>
      </c>
      <c r="EL17" s="231">
        <v>35496.51</v>
      </c>
      <c r="EM17" s="228">
        <v>0</v>
      </c>
      <c r="EN17" s="231">
        <v>194894.2</v>
      </c>
      <c r="EO17" s="231">
        <v>349073.34</v>
      </c>
      <c r="EP17" s="231">
        <v>-154179.14000000001</v>
      </c>
      <c r="EQ17" s="229">
        <v>-0.44169999999999998</v>
      </c>
      <c r="ER17" s="231">
        <v>169935</v>
      </c>
      <c r="ES17" s="231">
        <v>101271</v>
      </c>
      <c r="ET17" s="231">
        <v>365727</v>
      </c>
      <c r="EU17" s="231">
        <v>90755647</v>
      </c>
      <c r="EV17" s="231">
        <v>636934</v>
      </c>
      <c r="EW17" s="231">
        <v>631074</v>
      </c>
      <c r="EX17" s="231">
        <v>5860</v>
      </c>
      <c r="EY17" s="229">
        <v>9.2999999999999992E-3</v>
      </c>
      <c r="EZ17" s="229">
        <v>0.27529999999999999</v>
      </c>
      <c r="FA17" s="227" t="s">
        <v>567</v>
      </c>
      <c r="FB17" s="161">
        <f t="shared" si="0"/>
        <v>941500</v>
      </c>
    </row>
    <row r="18" spans="1:158" ht="17.25" hidden="1" thickBot="1" x14ac:dyDescent="0.3">
      <c r="A18" s="226">
        <v>45889</v>
      </c>
      <c r="B18" s="227" t="s">
        <v>184</v>
      </c>
      <c r="C18" s="227" t="s">
        <v>503</v>
      </c>
      <c r="D18" s="228">
        <v>425</v>
      </c>
      <c r="E18" s="231">
        <v>1399.1</v>
      </c>
      <c r="F18" s="231">
        <v>1371.5</v>
      </c>
      <c r="G18" s="228">
        <v>27.6</v>
      </c>
      <c r="H18" s="229">
        <v>2.01E-2</v>
      </c>
      <c r="I18" s="231">
        <v>1393.8</v>
      </c>
      <c r="J18" s="231">
        <v>1366.1</v>
      </c>
      <c r="K18" s="228">
        <v>27.7</v>
      </c>
      <c r="L18" s="229">
        <v>2.0299999999999999E-2</v>
      </c>
      <c r="M18" s="231">
        <v>1399.1</v>
      </c>
      <c r="N18" s="231">
        <v>1371.5</v>
      </c>
      <c r="O18" s="228">
        <v>27.6</v>
      </c>
      <c r="P18" s="229">
        <v>2.01E-2</v>
      </c>
      <c r="Q18" s="231">
        <v>1402.2</v>
      </c>
      <c r="R18" s="231">
        <v>1373.4</v>
      </c>
      <c r="S18" s="228">
        <v>28.8</v>
      </c>
      <c r="T18" s="229">
        <v>2.1000000000000001E-2</v>
      </c>
      <c r="U18" s="231">
        <v>1401.7</v>
      </c>
      <c r="V18" s="231">
        <v>1372.3</v>
      </c>
      <c r="W18" s="228">
        <v>29.4</v>
      </c>
      <c r="X18" s="229">
        <v>2.1399999999999999E-2</v>
      </c>
      <c r="Y18" s="228">
        <v>5.3</v>
      </c>
      <c r="Z18" s="228">
        <v>5.4</v>
      </c>
      <c r="AA18" s="228">
        <v>-0.1</v>
      </c>
      <c r="AB18" s="229">
        <v>3.8E-3</v>
      </c>
      <c r="AC18" s="228">
        <v>5.3</v>
      </c>
      <c r="AD18" s="228">
        <v>5.4</v>
      </c>
      <c r="AE18" s="228">
        <v>-0.1</v>
      </c>
      <c r="AF18" s="229">
        <v>3.8E-3</v>
      </c>
      <c r="AG18" s="228">
        <v>8.4</v>
      </c>
      <c r="AH18" s="228">
        <v>7.3</v>
      </c>
      <c r="AI18" s="228">
        <v>1.1000000000000001</v>
      </c>
      <c r="AJ18" s="229">
        <v>6.0000000000000001E-3</v>
      </c>
      <c r="AK18" s="228">
        <v>7.9</v>
      </c>
      <c r="AL18" s="228">
        <v>6.2</v>
      </c>
      <c r="AM18" s="228">
        <v>1.7</v>
      </c>
      <c r="AN18" s="229">
        <v>5.7000000000000002E-3</v>
      </c>
      <c r="AO18" s="231">
        <v>1391.22</v>
      </c>
      <c r="AP18" s="231">
        <v>1392.42</v>
      </c>
      <c r="AQ18" s="228">
        <v>0</v>
      </c>
      <c r="AR18" s="230">
        <v>2398700</v>
      </c>
      <c r="AS18" s="230">
        <v>3235100</v>
      </c>
      <c r="AT18" s="230">
        <v>-836400</v>
      </c>
      <c r="AU18" s="229">
        <v>-0.25850000000000001</v>
      </c>
      <c r="AV18" s="230">
        <v>1977950</v>
      </c>
      <c r="AW18" s="230">
        <v>2643925</v>
      </c>
      <c r="AX18" s="230">
        <v>-665975</v>
      </c>
      <c r="AY18" s="229">
        <v>-0.25190000000000001</v>
      </c>
      <c r="AZ18" s="230">
        <v>378250</v>
      </c>
      <c r="BA18" s="230">
        <v>518075</v>
      </c>
      <c r="BB18" s="230">
        <v>-139825</v>
      </c>
      <c r="BC18" s="229">
        <v>-0.26989999999999997</v>
      </c>
      <c r="BD18" s="230">
        <v>42500</v>
      </c>
      <c r="BE18" s="230">
        <v>73100</v>
      </c>
      <c r="BF18" s="230">
        <v>-30600</v>
      </c>
      <c r="BG18" s="229">
        <v>-0.41860000000000003</v>
      </c>
      <c r="BH18" s="230">
        <v>13664600</v>
      </c>
      <c r="BI18" s="230">
        <v>11623325</v>
      </c>
      <c r="BJ18" s="230">
        <v>2041275</v>
      </c>
      <c r="BK18" s="229">
        <v>0.17560000000000001</v>
      </c>
      <c r="BL18" s="230">
        <v>5030300</v>
      </c>
      <c r="BM18" s="230">
        <v>5610000</v>
      </c>
      <c r="BN18" s="230">
        <v>-579700</v>
      </c>
      <c r="BO18" s="229">
        <v>-0.1033</v>
      </c>
      <c r="BP18" s="230">
        <v>21093600</v>
      </c>
      <c r="BQ18" s="230">
        <v>20468425</v>
      </c>
      <c r="BR18" s="230">
        <v>625175</v>
      </c>
      <c r="BS18" s="229">
        <v>3.0499999999999999E-2</v>
      </c>
      <c r="BT18" s="230">
        <v>1575452</v>
      </c>
      <c r="BU18" s="230">
        <v>1883130</v>
      </c>
      <c r="BV18" s="230">
        <v>-307678</v>
      </c>
      <c r="BW18" s="229">
        <v>-0.16339999999999999</v>
      </c>
      <c r="BX18" s="230">
        <v>7637675</v>
      </c>
      <c r="BY18" s="230">
        <v>7879500</v>
      </c>
      <c r="BZ18" s="230">
        <v>-241825</v>
      </c>
      <c r="CA18" s="229">
        <v>-3.0700000000000002E-2</v>
      </c>
      <c r="CB18" s="230">
        <v>6799575</v>
      </c>
      <c r="CC18" s="230">
        <v>7060525</v>
      </c>
      <c r="CD18" s="230">
        <v>-260950</v>
      </c>
      <c r="CE18" s="229">
        <v>-3.6999999999999998E-2</v>
      </c>
      <c r="CF18" s="230">
        <v>736100</v>
      </c>
      <c r="CG18" s="230">
        <v>719100</v>
      </c>
      <c r="CH18" s="230">
        <v>17000</v>
      </c>
      <c r="CI18" s="229">
        <v>2.3599999999999999E-2</v>
      </c>
      <c r="CJ18" s="230">
        <v>102000</v>
      </c>
      <c r="CK18" s="230">
        <v>99875</v>
      </c>
      <c r="CL18" s="230">
        <v>2125</v>
      </c>
      <c r="CM18" s="229">
        <v>2.1299999999999999E-2</v>
      </c>
      <c r="CN18" s="230">
        <v>3594225</v>
      </c>
      <c r="CO18" s="230">
        <v>3587850</v>
      </c>
      <c r="CP18" s="230">
        <v>6375</v>
      </c>
      <c r="CQ18" s="229">
        <v>1.8E-3</v>
      </c>
      <c r="CR18" s="230">
        <v>3208750</v>
      </c>
      <c r="CS18" s="230">
        <v>3204925</v>
      </c>
      <c r="CT18" s="230">
        <v>3825</v>
      </c>
      <c r="CU18" s="229">
        <v>1.1999999999999999E-3</v>
      </c>
      <c r="CV18" s="230">
        <v>14440650</v>
      </c>
      <c r="CW18" s="230">
        <v>14672275</v>
      </c>
      <c r="CX18" s="230">
        <v>-231625</v>
      </c>
      <c r="CY18" s="229">
        <v>-1.5800000000000002E-2</v>
      </c>
      <c r="CZ18" s="228">
        <v>26.53</v>
      </c>
      <c r="DA18" s="228">
        <v>26.98</v>
      </c>
      <c r="DB18" s="228">
        <v>-0.45</v>
      </c>
      <c r="DC18" s="228">
        <v>-0.45</v>
      </c>
      <c r="DD18" s="228">
        <v>35.06</v>
      </c>
      <c r="DE18" s="228">
        <v>35.04</v>
      </c>
      <c r="DF18" s="228">
        <v>-8.5299999999999994</v>
      </c>
      <c r="DG18" s="228">
        <v>0.02</v>
      </c>
      <c r="DH18" s="228">
        <v>25.64</v>
      </c>
      <c r="DI18" s="228">
        <v>26.19</v>
      </c>
      <c r="DJ18" s="228">
        <v>-0.55000000000000004</v>
      </c>
      <c r="DK18" s="228">
        <v>-0.55000000000000004</v>
      </c>
      <c r="DL18" s="228">
        <v>28.94</v>
      </c>
      <c r="DM18" s="228">
        <v>28.62</v>
      </c>
      <c r="DN18" s="228">
        <v>0.32</v>
      </c>
      <c r="DO18" s="228">
        <v>0.32</v>
      </c>
      <c r="DP18" s="228">
        <v>0.89</v>
      </c>
      <c r="DQ18" s="228">
        <v>0.89</v>
      </c>
      <c r="DR18" s="228">
        <v>0</v>
      </c>
      <c r="DS18" s="229">
        <v>0</v>
      </c>
      <c r="DT18" s="231">
        <v>1400</v>
      </c>
      <c r="DU18" s="231">
        <v>1300</v>
      </c>
      <c r="DV18" s="228">
        <v>0.37</v>
      </c>
      <c r="DW18" s="228">
        <v>0.48</v>
      </c>
      <c r="DX18" s="228">
        <v>-0.11</v>
      </c>
      <c r="DY18" s="229">
        <v>-0.22919999999999999</v>
      </c>
      <c r="DZ18" s="229">
        <v>0.10970000000000001</v>
      </c>
      <c r="EA18" s="230">
        <v>818975</v>
      </c>
      <c r="EB18" s="229">
        <v>2.2000000000000001E-3</v>
      </c>
      <c r="EC18" s="229">
        <v>0.10970000000000001</v>
      </c>
      <c r="ED18" s="228">
        <v>1.2</v>
      </c>
      <c r="EE18" s="229">
        <v>8.9999999999999998E-4</v>
      </c>
      <c r="EF18" s="230">
        <v>737067</v>
      </c>
      <c r="EG18" s="230">
        <v>987184</v>
      </c>
      <c r="EH18" s="229">
        <v>-0.25340000000000001</v>
      </c>
      <c r="EI18" s="229">
        <v>0.46779999999999999</v>
      </c>
      <c r="EJ18" s="231">
        <v>195058.18</v>
      </c>
      <c r="EK18" s="231">
        <v>68617.52</v>
      </c>
      <c r="EL18" s="231">
        <v>33376.22</v>
      </c>
      <c r="EM18" s="228">
        <v>0</v>
      </c>
      <c r="EN18" s="231">
        <v>297051.92</v>
      </c>
      <c r="EO18" s="231">
        <v>281708.40000000002</v>
      </c>
      <c r="EP18" s="231">
        <v>15343.52</v>
      </c>
      <c r="EQ18" s="229">
        <v>5.45E-2</v>
      </c>
      <c r="ER18" s="231">
        <v>51322</v>
      </c>
      <c r="ES18" s="231">
        <v>42197</v>
      </c>
      <c r="ET18" s="231">
        <v>106884</v>
      </c>
      <c r="EU18" s="231">
        <v>24660712</v>
      </c>
      <c r="EV18" s="231">
        <v>200403</v>
      </c>
      <c r="EW18" s="231">
        <v>201010</v>
      </c>
      <c r="EX18" s="228">
        <v>-607</v>
      </c>
      <c r="EY18" s="229">
        <v>-3.0000000000000001E-3</v>
      </c>
      <c r="EZ18" s="229">
        <v>0.58560000000000001</v>
      </c>
      <c r="FA18" s="227" t="s">
        <v>556</v>
      </c>
      <c r="FB18" s="161">
        <f t="shared" si="0"/>
        <v>838100</v>
      </c>
    </row>
    <row r="19" spans="1:158" ht="17.25" hidden="1" thickBot="1" x14ac:dyDescent="0.3">
      <c r="A19" s="226">
        <v>45889</v>
      </c>
      <c r="B19" s="227" t="s">
        <v>193</v>
      </c>
      <c r="C19" s="227" t="s">
        <v>590</v>
      </c>
      <c r="D19" s="228">
        <v>875</v>
      </c>
      <c r="E19" s="228">
        <v>633.1</v>
      </c>
      <c r="F19" s="228">
        <v>631.6</v>
      </c>
      <c r="G19" s="228">
        <v>1.5</v>
      </c>
      <c r="H19" s="229">
        <v>2.3999999999999998E-3</v>
      </c>
      <c r="I19" s="228">
        <v>630.4</v>
      </c>
      <c r="J19" s="228">
        <v>628.75</v>
      </c>
      <c r="K19" s="228">
        <v>1.65</v>
      </c>
      <c r="L19" s="229">
        <v>2.5999999999999999E-3</v>
      </c>
      <c r="M19" s="228">
        <v>633.1</v>
      </c>
      <c r="N19" s="228">
        <v>631.6</v>
      </c>
      <c r="O19" s="228">
        <v>1.5</v>
      </c>
      <c r="P19" s="229">
        <v>2.3999999999999998E-3</v>
      </c>
      <c r="Q19" s="228">
        <v>0</v>
      </c>
      <c r="R19" s="228">
        <v>0</v>
      </c>
      <c r="S19" s="228">
        <v>0</v>
      </c>
      <c r="T19" s="229">
        <v>0</v>
      </c>
      <c r="U19" s="228">
        <v>0</v>
      </c>
      <c r="V19" s="228">
        <v>0</v>
      </c>
      <c r="W19" s="228">
        <v>0</v>
      </c>
      <c r="X19" s="229">
        <v>0</v>
      </c>
      <c r="Y19" s="228">
        <v>2.7</v>
      </c>
      <c r="Z19" s="228">
        <v>2.85</v>
      </c>
      <c r="AA19" s="228">
        <v>-0.15</v>
      </c>
      <c r="AB19" s="229">
        <v>4.3E-3</v>
      </c>
      <c r="AC19" s="228">
        <v>2.7</v>
      </c>
      <c r="AD19" s="228">
        <v>2.85</v>
      </c>
      <c r="AE19" s="228">
        <v>-0.15</v>
      </c>
      <c r="AF19" s="229">
        <v>4.3E-3</v>
      </c>
      <c r="AG19" s="228">
        <v>0</v>
      </c>
      <c r="AH19" s="228">
        <v>0</v>
      </c>
      <c r="AI19" s="228">
        <v>0</v>
      </c>
      <c r="AJ19" s="229">
        <v>0</v>
      </c>
      <c r="AK19" s="228">
        <v>0</v>
      </c>
      <c r="AL19" s="228">
        <v>0</v>
      </c>
      <c r="AM19" s="228">
        <v>0</v>
      </c>
      <c r="AN19" s="229">
        <v>0</v>
      </c>
      <c r="AO19" s="228">
        <v>633.1</v>
      </c>
      <c r="AP19" s="228">
        <v>0</v>
      </c>
      <c r="AQ19" s="228">
        <v>0</v>
      </c>
      <c r="AR19" s="230">
        <v>688625</v>
      </c>
      <c r="AS19" s="230">
        <v>552125</v>
      </c>
      <c r="AT19" s="230">
        <v>136500</v>
      </c>
      <c r="AU19" s="229">
        <v>0.2472</v>
      </c>
      <c r="AV19" s="230">
        <v>688625</v>
      </c>
      <c r="AW19" s="230">
        <v>552125</v>
      </c>
      <c r="AX19" s="230">
        <v>136500</v>
      </c>
      <c r="AY19" s="229">
        <v>0.2472</v>
      </c>
      <c r="AZ19" s="228">
        <v>0</v>
      </c>
      <c r="BA19" s="228">
        <v>0</v>
      </c>
      <c r="BB19" s="228">
        <v>0</v>
      </c>
      <c r="BC19" s="229">
        <v>0</v>
      </c>
      <c r="BD19" s="228">
        <v>0</v>
      </c>
      <c r="BE19" s="228">
        <v>0</v>
      </c>
      <c r="BF19" s="228">
        <v>0</v>
      </c>
      <c r="BG19" s="229">
        <v>0</v>
      </c>
      <c r="BH19" s="230">
        <v>1363250</v>
      </c>
      <c r="BI19" s="230">
        <v>1605625</v>
      </c>
      <c r="BJ19" s="230">
        <v>-242375</v>
      </c>
      <c r="BK19" s="229">
        <v>-0.151</v>
      </c>
      <c r="BL19" s="230">
        <v>448000</v>
      </c>
      <c r="BM19" s="230">
        <v>456750</v>
      </c>
      <c r="BN19" s="230">
        <v>-8750</v>
      </c>
      <c r="BO19" s="229">
        <v>-1.9199999999999998E-2</v>
      </c>
      <c r="BP19" s="230">
        <v>2499875</v>
      </c>
      <c r="BQ19" s="230">
        <v>2614500</v>
      </c>
      <c r="BR19" s="230">
        <v>-114625</v>
      </c>
      <c r="BS19" s="229">
        <v>-4.3799999999999999E-2</v>
      </c>
      <c r="BT19" s="230">
        <v>616313</v>
      </c>
      <c r="BU19" s="230">
        <v>524350</v>
      </c>
      <c r="BV19" s="230">
        <v>91963</v>
      </c>
      <c r="BW19" s="229">
        <v>0.1754</v>
      </c>
      <c r="BX19" s="230">
        <v>2530500</v>
      </c>
      <c r="BY19" s="230">
        <v>2683625</v>
      </c>
      <c r="BZ19" s="230">
        <v>-153125</v>
      </c>
      <c r="CA19" s="229">
        <v>-5.7099999999999998E-2</v>
      </c>
      <c r="CB19" s="230">
        <v>2530500</v>
      </c>
      <c r="CC19" s="230">
        <v>2683625</v>
      </c>
      <c r="CD19" s="230">
        <v>-153125</v>
      </c>
      <c r="CE19" s="229">
        <v>-5.7099999999999998E-2</v>
      </c>
      <c r="CF19" s="228">
        <v>0</v>
      </c>
      <c r="CG19" s="228">
        <v>0</v>
      </c>
      <c r="CH19" s="228">
        <v>0</v>
      </c>
      <c r="CI19" s="229">
        <v>0</v>
      </c>
      <c r="CJ19" s="228">
        <v>0</v>
      </c>
      <c r="CK19" s="228">
        <v>0</v>
      </c>
      <c r="CL19" s="228">
        <v>0</v>
      </c>
      <c r="CM19" s="229">
        <v>0</v>
      </c>
      <c r="CN19" s="230">
        <v>1484875</v>
      </c>
      <c r="CO19" s="230">
        <v>1632750</v>
      </c>
      <c r="CP19" s="230">
        <v>-147875</v>
      </c>
      <c r="CQ19" s="229">
        <v>-9.06E-2</v>
      </c>
      <c r="CR19" s="230">
        <v>1305500</v>
      </c>
      <c r="CS19" s="230">
        <v>1339625</v>
      </c>
      <c r="CT19" s="230">
        <v>-34125</v>
      </c>
      <c r="CU19" s="229">
        <v>-2.5499999999999998E-2</v>
      </c>
      <c r="CV19" s="230">
        <v>5320875</v>
      </c>
      <c r="CW19" s="230">
        <v>5656000</v>
      </c>
      <c r="CX19" s="230">
        <v>-335125</v>
      </c>
      <c r="CY19" s="229">
        <v>-5.9299999999999999E-2</v>
      </c>
      <c r="CZ19" s="228">
        <v>27.15</v>
      </c>
      <c r="DA19" s="228">
        <v>29.82</v>
      </c>
      <c r="DB19" s="228">
        <v>-2.67</v>
      </c>
      <c r="DC19" s="228">
        <v>-2.67</v>
      </c>
      <c r="DD19" s="228">
        <v>54.79</v>
      </c>
      <c r="DE19" s="228">
        <v>54.93</v>
      </c>
      <c r="DF19" s="228">
        <v>-27.64</v>
      </c>
      <c r="DG19" s="228">
        <v>-0.14000000000000001</v>
      </c>
      <c r="DH19" s="228">
        <v>26.77</v>
      </c>
      <c r="DI19" s="228">
        <v>29.56</v>
      </c>
      <c r="DJ19" s="228">
        <v>-2.79</v>
      </c>
      <c r="DK19" s="228">
        <v>-2.79</v>
      </c>
      <c r="DL19" s="228">
        <v>28.32</v>
      </c>
      <c r="DM19" s="228">
        <v>30.73</v>
      </c>
      <c r="DN19" s="228">
        <v>-2.41</v>
      </c>
      <c r="DO19" s="228">
        <v>-2.41</v>
      </c>
      <c r="DP19" s="228">
        <v>0.88</v>
      </c>
      <c r="DQ19" s="228">
        <v>0.82</v>
      </c>
      <c r="DR19" s="228">
        <v>0.06</v>
      </c>
      <c r="DS19" s="229">
        <v>7.3200000000000001E-2</v>
      </c>
      <c r="DT19" s="228">
        <v>700</v>
      </c>
      <c r="DU19" s="228">
        <v>600</v>
      </c>
      <c r="DV19" s="228">
        <v>0.33</v>
      </c>
      <c r="DW19" s="228">
        <v>0.28000000000000003</v>
      </c>
      <c r="DX19" s="228">
        <v>0.05</v>
      </c>
      <c r="DY19" s="229">
        <v>0.17860000000000001</v>
      </c>
      <c r="DZ19" s="229">
        <v>0</v>
      </c>
      <c r="EA19" s="228">
        <v>0</v>
      </c>
      <c r="EB19" s="229">
        <v>0</v>
      </c>
      <c r="EC19" s="229">
        <v>0</v>
      </c>
      <c r="ED19" s="228">
        <v>0</v>
      </c>
      <c r="EE19" s="229">
        <v>0</v>
      </c>
      <c r="EF19" s="230">
        <v>237793</v>
      </c>
      <c r="EG19" s="230">
        <v>143059</v>
      </c>
      <c r="EH19" s="229">
        <v>0.66220000000000001</v>
      </c>
      <c r="EI19" s="229">
        <v>0.38579999999999998</v>
      </c>
      <c r="EJ19" s="231">
        <v>8860.7000000000007</v>
      </c>
      <c r="EK19" s="231">
        <v>2820.41</v>
      </c>
      <c r="EL19" s="231">
        <v>4359.68</v>
      </c>
      <c r="EM19" s="228">
        <v>0</v>
      </c>
      <c r="EN19" s="231">
        <v>16040.79</v>
      </c>
      <c r="EO19" s="231">
        <v>16737.18</v>
      </c>
      <c r="EP19" s="228">
        <v>-696.39</v>
      </c>
      <c r="EQ19" s="229">
        <v>-4.1599999999999998E-2</v>
      </c>
      <c r="ER19" s="231">
        <v>9704</v>
      </c>
      <c r="ES19" s="231">
        <v>7829</v>
      </c>
      <c r="ET19" s="231">
        <v>16021</v>
      </c>
      <c r="EU19" s="231">
        <v>55429320</v>
      </c>
      <c r="EV19" s="231">
        <v>33553</v>
      </c>
      <c r="EW19" s="231">
        <v>35622</v>
      </c>
      <c r="EX19" s="231">
        <v>-2069</v>
      </c>
      <c r="EY19" s="229">
        <v>-5.8099999999999999E-2</v>
      </c>
      <c r="EZ19" s="229">
        <v>9.6000000000000002E-2</v>
      </c>
      <c r="FA19" s="227" t="s">
        <v>556</v>
      </c>
      <c r="FB19" s="161">
        <f t="shared" si="0"/>
        <v>0</v>
      </c>
    </row>
    <row r="20" spans="1:158" ht="17.25" hidden="1" thickBot="1" x14ac:dyDescent="0.3">
      <c r="A20" s="226">
        <v>45889</v>
      </c>
      <c r="B20" s="227" t="s">
        <v>172</v>
      </c>
      <c r="C20" s="227" t="s">
        <v>495</v>
      </c>
      <c r="D20" s="228">
        <v>1000</v>
      </c>
      <c r="E20" s="228">
        <v>757.6</v>
      </c>
      <c r="F20" s="228">
        <v>757</v>
      </c>
      <c r="G20" s="228">
        <v>0.6</v>
      </c>
      <c r="H20" s="229">
        <v>8.0000000000000004E-4</v>
      </c>
      <c r="I20" s="228">
        <v>759.15</v>
      </c>
      <c r="J20" s="228">
        <v>758.5</v>
      </c>
      <c r="K20" s="228">
        <v>0.65</v>
      </c>
      <c r="L20" s="229">
        <v>8.9999999999999998E-4</v>
      </c>
      <c r="M20" s="228">
        <v>757.6</v>
      </c>
      <c r="N20" s="228">
        <v>757</v>
      </c>
      <c r="O20" s="228">
        <v>0.6</v>
      </c>
      <c r="P20" s="229">
        <v>8.0000000000000004E-4</v>
      </c>
      <c r="Q20" s="228">
        <v>756.65</v>
      </c>
      <c r="R20" s="228">
        <v>756.65</v>
      </c>
      <c r="S20" s="228">
        <v>0</v>
      </c>
      <c r="T20" s="229">
        <v>0</v>
      </c>
      <c r="U20" s="228">
        <v>757.55</v>
      </c>
      <c r="V20" s="228">
        <v>757.3</v>
      </c>
      <c r="W20" s="228">
        <v>0.25</v>
      </c>
      <c r="X20" s="229">
        <v>2.9999999999999997E-4</v>
      </c>
      <c r="Y20" s="228">
        <v>-1.55</v>
      </c>
      <c r="Z20" s="228">
        <v>-1.5</v>
      </c>
      <c r="AA20" s="228">
        <v>-0.05</v>
      </c>
      <c r="AB20" s="229">
        <v>-2E-3</v>
      </c>
      <c r="AC20" s="228">
        <v>-1.55</v>
      </c>
      <c r="AD20" s="228">
        <v>-1.5</v>
      </c>
      <c r="AE20" s="228">
        <v>-0.05</v>
      </c>
      <c r="AF20" s="229">
        <v>-2E-3</v>
      </c>
      <c r="AG20" s="228">
        <v>-2.5</v>
      </c>
      <c r="AH20" s="228">
        <v>-1.85</v>
      </c>
      <c r="AI20" s="228">
        <v>-0.65</v>
      </c>
      <c r="AJ20" s="229">
        <v>-3.3E-3</v>
      </c>
      <c r="AK20" s="228">
        <v>-1.6</v>
      </c>
      <c r="AL20" s="228">
        <v>-1.2</v>
      </c>
      <c r="AM20" s="228">
        <v>-0.4</v>
      </c>
      <c r="AN20" s="229">
        <v>-2.0999999999999999E-3</v>
      </c>
      <c r="AO20" s="228">
        <v>752.87</v>
      </c>
      <c r="AP20" s="228">
        <v>753.3</v>
      </c>
      <c r="AQ20" s="228">
        <v>0</v>
      </c>
      <c r="AR20" s="230">
        <v>4522000</v>
      </c>
      <c r="AS20" s="230">
        <v>4163000</v>
      </c>
      <c r="AT20" s="230">
        <v>359000</v>
      </c>
      <c r="AU20" s="229">
        <v>8.6199999999999999E-2</v>
      </c>
      <c r="AV20" s="230">
        <v>3435000</v>
      </c>
      <c r="AW20" s="230">
        <v>3260000</v>
      </c>
      <c r="AX20" s="230">
        <v>175000</v>
      </c>
      <c r="AY20" s="229">
        <v>5.3699999999999998E-2</v>
      </c>
      <c r="AZ20" s="230">
        <v>1045000</v>
      </c>
      <c r="BA20" s="230">
        <v>864000</v>
      </c>
      <c r="BB20" s="230">
        <v>181000</v>
      </c>
      <c r="BC20" s="229">
        <v>0.20949999999999999</v>
      </c>
      <c r="BD20" s="230">
        <v>42000</v>
      </c>
      <c r="BE20" s="230">
        <v>39000</v>
      </c>
      <c r="BF20" s="230">
        <v>3000</v>
      </c>
      <c r="BG20" s="229">
        <v>7.6899999999999996E-2</v>
      </c>
      <c r="BH20" s="230">
        <v>8927000</v>
      </c>
      <c r="BI20" s="230">
        <v>6074000</v>
      </c>
      <c r="BJ20" s="230">
        <v>2853000</v>
      </c>
      <c r="BK20" s="229">
        <v>0.46970000000000001</v>
      </c>
      <c r="BL20" s="230">
        <v>4543000</v>
      </c>
      <c r="BM20" s="230">
        <v>3017000</v>
      </c>
      <c r="BN20" s="230">
        <v>1526000</v>
      </c>
      <c r="BO20" s="229">
        <v>0.50580000000000003</v>
      </c>
      <c r="BP20" s="230">
        <v>17992000</v>
      </c>
      <c r="BQ20" s="230">
        <v>13254000</v>
      </c>
      <c r="BR20" s="230">
        <v>4738000</v>
      </c>
      <c r="BS20" s="229">
        <v>0.35749999999999998</v>
      </c>
      <c r="BT20" s="230">
        <v>1219950</v>
      </c>
      <c r="BU20" s="230">
        <v>865869</v>
      </c>
      <c r="BV20" s="230">
        <v>354081</v>
      </c>
      <c r="BW20" s="229">
        <v>0.40889999999999999</v>
      </c>
      <c r="BX20" s="230">
        <v>20631000</v>
      </c>
      <c r="BY20" s="230">
        <v>20562000</v>
      </c>
      <c r="BZ20" s="230">
        <v>69000</v>
      </c>
      <c r="CA20" s="229">
        <v>3.3999999999999998E-3</v>
      </c>
      <c r="CB20" s="230">
        <v>18206000</v>
      </c>
      <c r="CC20" s="230">
        <v>18543000</v>
      </c>
      <c r="CD20" s="230">
        <v>-337000</v>
      </c>
      <c r="CE20" s="229">
        <v>-1.8200000000000001E-2</v>
      </c>
      <c r="CF20" s="230">
        <v>2309000</v>
      </c>
      <c r="CG20" s="230">
        <v>1892000</v>
      </c>
      <c r="CH20" s="230">
        <v>417000</v>
      </c>
      <c r="CI20" s="229">
        <v>0.22040000000000001</v>
      </c>
      <c r="CJ20" s="230">
        <v>116000</v>
      </c>
      <c r="CK20" s="230">
        <v>127000</v>
      </c>
      <c r="CL20" s="230">
        <v>-11000</v>
      </c>
      <c r="CM20" s="229">
        <v>-8.6599999999999996E-2</v>
      </c>
      <c r="CN20" s="230">
        <v>9251000</v>
      </c>
      <c r="CO20" s="230">
        <v>9213000</v>
      </c>
      <c r="CP20" s="230">
        <v>38000</v>
      </c>
      <c r="CQ20" s="229">
        <v>4.1000000000000003E-3</v>
      </c>
      <c r="CR20" s="230">
        <v>5492000</v>
      </c>
      <c r="CS20" s="230">
        <v>5346000</v>
      </c>
      <c r="CT20" s="230">
        <v>146000</v>
      </c>
      <c r="CU20" s="229">
        <v>2.7300000000000001E-2</v>
      </c>
      <c r="CV20" s="230">
        <v>35374000</v>
      </c>
      <c r="CW20" s="230">
        <v>35121000</v>
      </c>
      <c r="CX20" s="230">
        <v>253000</v>
      </c>
      <c r="CY20" s="229">
        <v>7.1999999999999998E-3</v>
      </c>
      <c r="CZ20" s="228">
        <v>25.94</v>
      </c>
      <c r="DA20" s="228">
        <v>26.29</v>
      </c>
      <c r="DB20" s="228">
        <v>-0.35</v>
      </c>
      <c r="DC20" s="228">
        <v>-0.35</v>
      </c>
      <c r="DD20" s="228">
        <v>37.61</v>
      </c>
      <c r="DE20" s="228">
        <v>37.700000000000003</v>
      </c>
      <c r="DF20" s="228">
        <v>-11.67</v>
      </c>
      <c r="DG20" s="228">
        <v>-0.09</v>
      </c>
      <c r="DH20" s="228">
        <v>26.2</v>
      </c>
      <c r="DI20" s="228">
        <v>26.72</v>
      </c>
      <c r="DJ20" s="228">
        <v>-0.52</v>
      </c>
      <c r="DK20" s="228">
        <v>-0.52</v>
      </c>
      <c r="DL20" s="228">
        <v>25.42</v>
      </c>
      <c r="DM20" s="228">
        <v>25.41</v>
      </c>
      <c r="DN20" s="228">
        <v>0.01</v>
      </c>
      <c r="DO20" s="228">
        <v>0.01</v>
      </c>
      <c r="DP20" s="228">
        <v>0.59</v>
      </c>
      <c r="DQ20" s="228">
        <v>0.57999999999999996</v>
      </c>
      <c r="DR20" s="228">
        <v>0.01</v>
      </c>
      <c r="DS20" s="229">
        <v>1.72E-2</v>
      </c>
      <c r="DT20" s="228">
        <v>800</v>
      </c>
      <c r="DU20" s="228">
        <v>730</v>
      </c>
      <c r="DV20" s="228">
        <v>0.51</v>
      </c>
      <c r="DW20" s="228">
        <v>0.5</v>
      </c>
      <c r="DX20" s="228">
        <v>0.01</v>
      </c>
      <c r="DY20" s="229">
        <v>0.02</v>
      </c>
      <c r="DZ20" s="229">
        <v>0.11749999999999999</v>
      </c>
      <c r="EA20" s="230">
        <v>2019000</v>
      </c>
      <c r="EB20" s="229">
        <v>-1.2999999999999999E-3</v>
      </c>
      <c r="EC20" s="229">
        <v>0.11749999999999999</v>
      </c>
      <c r="ED20" s="228">
        <v>0.43</v>
      </c>
      <c r="EE20" s="229">
        <v>5.9999999999999995E-4</v>
      </c>
      <c r="EF20" s="230">
        <v>696528</v>
      </c>
      <c r="EG20" s="230">
        <v>465291</v>
      </c>
      <c r="EH20" s="229">
        <v>0.497</v>
      </c>
      <c r="EI20" s="229">
        <v>0.57089999999999996</v>
      </c>
      <c r="EJ20" s="231">
        <v>69686.240000000005</v>
      </c>
      <c r="EK20" s="231">
        <v>33800.129999999997</v>
      </c>
      <c r="EL20" s="231">
        <v>34049.81</v>
      </c>
      <c r="EM20" s="228">
        <v>0</v>
      </c>
      <c r="EN20" s="231">
        <v>137536.18</v>
      </c>
      <c r="EO20" s="231">
        <v>102050.24000000001</v>
      </c>
      <c r="EP20" s="231">
        <v>35485.94</v>
      </c>
      <c r="EQ20" s="229">
        <v>0.34770000000000001</v>
      </c>
      <c r="ER20" s="231">
        <v>72888</v>
      </c>
      <c r="ES20" s="231">
        <v>40093</v>
      </c>
      <c r="ET20" s="231">
        <v>156278</v>
      </c>
      <c r="EU20" s="231">
        <v>114978915</v>
      </c>
      <c r="EV20" s="231">
        <v>269260</v>
      </c>
      <c r="EW20" s="231">
        <v>267327</v>
      </c>
      <c r="EX20" s="231">
        <v>1933</v>
      </c>
      <c r="EY20" s="229">
        <v>7.1999999999999998E-3</v>
      </c>
      <c r="EZ20" s="229">
        <v>0.30769999999999997</v>
      </c>
      <c r="FA20" s="227" t="s">
        <v>555</v>
      </c>
      <c r="FB20" s="161">
        <f t="shared" si="0"/>
        <v>2425000</v>
      </c>
    </row>
    <row r="21" spans="1:158" ht="17.25" hidden="1" thickBot="1" x14ac:dyDescent="0.3">
      <c r="A21" s="226">
        <v>45889</v>
      </c>
      <c r="B21" s="227" t="s">
        <v>170</v>
      </c>
      <c r="C21" s="227" t="s">
        <v>171</v>
      </c>
      <c r="D21" s="228">
        <v>550</v>
      </c>
      <c r="E21" s="231">
        <v>1048.8</v>
      </c>
      <c r="F21" s="231">
        <v>1092.5999999999999</v>
      </c>
      <c r="G21" s="228">
        <v>-43.8</v>
      </c>
      <c r="H21" s="229">
        <v>-4.0099999999999997E-2</v>
      </c>
      <c r="I21" s="231">
        <v>1046.4000000000001</v>
      </c>
      <c r="J21" s="231">
        <v>1089.7</v>
      </c>
      <c r="K21" s="228">
        <v>-43.3</v>
      </c>
      <c r="L21" s="229">
        <v>-3.9699999999999999E-2</v>
      </c>
      <c r="M21" s="231">
        <v>1048.8</v>
      </c>
      <c r="N21" s="231">
        <v>1092.5999999999999</v>
      </c>
      <c r="O21" s="228">
        <v>-43.8</v>
      </c>
      <c r="P21" s="229">
        <v>-4.0099999999999997E-2</v>
      </c>
      <c r="Q21" s="231">
        <v>1054.8</v>
      </c>
      <c r="R21" s="231">
        <v>1099.5</v>
      </c>
      <c r="S21" s="228">
        <v>-44.7</v>
      </c>
      <c r="T21" s="229">
        <v>-4.07E-2</v>
      </c>
      <c r="U21" s="231">
        <v>1060.3</v>
      </c>
      <c r="V21" s="231">
        <v>1103.4000000000001</v>
      </c>
      <c r="W21" s="228">
        <v>-43.1</v>
      </c>
      <c r="X21" s="229">
        <v>-3.9100000000000003E-2</v>
      </c>
      <c r="Y21" s="228">
        <v>2.4</v>
      </c>
      <c r="Z21" s="228">
        <v>2.9</v>
      </c>
      <c r="AA21" s="228">
        <v>-0.5</v>
      </c>
      <c r="AB21" s="229">
        <v>2.3E-3</v>
      </c>
      <c r="AC21" s="228">
        <v>2.4</v>
      </c>
      <c r="AD21" s="228">
        <v>2.9</v>
      </c>
      <c r="AE21" s="228">
        <v>-0.5</v>
      </c>
      <c r="AF21" s="229">
        <v>2.3E-3</v>
      </c>
      <c r="AG21" s="228">
        <v>8.4</v>
      </c>
      <c r="AH21" s="228">
        <v>9.8000000000000007</v>
      </c>
      <c r="AI21" s="228">
        <v>-1.4</v>
      </c>
      <c r="AJ21" s="229">
        <v>8.0000000000000002E-3</v>
      </c>
      <c r="AK21" s="228">
        <v>13.9</v>
      </c>
      <c r="AL21" s="228">
        <v>13.7</v>
      </c>
      <c r="AM21" s="228">
        <v>0.2</v>
      </c>
      <c r="AN21" s="229">
        <v>1.3299999999999999E-2</v>
      </c>
      <c r="AO21" s="231">
        <v>1056.8499999999999</v>
      </c>
      <c r="AP21" s="231">
        <v>1061.42</v>
      </c>
      <c r="AQ21" s="228">
        <v>0</v>
      </c>
      <c r="AR21" s="230">
        <v>8829700</v>
      </c>
      <c r="AS21" s="230">
        <v>1373900</v>
      </c>
      <c r="AT21" s="230">
        <v>7455800</v>
      </c>
      <c r="AU21" s="229">
        <v>5.4267000000000003</v>
      </c>
      <c r="AV21" s="230">
        <v>6105550</v>
      </c>
      <c r="AW21" s="230">
        <v>1142900</v>
      </c>
      <c r="AX21" s="230">
        <v>4962650</v>
      </c>
      <c r="AY21" s="229">
        <v>4.3422000000000001</v>
      </c>
      <c r="AZ21" s="230">
        <v>2578950</v>
      </c>
      <c r="BA21" s="230">
        <v>221650</v>
      </c>
      <c r="BB21" s="230">
        <v>2357300</v>
      </c>
      <c r="BC21" s="229">
        <v>10.635199999999999</v>
      </c>
      <c r="BD21" s="230">
        <v>145200</v>
      </c>
      <c r="BE21" s="230">
        <v>9350</v>
      </c>
      <c r="BF21" s="230">
        <v>135850</v>
      </c>
      <c r="BG21" s="229">
        <v>14.529400000000001</v>
      </c>
      <c r="BH21" s="230">
        <v>26333450</v>
      </c>
      <c r="BI21" s="230">
        <v>3184500</v>
      </c>
      <c r="BJ21" s="230">
        <v>23148950</v>
      </c>
      <c r="BK21" s="229">
        <v>7.2693000000000003</v>
      </c>
      <c r="BL21" s="230">
        <v>16181000</v>
      </c>
      <c r="BM21" s="230">
        <v>2623500</v>
      </c>
      <c r="BN21" s="230">
        <v>13557500</v>
      </c>
      <c r="BO21" s="229">
        <v>5.1677</v>
      </c>
      <c r="BP21" s="230">
        <v>51344150</v>
      </c>
      <c r="BQ21" s="230">
        <v>7181900</v>
      </c>
      <c r="BR21" s="230">
        <v>44162250</v>
      </c>
      <c r="BS21" s="229">
        <v>6.1490999999999998</v>
      </c>
      <c r="BT21" s="230">
        <v>4835913</v>
      </c>
      <c r="BU21" s="230">
        <v>276616</v>
      </c>
      <c r="BV21" s="230">
        <v>4559297</v>
      </c>
      <c r="BW21" s="229">
        <v>16.482399999999998</v>
      </c>
      <c r="BX21" s="230">
        <v>19478800</v>
      </c>
      <c r="BY21" s="230">
        <v>17760050</v>
      </c>
      <c r="BZ21" s="230">
        <v>1718750</v>
      </c>
      <c r="CA21" s="229">
        <v>9.6799999999999997E-2</v>
      </c>
      <c r="CB21" s="230">
        <v>17183650</v>
      </c>
      <c r="CC21" s="230">
        <v>17033500</v>
      </c>
      <c r="CD21" s="230">
        <v>150150</v>
      </c>
      <c r="CE21" s="229">
        <v>8.8000000000000005E-3</v>
      </c>
      <c r="CF21" s="230">
        <v>2179650</v>
      </c>
      <c r="CG21" s="230">
        <v>688600</v>
      </c>
      <c r="CH21" s="230">
        <v>1491050</v>
      </c>
      <c r="CI21" s="229">
        <v>2.1652999999999998</v>
      </c>
      <c r="CJ21" s="230">
        <v>115500</v>
      </c>
      <c r="CK21" s="230">
        <v>37950</v>
      </c>
      <c r="CL21" s="230">
        <v>77550</v>
      </c>
      <c r="CM21" s="229">
        <v>2.0434999999999999</v>
      </c>
      <c r="CN21" s="230">
        <v>7649400</v>
      </c>
      <c r="CO21" s="230">
        <v>4211900</v>
      </c>
      <c r="CP21" s="230">
        <v>3437500</v>
      </c>
      <c r="CQ21" s="229">
        <v>0.81610000000000005</v>
      </c>
      <c r="CR21" s="230">
        <v>4263050</v>
      </c>
      <c r="CS21" s="230">
        <v>3147650</v>
      </c>
      <c r="CT21" s="230">
        <v>1115400</v>
      </c>
      <c r="CU21" s="229">
        <v>0.35439999999999999</v>
      </c>
      <c r="CV21" s="230">
        <v>31391250</v>
      </c>
      <c r="CW21" s="230">
        <v>25119600</v>
      </c>
      <c r="CX21" s="230">
        <v>6271650</v>
      </c>
      <c r="CY21" s="229">
        <v>0.24970000000000001</v>
      </c>
      <c r="CZ21" s="228">
        <v>35.82</v>
      </c>
      <c r="DA21" s="228">
        <v>31.42</v>
      </c>
      <c r="DB21" s="228">
        <v>4.4000000000000004</v>
      </c>
      <c r="DC21" s="228">
        <v>4.4000000000000004</v>
      </c>
      <c r="DD21" s="228">
        <v>35.75</v>
      </c>
      <c r="DE21" s="228">
        <v>35.409999999999997</v>
      </c>
      <c r="DF21" s="228">
        <v>7.0000000000000007E-2</v>
      </c>
      <c r="DG21" s="228">
        <v>0.34</v>
      </c>
      <c r="DH21" s="228">
        <v>36.9</v>
      </c>
      <c r="DI21" s="228">
        <v>30.68</v>
      </c>
      <c r="DJ21" s="228">
        <v>6.22</v>
      </c>
      <c r="DK21" s="228">
        <v>6.22</v>
      </c>
      <c r="DL21" s="228">
        <v>34.06</v>
      </c>
      <c r="DM21" s="228">
        <v>32.33</v>
      </c>
      <c r="DN21" s="228">
        <v>1.73</v>
      </c>
      <c r="DO21" s="228">
        <v>1.73</v>
      </c>
      <c r="DP21" s="228">
        <v>0.56000000000000005</v>
      </c>
      <c r="DQ21" s="228">
        <v>0.75</v>
      </c>
      <c r="DR21" s="228">
        <v>-0.19</v>
      </c>
      <c r="DS21" s="229">
        <v>-0.25330000000000003</v>
      </c>
      <c r="DT21" s="231">
        <v>1100</v>
      </c>
      <c r="DU21" s="231">
        <v>1000</v>
      </c>
      <c r="DV21" s="228">
        <v>0.61</v>
      </c>
      <c r="DW21" s="228">
        <v>0.82</v>
      </c>
      <c r="DX21" s="228">
        <v>-0.21</v>
      </c>
      <c r="DY21" s="229">
        <v>-0.25609999999999999</v>
      </c>
      <c r="DZ21" s="229">
        <v>0.1178</v>
      </c>
      <c r="EA21" s="230">
        <v>726550</v>
      </c>
      <c r="EB21" s="229">
        <v>5.7000000000000002E-3</v>
      </c>
      <c r="EC21" s="229">
        <v>0.1178</v>
      </c>
      <c r="ED21" s="228">
        <v>4.57</v>
      </c>
      <c r="EE21" s="229">
        <v>4.3E-3</v>
      </c>
      <c r="EF21" s="230">
        <v>2355804</v>
      </c>
      <c r="EG21" s="230">
        <v>105662</v>
      </c>
      <c r="EH21" s="229">
        <v>21.2957</v>
      </c>
      <c r="EI21" s="229">
        <v>0.48709999999999998</v>
      </c>
      <c r="EJ21" s="231">
        <v>291890.59999999998</v>
      </c>
      <c r="EK21" s="231">
        <v>169911.42</v>
      </c>
      <c r="EL21" s="231">
        <v>93448.06</v>
      </c>
      <c r="EM21" s="228">
        <v>0</v>
      </c>
      <c r="EN21" s="231">
        <v>555250.07999999996</v>
      </c>
      <c r="EO21" s="231">
        <v>79212.63</v>
      </c>
      <c r="EP21" s="231">
        <v>476037.45</v>
      </c>
      <c r="EQ21" s="229">
        <v>6.0095999999999998</v>
      </c>
      <c r="ER21" s="231">
        <v>86278</v>
      </c>
      <c r="ES21" s="231">
        <v>44389</v>
      </c>
      <c r="ET21" s="231">
        <v>204438</v>
      </c>
      <c r="EU21" s="231">
        <v>55970580</v>
      </c>
      <c r="EV21" s="231">
        <v>335104</v>
      </c>
      <c r="EW21" s="231">
        <v>275679</v>
      </c>
      <c r="EX21" s="231">
        <v>59425</v>
      </c>
      <c r="EY21" s="229">
        <v>0.21560000000000001</v>
      </c>
      <c r="EZ21" s="229">
        <v>0.56089999999999995</v>
      </c>
      <c r="FA21" s="227" t="s">
        <v>567</v>
      </c>
      <c r="FB21" s="161">
        <f t="shared" si="0"/>
        <v>2295150</v>
      </c>
    </row>
    <row r="22" spans="1:158" ht="17.25" hidden="1" thickBot="1" x14ac:dyDescent="0.3">
      <c r="A22" s="226">
        <v>45889</v>
      </c>
      <c r="B22" s="227" t="s">
        <v>172</v>
      </c>
      <c r="C22" s="227" t="s">
        <v>173</v>
      </c>
      <c r="D22" s="228">
        <v>625</v>
      </c>
      <c r="E22" s="231">
        <v>1082.0999999999999</v>
      </c>
      <c r="F22" s="231">
        <v>1086.8</v>
      </c>
      <c r="G22" s="228">
        <v>-4.7</v>
      </c>
      <c r="H22" s="229">
        <v>-4.3E-3</v>
      </c>
      <c r="I22" s="231">
        <v>1080.2</v>
      </c>
      <c r="J22" s="231">
        <v>1083.2</v>
      </c>
      <c r="K22" s="228">
        <v>-3</v>
      </c>
      <c r="L22" s="229">
        <v>-2.8E-3</v>
      </c>
      <c r="M22" s="231">
        <v>1082.0999999999999</v>
      </c>
      <c r="N22" s="231">
        <v>1086.8</v>
      </c>
      <c r="O22" s="228">
        <v>-4.7</v>
      </c>
      <c r="P22" s="229">
        <v>-4.3E-3</v>
      </c>
      <c r="Q22" s="231">
        <v>1088.3</v>
      </c>
      <c r="R22" s="231">
        <v>1092.8</v>
      </c>
      <c r="S22" s="228">
        <v>-4.5</v>
      </c>
      <c r="T22" s="229">
        <v>-4.1000000000000003E-3</v>
      </c>
      <c r="U22" s="231">
        <v>1094.0999999999999</v>
      </c>
      <c r="V22" s="231">
        <v>1098.4000000000001</v>
      </c>
      <c r="W22" s="228">
        <v>-4.3</v>
      </c>
      <c r="X22" s="229">
        <v>-3.8999999999999998E-3</v>
      </c>
      <c r="Y22" s="228">
        <v>1.9</v>
      </c>
      <c r="Z22" s="228">
        <v>3.6</v>
      </c>
      <c r="AA22" s="228">
        <v>-1.7</v>
      </c>
      <c r="AB22" s="229">
        <v>1.8E-3</v>
      </c>
      <c r="AC22" s="228">
        <v>1.9</v>
      </c>
      <c r="AD22" s="228">
        <v>3.6</v>
      </c>
      <c r="AE22" s="228">
        <v>-1.7</v>
      </c>
      <c r="AF22" s="229">
        <v>1.8E-3</v>
      </c>
      <c r="AG22" s="228">
        <v>8.1</v>
      </c>
      <c r="AH22" s="228">
        <v>9.6</v>
      </c>
      <c r="AI22" s="228">
        <v>-1.5</v>
      </c>
      <c r="AJ22" s="229">
        <v>7.4999999999999997E-3</v>
      </c>
      <c r="AK22" s="228">
        <v>13.9</v>
      </c>
      <c r="AL22" s="228">
        <v>15.2</v>
      </c>
      <c r="AM22" s="228">
        <v>-1.3</v>
      </c>
      <c r="AN22" s="229">
        <v>1.29E-2</v>
      </c>
      <c r="AO22" s="231">
        <v>1082.8900000000001</v>
      </c>
      <c r="AP22" s="231">
        <v>1089.29</v>
      </c>
      <c r="AQ22" s="228">
        <v>0</v>
      </c>
      <c r="AR22" s="230">
        <v>8156250</v>
      </c>
      <c r="AS22" s="230">
        <v>7865625</v>
      </c>
      <c r="AT22" s="230">
        <v>290625</v>
      </c>
      <c r="AU22" s="229">
        <v>3.6900000000000002E-2</v>
      </c>
      <c r="AV22" s="230">
        <v>5552500</v>
      </c>
      <c r="AW22" s="230">
        <v>6226875</v>
      </c>
      <c r="AX22" s="230">
        <v>-674375</v>
      </c>
      <c r="AY22" s="229">
        <v>-0.10829999999999999</v>
      </c>
      <c r="AZ22" s="230">
        <v>1930625</v>
      </c>
      <c r="BA22" s="230">
        <v>1246250</v>
      </c>
      <c r="BB22" s="230">
        <v>684375</v>
      </c>
      <c r="BC22" s="229">
        <v>0.54910000000000003</v>
      </c>
      <c r="BD22" s="230">
        <v>673125</v>
      </c>
      <c r="BE22" s="230">
        <v>392500</v>
      </c>
      <c r="BF22" s="230">
        <v>280625</v>
      </c>
      <c r="BG22" s="229">
        <v>0.71499999999999997</v>
      </c>
      <c r="BH22" s="230">
        <v>14860625</v>
      </c>
      <c r="BI22" s="230">
        <v>23281875</v>
      </c>
      <c r="BJ22" s="230">
        <v>-8421250</v>
      </c>
      <c r="BK22" s="229">
        <v>-0.36170000000000002</v>
      </c>
      <c r="BL22" s="230">
        <v>7956250</v>
      </c>
      <c r="BM22" s="230">
        <v>12398750</v>
      </c>
      <c r="BN22" s="230">
        <v>-4442500</v>
      </c>
      <c r="BO22" s="229">
        <v>-0.35830000000000001</v>
      </c>
      <c r="BP22" s="230">
        <v>30973125</v>
      </c>
      <c r="BQ22" s="230">
        <v>43546250</v>
      </c>
      <c r="BR22" s="230">
        <v>-12573125</v>
      </c>
      <c r="BS22" s="229">
        <v>-0.28870000000000001</v>
      </c>
      <c r="BT22" s="230">
        <v>3074305</v>
      </c>
      <c r="BU22" s="230">
        <v>5935351</v>
      </c>
      <c r="BV22" s="230">
        <v>-2861046</v>
      </c>
      <c r="BW22" s="229">
        <v>-0.48199999999999998</v>
      </c>
      <c r="BX22" s="230">
        <v>104709375</v>
      </c>
      <c r="BY22" s="230">
        <v>104156875</v>
      </c>
      <c r="BZ22" s="230">
        <v>552500</v>
      </c>
      <c r="CA22" s="229">
        <v>5.3E-3</v>
      </c>
      <c r="CB22" s="230">
        <v>95144375</v>
      </c>
      <c r="CC22" s="230">
        <v>96861875</v>
      </c>
      <c r="CD22" s="230">
        <v>-1717500</v>
      </c>
      <c r="CE22" s="229">
        <v>-1.77E-2</v>
      </c>
      <c r="CF22" s="230">
        <v>5656250</v>
      </c>
      <c r="CG22" s="230">
        <v>4034375</v>
      </c>
      <c r="CH22" s="230">
        <v>1621875</v>
      </c>
      <c r="CI22" s="229">
        <v>0.40200000000000002</v>
      </c>
      <c r="CJ22" s="230">
        <v>3908750</v>
      </c>
      <c r="CK22" s="230">
        <v>3260625</v>
      </c>
      <c r="CL22" s="230">
        <v>648125</v>
      </c>
      <c r="CM22" s="229">
        <v>0.1988</v>
      </c>
      <c r="CN22" s="230">
        <v>21047500</v>
      </c>
      <c r="CO22" s="230">
        <v>20078125</v>
      </c>
      <c r="CP22" s="230">
        <v>969375</v>
      </c>
      <c r="CQ22" s="229">
        <v>4.8300000000000003E-2</v>
      </c>
      <c r="CR22" s="230">
        <v>11648125</v>
      </c>
      <c r="CS22" s="230">
        <v>11292500</v>
      </c>
      <c r="CT22" s="230">
        <v>355625</v>
      </c>
      <c r="CU22" s="229">
        <v>3.15E-2</v>
      </c>
      <c r="CV22" s="230">
        <v>137405000</v>
      </c>
      <c r="CW22" s="230">
        <v>135527500</v>
      </c>
      <c r="CX22" s="230">
        <v>1877500</v>
      </c>
      <c r="CY22" s="229">
        <v>1.3899999999999999E-2</v>
      </c>
      <c r="CZ22" s="228">
        <v>19.52</v>
      </c>
      <c r="DA22" s="228">
        <v>18.78</v>
      </c>
      <c r="DB22" s="228">
        <v>0.74</v>
      </c>
      <c r="DC22" s="228">
        <v>0.74</v>
      </c>
      <c r="DD22" s="228">
        <v>27.53</v>
      </c>
      <c r="DE22" s="228">
        <v>27.59</v>
      </c>
      <c r="DF22" s="228">
        <v>-8.01</v>
      </c>
      <c r="DG22" s="228">
        <v>-0.06</v>
      </c>
      <c r="DH22" s="228">
        <v>19.84</v>
      </c>
      <c r="DI22" s="228">
        <v>18.71</v>
      </c>
      <c r="DJ22" s="228">
        <v>1.1299999999999999</v>
      </c>
      <c r="DK22" s="228">
        <v>1.1299999999999999</v>
      </c>
      <c r="DL22" s="228">
        <v>18.920000000000002</v>
      </c>
      <c r="DM22" s="228">
        <v>18.920000000000002</v>
      </c>
      <c r="DN22" s="228">
        <v>0</v>
      </c>
      <c r="DO22" s="228">
        <v>0</v>
      </c>
      <c r="DP22" s="228">
        <v>0.55000000000000004</v>
      </c>
      <c r="DQ22" s="228">
        <v>0.56000000000000005</v>
      </c>
      <c r="DR22" s="228">
        <v>-0.01</v>
      </c>
      <c r="DS22" s="229">
        <v>-1.7899999999999999E-2</v>
      </c>
      <c r="DT22" s="231">
        <v>1100</v>
      </c>
      <c r="DU22" s="231">
        <v>1060</v>
      </c>
      <c r="DV22" s="228">
        <v>0.54</v>
      </c>
      <c r="DW22" s="228">
        <v>0.53</v>
      </c>
      <c r="DX22" s="228">
        <v>0.01</v>
      </c>
      <c r="DY22" s="229">
        <v>1.89E-2</v>
      </c>
      <c r="DZ22" s="229">
        <v>9.1300000000000006E-2</v>
      </c>
      <c r="EA22" s="230">
        <v>7295000</v>
      </c>
      <c r="EB22" s="229">
        <v>5.7000000000000002E-3</v>
      </c>
      <c r="EC22" s="229">
        <v>9.1300000000000006E-2</v>
      </c>
      <c r="ED22" s="228">
        <v>6.4</v>
      </c>
      <c r="EE22" s="229">
        <v>5.8999999999999999E-3</v>
      </c>
      <c r="EF22" s="230">
        <v>2123656</v>
      </c>
      <c r="EG22" s="230">
        <v>3845138</v>
      </c>
      <c r="EH22" s="229">
        <v>-0.44769999999999999</v>
      </c>
      <c r="EI22" s="229">
        <v>0.69079999999999997</v>
      </c>
      <c r="EJ22" s="231">
        <v>165968.51999999999</v>
      </c>
      <c r="EK22" s="231">
        <v>85757.23</v>
      </c>
      <c r="EL22" s="231">
        <v>88530.72</v>
      </c>
      <c r="EM22" s="228">
        <v>0</v>
      </c>
      <c r="EN22" s="231">
        <v>340256.47</v>
      </c>
      <c r="EO22" s="231">
        <v>479198.64</v>
      </c>
      <c r="EP22" s="231">
        <v>-138942.17000000001</v>
      </c>
      <c r="EQ22" s="229">
        <v>-0.28989999999999999</v>
      </c>
      <c r="ER22" s="231">
        <v>239850</v>
      </c>
      <c r="ES22" s="231">
        <v>122813</v>
      </c>
      <c r="ET22" s="231">
        <v>1133880</v>
      </c>
      <c r="EU22" s="231">
        <v>550740541</v>
      </c>
      <c r="EV22" s="231">
        <v>1496543</v>
      </c>
      <c r="EW22" s="231">
        <v>1480883</v>
      </c>
      <c r="EX22" s="231">
        <v>15660</v>
      </c>
      <c r="EY22" s="229">
        <v>1.06E-2</v>
      </c>
      <c r="EZ22" s="229">
        <v>0.2495</v>
      </c>
      <c r="FA22" s="227" t="s">
        <v>567</v>
      </c>
      <c r="FB22" s="161">
        <f t="shared" si="0"/>
        <v>9565000</v>
      </c>
    </row>
    <row r="23" spans="1:158" ht="17.25" hidden="1" thickBot="1" x14ac:dyDescent="0.3">
      <c r="A23" s="226">
        <v>45889</v>
      </c>
      <c r="B23" s="227" t="s">
        <v>162</v>
      </c>
      <c r="C23" s="227" t="s">
        <v>174</v>
      </c>
      <c r="D23" s="228">
        <v>75</v>
      </c>
      <c r="E23" s="231">
        <v>8826.5</v>
      </c>
      <c r="F23" s="231">
        <v>8800.5</v>
      </c>
      <c r="G23" s="228">
        <v>26</v>
      </c>
      <c r="H23" s="229">
        <v>3.0000000000000001E-3</v>
      </c>
      <c r="I23" s="231">
        <v>8827.5</v>
      </c>
      <c r="J23" s="231">
        <v>8795.5</v>
      </c>
      <c r="K23" s="228">
        <v>32</v>
      </c>
      <c r="L23" s="229">
        <v>3.5999999999999999E-3</v>
      </c>
      <c r="M23" s="231">
        <v>8826.5</v>
      </c>
      <c r="N23" s="231">
        <v>8800.5</v>
      </c>
      <c r="O23" s="228">
        <v>26</v>
      </c>
      <c r="P23" s="229">
        <v>3.0000000000000001E-3</v>
      </c>
      <c r="Q23" s="231">
        <v>8872</v>
      </c>
      <c r="R23" s="231">
        <v>8846</v>
      </c>
      <c r="S23" s="228">
        <v>26</v>
      </c>
      <c r="T23" s="229">
        <v>2.8999999999999998E-3</v>
      </c>
      <c r="U23" s="231">
        <v>8913</v>
      </c>
      <c r="V23" s="231">
        <v>8892.5</v>
      </c>
      <c r="W23" s="228">
        <v>20.5</v>
      </c>
      <c r="X23" s="229">
        <v>2.3E-3</v>
      </c>
      <c r="Y23" s="228">
        <v>-1</v>
      </c>
      <c r="Z23" s="228">
        <v>5</v>
      </c>
      <c r="AA23" s="228">
        <v>-6</v>
      </c>
      <c r="AB23" s="229">
        <v>-1E-4</v>
      </c>
      <c r="AC23" s="228">
        <v>-1</v>
      </c>
      <c r="AD23" s="228">
        <v>5</v>
      </c>
      <c r="AE23" s="228">
        <v>-6</v>
      </c>
      <c r="AF23" s="229">
        <v>-1E-4</v>
      </c>
      <c r="AG23" s="228">
        <v>44.5</v>
      </c>
      <c r="AH23" s="228">
        <v>50.5</v>
      </c>
      <c r="AI23" s="228">
        <v>-6</v>
      </c>
      <c r="AJ23" s="229">
        <v>5.0000000000000001E-3</v>
      </c>
      <c r="AK23" s="228">
        <v>85.5</v>
      </c>
      <c r="AL23" s="228">
        <v>97</v>
      </c>
      <c r="AM23" s="228">
        <v>-11.5</v>
      </c>
      <c r="AN23" s="229">
        <v>9.7000000000000003E-3</v>
      </c>
      <c r="AO23" s="231">
        <v>8826</v>
      </c>
      <c r="AP23" s="231">
        <v>8873.66</v>
      </c>
      <c r="AQ23" s="228">
        <v>0</v>
      </c>
      <c r="AR23" s="230">
        <v>641925</v>
      </c>
      <c r="AS23" s="230">
        <v>1492200</v>
      </c>
      <c r="AT23" s="230">
        <v>-850275</v>
      </c>
      <c r="AU23" s="229">
        <v>-0.56979999999999997</v>
      </c>
      <c r="AV23" s="230">
        <v>516750</v>
      </c>
      <c r="AW23" s="230">
        <v>1287000</v>
      </c>
      <c r="AX23" s="230">
        <v>-770250</v>
      </c>
      <c r="AY23" s="229">
        <v>-0.59850000000000003</v>
      </c>
      <c r="AZ23" s="230">
        <v>117675</v>
      </c>
      <c r="BA23" s="230">
        <v>193725</v>
      </c>
      <c r="BB23" s="230">
        <v>-76050</v>
      </c>
      <c r="BC23" s="229">
        <v>-0.3926</v>
      </c>
      <c r="BD23" s="230">
        <v>7500</v>
      </c>
      <c r="BE23" s="230">
        <v>11475</v>
      </c>
      <c r="BF23" s="230">
        <v>-3975</v>
      </c>
      <c r="BG23" s="229">
        <v>-0.34639999999999999</v>
      </c>
      <c r="BH23" s="230">
        <v>4350450</v>
      </c>
      <c r="BI23" s="230">
        <v>17895900</v>
      </c>
      <c r="BJ23" s="230">
        <v>-13545450</v>
      </c>
      <c r="BK23" s="229">
        <v>-0.75690000000000002</v>
      </c>
      <c r="BL23" s="230">
        <v>2254425</v>
      </c>
      <c r="BM23" s="230">
        <v>7294050</v>
      </c>
      <c r="BN23" s="230">
        <v>-5039625</v>
      </c>
      <c r="BO23" s="229">
        <v>-0.69089999999999996</v>
      </c>
      <c r="BP23" s="230">
        <v>7246800</v>
      </c>
      <c r="BQ23" s="230">
        <v>26682150</v>
      </c>
      <c r="BR23" s="230">
        <v>-19435350</v>
      </c>
      <c r="BS23" s="229">
        <v>-0.72840000000000005</v>
      </c>
      <c r="BT23" s="230">
        <v>501159</v>
      </c>
      <c r="BU23" s="230">
        <v>1079516</v>
      </c>
      <c r="BV23" s="230">
        <v>-578357</v>
      </c>
      <c r="BW23" s="229">
        <v>-0.53580000000000005</v>
      </c>
      <c r="BX23" s="230">
        <v>2877825</v>
      </c>
      <c r="BY23" s="230">
        <v>2877225</v>
      </c>
      <c r="BZ23" s="228">
        <v>600</v>
      </c>
      <c r="CA23" s="229">
        <v>2.0000000000000001E-4</v>
      </c>
      <c r="CB23" s="230">
        <v>2699850</v>
      </c>
      <c r="CC23" s="230">
        <v>2748900</v>
      </c>
      <c r="CD23" s="230">
        <v>-49050</v>
      </c>
      <c r="CE23" s="229">
        <v>-1.78E-2</v>
      </c>
      <c r="CF23" s="230">
        <v>167100</v>
      </c>
      <c r="CG23" s="230">
        <v>119025</v>
      </c>
      <c r="CH23" s="230">
        <v>48075</v>
      </c>
      <c r="CI23" s="229">
        <v>0.40389999999999998</v>
      </c>
      <c r="CJ23" s="230">
        <v>10875</v>
      </c>
      <c r="CK23" s="230">
        <v>9300</v>
      </c>
      <c r="CL23" s="230">
        <v>1575</v>
      </c>
      <c r="CM23" s="229">
        <v>0.1694</v>
      </c>
      <c r="CN23" s="230">
        <v>1481475</v>
      </c>
      <c r="CO23" s="230">
        <v>1558200</v>
      </c>
      <c r="CP23" s="230">
        <v>-76725</v>
      </c>
      <c r="CQ23" s="229">
        <v>-4.9200000000000001E-2</v>
      </c>
      <c r="CR23" s="230">
        <v>1233975</v>
      </c>
      <c r="CS23" s="230">
        <v>1203075</v>
      </c>
      <c r="CT23" s="230">
        <v>30900</v>
      </c>
      <c r="CU23" s="229">
        <v>2.5700000000000001E-2</v>
      </c>
      <c r="CV23" s="230">
        <v>5593275</v>
      </c>
      <c r="CW23" s="230">
        <v>5638500</v>
      </c>
      <c r="CX23" s="230">
        <v>-45225</v>
      </c>
      <c r="CY23" s="229">
        <v>-8.0000000000000002E-3</v>
      </c>
      <c r="CZ23" s="228">
        <v>25.01</v>
      </c>
      <c r="DA23" s="228">
        <v>25.35</v>
      </c>
      <c r="DB23" s="228">
        <v>-0.34</v>
      </c>
      <c r="DC23" s="228">
        <v>-0.34</v>
      </c>
      <c r="DD23" s="228">
        <v>31.72</v>
      </c>
      <c r="DE23" s="228">
        <v>31.8</v>
      </c>
      <c r="DF23" s="228">
        <v>-6.71</v>
      </c>
      <c r="DG23" s="228">
        <v>-0.08</v>
      </c>
      <c r="DH23" s="228">
        <v>24.61</v>
      </c>
      <c r="DI23" s="228">
        <v>25.08</v>
      </c>
      <c r="DJ23" s="228">
        <v>-0.47</v>
      </c>
      <c r="DK23" s="228">
        <v>-0.47</v>
      </c>
      <c r="DL23" s="228">
        <v>25.77</v>
      </c>
      <c r="DM23" s="228">
        <v>26</v>
      </c>
      <c r="DN23" s="228">
        <v>-0.23</v>
      </c>
      <c r="DO23" s="228">
        <v>-0.23</v>
      </c>
      <c r="DP23" s="228">
        <v>0.83</v>
      </c>
      <c r="DQ23" s="228">
        <v>0.77</v>
      </c>
      <c r="DR23" s="228">
        <v>0.06</v>
      </c>
      <c r="DS23" s="229">
        <v>7.7899999999999997E-2</v>
      </c>
      <c r="DT23" s="231">
        <v>9000</v>
      </c>
      <c r="DU23" s="231">
        <v>8500</v>
      </c>
      <c r="DV23" s="228">
        <v>0.52</v>
      </c>
      <c r="DW23" s="228">
        <v>0.41</v>
      </c>
      <c r="DX23" s="228">
        <v>0.11</v>
      </c>
      <c r="DY23" s="229">
        <v>0.26829999999999998</v>
      </c>
      <c r="DZ23" s="229">
        <v>6.1800000000000001E-2</v>
      </c>
      <c r="EA23" s="230">
        <v>128325</v>
      </c>
      <c r="EB23" s="229">
        <v>5.1999999999999998E-3</v>
      </c>
      <c r="EC23" s="229">
        <v>6.1800000000000001E-2</v>
      </c>
      <c r="ED23" s="228">
        <v>47.66</v>
      </c>
      <c r="EE23" s="229">
        <v>5.4000000000000003E-3</v>
      </c>
      <c r="EF23" s="230">
        <v>240505</v>
      </c>
      <c r="EG23" s="230">
        <v>434315</v>
      </c>
      <c r="EH23" s="229">
        <v>-0.44619999999999999</v>
      </c>
      <c r="EI23" s="229">
        <v>0.47989999999999999</v>
      </c>
      <c r="EJ23" s="231">
        <v>395968.22</v>
      </c>
      <c r="EK23" s="231">
        <v>195252.28</v>
      </c>
      <c r="EL23" s="231">
        <v>56719.75</v>
      </c>
      <c r="EM23" s="228">
        <v>0</v>
      </c>
      <c r="EN23" s="231">
        <v>647940.25</v>
      </c>
      <c r="EO23" s="231">
        <v>2384185.5099999998</v>
      </c>
      <c r="EP23" s="231">
        <v>-1736245.26</v>
      </c>
      <c r="EQ23" s="229">
        <v>-0.72819999999999996</v>
      </c>
      <c r="ER23" s="231">
        <v>131542</v>
      </c>
      <c r="ES23" s="231">
        <v>101505</v>
      </c>
      <c r="ET23" s="231">
        <v>254097</v>
      </c>
      <c r="EU23" s="231">
        <v>25095463</v>
      </c>
      <c r="EV23" s="231">
        <v>487144</v>
      </c>
      <c r="EW23" s="231">
        <v>490332</v>
      </c>
      <c r="EX23" s="231">
        <v>-3188</v>
      </c>
      <c r="EY23" s="229">
        <v>-6.4999999999999997E-3</v>
      </c>
      <c r="EZ23" s="229">
        <v>0.22289999999999999</v>
      </c>
      <c r="FA23" s="227" t="s">
        <v>555</v>
      </c>
      <c r="FB23" s="161">
        <f t="shared" si="0"/>
        <v>177975</v>
      </c>
    </row>
    <row r="24" spans="1:158" ht="17.25" hidden="1" thickBot="1" x14ac:dyDescent="0.3">
      <c r="A24" s="226">
        <v>45889</v>
      </c>
      <c r="B24" s="227" t="s">
        <v>175</v>
      </c>
      <c r="C24" s="227" t="s">
        <v>176</v>
      </c>
      <c r="D24" s="228">
        <v>500</v>
      </c>
      <c r="E24" s="231">
        <v>1962.9</v>
      </c>
      <c r="F24" s="231">
        <v>1978.8</v>
      </c>
      <c r="G24" s="228">
        <v>-15.9</v>
      </c>
      <c r="H24" s="229">
        <v>-8.0000000000000002E-3</v>
      </c>
      <c r="I24" s="231">
        <v>1958.5</v>
      </c>
      <c r="J24" s="231">
        <v>1972.2</v>
      </c>
      <c r="K24" s="228">
        <v>-13.7</v>
      </c>
      <c r="L24" s="229">
        <v>-6.8999999999999999E-3</v>
      </c>
      <c r="M24" s="231">
        <v>1962.9</v>
      </c>
      <c r="N24" s="231">
        <v>1978.8</v>
      </c>
      <c r="O24" s="228">
        <v>-15.9</v>
      </c>
      <c r="P24" s="229">
        <v>-8.0000000000000002E-3</v>
      </c>
      <c r="Q24" s="231">
        <v>1972.2</v>
      </c>
      <c r="R24" s="231">
        <v>1989.8</v>
      </c>
      <c r="S24" s="228">
        <v>-17.600000000000001</v>
      </c>
      <c r="T24" s="229">
        <v>-8.8000000000000005E-3</v>
      </c>
      <c r="U24" s="231">
        <v>1982.3</v>
      </c>
      <c r="V24" s="231">
        <v>1998</v>
      </c>
      <c r="W24" s="228">
        <v>-15.7</v>
      </c>
      <c r="X24" s="229">
        <v>-7.9000000000000008E-3</v>
      </c>
      <c r="Y24" s="228">
        <v>4.4000000000000004</v>
      </c>
      <c r="Z24" s="228">
        <v>6.6</v>
      </c>
      <c r="AA24" s="228">
        <v>-2.2000000000000002</v>
      </c>
      <c r="AB24" s="229">
        <v>2.2000000000000001E-3</v>
      </c>
      <c r="AC24" s="228">
        <v>4.4000000000000004</v>
      </c>
      <c r="AD24" s="228">
        <v>6.6</v>
      </c>
      <c r="AE24" s="228">
        <v>-2.2000000000000002</v>
      </c>
      <c r="AF24" s="229">
        <v>2.2000000000000001E-3</v>
      </c>
      <c r="AG24" s="228">
        <v>13.7</v>
      </c>
      <c r="AH24" s="228">
        <v>17.600000000000001</v>
      </c>
      <c r="AI24" s="228">
        <v>-3.9</v>
      </c>
      <c r="AJ24" s="229">
        <v>7.0000000000000001E-3</v>
      </c>
      <c r="AK24" s="228">
        <v>23.8</v>
      </c>
      <c r="AL24" s="228">
        <v>25.8</v>
      </c>
      <c r="AM24" s="228">
        <v>-2</v>
      </c>
      <c r="AN24" s="229">
        <v>1.2200000000000001E-2</v>
      </c>
      <c r="AO24" s="231">
        <v>1961.01</v>
      </c>
      <c r="AP24" s="231">
        <v>1972.26</v>
      </c>
      <c r="AQ24" s="228">
        <v>0</v>
      </c>
      <c r="AR24" s="230">
        <v>2146000</v>
      </c>
      <c r="AS24" s="230">
        <v>2175000</v>
      </c>
      <c r="AT24" s="230">
        <v>-29000</v>
      </c>
      <c r="AU24" s="229">
        <v>-1.3299999999999999E-2</v>
      </c>
      <c r="AV24" s="230">
        <v>1695500</v>
      </c>
      <c r="AW24" s="230">
        <v>1829500</v>
      </c>
      <c r="AX24" s="230">
        <v>-134000</v>
      </c>
      <c r="AY24" s="229">
        <v>-7.3200000000000001E-2</v>
      </c>
      <c r="AZ24" s="230">
        <v>423000</v>
      </c>
      <c r="BA24" s="230">
        <v>318500</v>
      </c>
      <c r="BB24" s="230">
        <v>104500</v>
      </c>
      <c r="BC24" s="229">
        <v>0.3281</v>
      </c>
      <c r="BD24" s="230">
        <v>27500</v>
      </c>
      <c r="BE24" s="230">
        <v>27000</v>
      </c>
      <c r="BF24" s="228">
        <v>500</v>
      </c>
      <c r="BG24" s="229">
        <v>1.8499999999999999E-2</v>
      </c>
      <c r="BH24" s="230">
        <v>9455500</v>
      </c>
      <c r="BI24" s="230">
        <v>9867500</v>
      </c>
      <c r="BJ24" s="230">
        <v>-412000</v>
      </c>
      <c r="BK24" s="229">
        <v>-4.1799999999999997E-2</v>
      </c>
      <c r="BL24" s="230">
        <v>4581500</v>
      </c>
      <c r="BM24" s="230">
        <v>6255500</v>
      </c>
      <c r="BN24" s="230">
        <v>-1674000</v>
      </c>
      <c r="BO24" s="229">
        <v>-0.2676</v>
      </c>
      <c r="BP24" s="230">
        <v>16183000</v>
      </c>
      <c r="BQ24" s="230">
        <v>18298000</v>
      </c>
      <c r="BR24" s="230">
        <v>-2115000</v>
      </c>
      <c r="BS24" s="229">
        <v>-0.11559999999999999</v>
      </c>
      <c r="BT24" s="230">
        <v>1480633</v>
      </c>
      <c r="BU24" s="230">
        <v>1419398</v>
      </c>
      <c r="BV24" s="230">
        <v>61235</v>
      </c>
      <c r="BW24" s="229">
        <v>4.3099999999999999E-2</v>
      </c>
      <c r="BX24" s="230">
        <v>17114500</v>
      </c>
      <c r="BY24" s="230">
        <v>16985000</v>
      </c>
      <c r="BZ24" s="230">
        <v>129500</v>
      </c>
      <c r="CA24" s="229">
        <v>7.6E-3</v>
      </c>
      <c r="CB24" s="230">
        <v>16301500</v>
      </c>
      <c r="CC24" s="230">
        <v>16408000</v>
      </c>
      <c r="CD24" s="230">
        <v>-106500</v>
      </c>
      <c r="CE24" s="229">
        <v>-6.4999999999999997E-3</v>
      </c>
      <c r="CF24" s="230">
        <v>702000</v>
      </c>
      <c r="CG24" s="230">
        <v>475000</v>
      </c>
      <c r="CH24" s="230">
        <v>227000</v>
      </c>
      <c r="CI24" s="229">
        <v>0.47789999999999999</v>
      </c>
      <c r="CJ24" s="230">
        <v>111000</v>
      </c>
      <c r="CK24" s="230">
        <v>102000</v>
      </c>
      <c r="CL24" s="230">
        <v>9000</v>
      </c>
      <c r="CM24" s="229">
        <v>8.8200000000000001E-2</v>
      </c>
      <c r="CN24" s="230">
        <v>6388500</v>
      </c>
      <c r="CO24" s="230">
        <v>5815000</v>
      </c>
      <c r="CP24" s="230">
        <v>573500</v>
      </c>
      <c r="CQ24" s="229">
        <v>9.8599999999999993E-2</v>
      </c>
      <c r="CR24" s="230">
        <v>4542500</v>
      </c>
      <c r="CS24" s="230">
        <v>4621500</v>
      </c>
      <c r="CT24" s="230">
        <v>-79000</v>
      </c>
      <c r="CU24" s="229">
        <v>-1.7100000000000001E-2</v>
      </c>
      <c r="CV24" s="230">
        <v>28045500</v>
      </c>
      <c r="CW24" s="230">
        <v>27421500</v>
      </c>
      <c r="CX24" s="230">
        <v>624000</v>
      </c>
      <c r="CY24" s="229">
        <v>2.2800000000000001E-2</v>
      </c>
      <c r="CZ24" s="228">
        <v>22.01</v>
      </c>
      <c r="DA24" s="228">
        <v>21</v>
      </c>
      <c r="DB24" s="228">
        <v>1.01</v>
      </c>
      <c r="DC24" s="228">
        <v>1.01</v>
      </c>
      <c r="DD24" s="228">
        <v>29.56</v>
      </c>
      <c r="DE24" s="228">
        <v>29.61</v>
      </c>
      <c r="DF24" s="228">
        <v>-7.55</v>
      </c>
      <c r="DG24" s="228">
        <v>-0.05</v>
      </c>
      <c r="DH24" s="228">
        <v>22.15</v>
      </c>
      <c r="DI24" s="228">
        <v>21.17</v>
      </c>
      <c r="DJ24" s="228">
        <v>0.98</v>
      </c>
      <c r="DK24" s="228">
        <v>0.98</v>
      </c>
      <c r="DL24" s="228">
        <v>21.72</v>
      </c>
      <c r="DM24" s="228">
        <v>20.75</v>
      </c>
      <c r="DN24" s="228">
        <v>0.97</v>
      </c>
      <c r="DO24" s="228">
        <v>0.97</v>
      </c>
      <c r="DP24" s="228">
        <v>0.71</v>
      </c>
      <c r="DQ24" s="228">
        <v>0.79</v>
      </c>
      <c r="DR24" s="228">
        <v>-0.08</v>
      </c>
      <c r="DS24" s="229">
        <v>-0.1013</v>
      </c>
      <c r="DT24" s="231">
        <v>2000</v>
      </c>
      <c r="DU24" s="231">
        <v>1900</v>
      </c>
      <c r="DV24" s="228">
        <v>0.48</v>
      </c>
      <c r="DW24" s="228">
        <v>0.63</v>
      </c>
      <c r="DX24" s="228">
        <v>-0.15</v>
      </c>
      <c r="DY24" s="229">
        <v>-0.23810000000000001</v>
      </c>
      <c r="DZ24" s="229">
        <v>4.7500000000000001E-2</v>
      </c>
      <c r="EA24" s="230">
        <v>577000</v>
      </c>
      <c r="EB24" s="229">
        <v>4.7000000000000002E-3</v>
      </c>
      <c r="EC24" s="229">
        <v>4.7500000000000001E-2</v>
      </c>
      <c r="ED24" s="228">
        <v>11.25</v>
      </c>
      <c r="EE24" s="229">
        <v>5.7000000000000002E-3</v>
      </c>
      <c r="EF24" s="230">
        <v>1015639</v>
      </c>
      <c r="EG24" s="230">
        <v>968153</v>
      </c>
      <c r="EH24" s="229">
        <v>4.9000000000000002E-2</v>
      </c>
      <c r="EI24" s="229">
        <v>0.68589999999999995</v>
      </c>
      <c r="EJ24" s="231">
        <v>190820.04</v>
      </c>
      <c r="EK24" s="231">
        <v>89300.43</v>
      </c>
      <c r="EL24" s="231">
        <v>42136.79</v>
      </c>
      <c r="EM24" s="228">
        <v>0</v>
      </c>
      <c r="EN24" s="231">
        <v>322257.26</v>
      </c>
      <c r="EO24" s="231">
        <v>367402.68</v>
      </c>
      <c r="EP24" s="231">
        <v>-45145.42</v>
      </c>
      <c r="EQ24" s="229">
        <v>-0.1229</v>
      </c>
      <c r="ER24" s="231">
        <v>130982</v>
      </c>
      <c r="ES24" s="231">
        <v>85271</v>
      </c>
      <c r="ET24" s="231">
        <v>336027</v>
      </c>
      <c r="EU24" s="231">
        <v>131319425</v>
      </c>
      <c r="EV24" s="231">
        <v>552280</v>
      </c>
      <c r="EW24" s="231">
        <v>542643</v>
      </c>
      <c r="EX24" s="231">
        <v>9637</v>
      </c>
      <c r="EY24" s="229">
        <v>1.78E-2</v>
      </c>
      <c r="EZ24" s="229">
        <v>0.21360000000000001</v>
      </c>
      <c r="FA24" s="227" t="s">
        <v>567</v>
      </c>
      <c r="FB24" s="161">
        <f t="shared" si="0"/>
        <v>813000</v>
      </c>
    </row>
    <row r="25" spans="1:158" ht="17.25" hidden="1" thickBot="1" x14ac:dyDescent="0.3">
      <c r="A25" s="226">
        <v>45889</v>
      </c>
      <c r="B25" s="227" t="s">
        <v>175</v>
      </c>
      <c r="C25" s="227" t="s">
        <v>177</v>
      </c>
      <c r="D25" s="228">
        <v>750</v>
      </c>
      <c r="E25" s="228">
        <v>887.95</v>
      </c>
      <c r="F25" s="228">
        <v>904.1</v>
      </c>
      <c r="G25" s="228">
        <v>-16.149999999999999</v>
      </c>
      <c r="H25" s="229">
        <v>-1.7899999999999999E-2</v>
      </c>
      <c r="I25" s="228">
        <v>887.8</v>
      </c>
      <c r="J25" s="228">
        <v>902.3</v>
      </c>
      <c r="K25" s="228">
        <v>-14.5</v>
      </c>
      <c r="L25" s="229">
        <v>-1.61E-2</v>
      </c>
      <c r="M25" s="228">
        <v>887.95</v>
      </c>
      <c r="N25" s="228">
        <v>904.1</v>
      </c>
      <c r="O25" s="228">
        <v>-16.149999999999999</v>
      </c>
      <c r="P25" s="229">
        <v>-1.7899999999999999E-2</v>
      </c>
      <c r="Q25" s="228">
        <v>893.2</v>
      </c>
      <c r="R25" s="228">
        <v>909.2</v>
      </c>
      <c r="S25" s="228">
        <v>-16</v>
      </c>
      <c r="T25" s="229">
        <v>-1.7600000000000001E-2</v>
      </c>
      <c r="U25" s="228">
        <v>897.5</v>
      </c>
      <c r="V25" s="228">
        <v>913.2</v>
      </c>
      <c r="W25" s="228">
        <v>-15.7</v>
      </c>
      <c r="X25" s="229">
        <v>-1.72E-2</v>
      </c>
      <c r="Y25" s="228">
        <v>0.15</v>
      </c>
      <c r="Z25" s="228">
        <v>1.8</v>
      </c>
      <c r="AA25" s="228">
        <v>-1.65</v>
      </c>
      <c r="AB25" s="229">
        <v>2.0000000000000001E-4</v>
      </c>
      <c r="AC25" s="228">
        <v>0.15</v>
      </c>
      <c r="AD25" s="228">
        <v>1.8</v>
      </c>
      <c r="AE25" s="228">
        <v>-1.65</v>
      </c>
      <c r="AF25" s="229">
        <v>2.0000000000000001E-4</v>
      </c>
      <c r="AG25" s="228">
        <v>5.4</v>
      </c>
      <c r="AH25" s="228">
        <v>6.9</v>
      </c>
      <c r="AI25" s="228">
        <v>-1.5</v>
      </c>
      <c r="AJ25" s="229">
        <v>6.1000000000000004E-3</v>
      </c>
      <c r="AK25" s="228">
        <v>9.6999999999999993</v>
      </c>
      <c r="AL25" s="228">
        <v>10.9</v>
      </c>
      <c r="AM25" s="228">
        <v>-1.2</v>
      </c>
      <c r="AN25" s="229">
        <v>1.09E-2</v>
      </c>
      <c r="AO25" s="228">
        <v>889.76</v>
      </c>
      <c r="AP25" s="228">
        <v>894.53</v>
      </c>
      <c r="AQ25" s="228">
        <v>0</v>
      </c>
      <c r="AR25" s="230">
        <v>11535000</v>
      </c>
      <c r="AS25" s="230">
        <v>10503750</v>
      </c>
      <c r="AT25" s="230">
        <v>1031250</v>
      </c>
      <c r="AU25" s="229">
        <v>9.8199999999999996E-2</v>
      </c>
      <c r="AV25" s="230">
        <v>8685750</v>
      </c>
      <c r="AW25" s="230">
        <v>8067750</v>
      </c>
      <c r="AX25" s="230">
        <v>618000</v>
      </c>
      <c r="AY25" s="229">
        <v>7.6600000000000001E-2</v>
      </c>
      <c r="AZ25" s="230">
        <v>2723250</v>
      </c>
      <c r="BA25" s="230">
        <v>1548750</v>
      </c>
      <c r="BB25" s="230">
        <v>1174500</v>
      </c>
      <c r="BC25" s="229">
        <v>0.75839999999999996</v>
      </c>
      <c r="BD25" s="230">
        <v>126000</v>
      </c>
      <c r="BE25" s="230">
        <v>887250</v>
      </c>
      <c r="BF25" s="230">
        <v>-761250</v>
      </c>
      <c r="BG25" s="229">
        <v>-0.85799999999999998</v>
      </c>
      <c r="BH25" s="230">
        <v>32496750</v>
      </c>
      <c r="BI25" s="230">
        <v>38074500</v>
      </c>
      <c r="BJ25" s="230">
        <v>-5577750</v>
      </c>
      <c r="BK25" s="229">
        <v>-0.14649999999999999</v>
      </c>
      <c r="BL25" s="230">
        <v>17855250</v>
      </c>
      <c r="BM25" s="230">
        <v>21091500</v>
      </c>
      <c r="BN25" s="230">
        <v>-3236250</v>
      </c>
      <c r="BO25" s="229">
        <v>-0.15340000000000001</v>
      </c>
      <c r="BP25" s="230">
        <v>61887000</v>
      </c>
      <c r="BQ25" s="230">
        <v>69669750</v>
      </c>
      <c r="BR25" s="230">
        <v>-7782750</v>
      </c>
      <c r="BS25" s="229">
        <v>-0.11169999999999999</v>
      </c>
      <c r="BT25" s="230">
        <v>5811966</v>
      </c>
      <c r="BU25" s="230">
        <v>5939275</v>
      </c>
      <c r="BV25" s="230">
        <v>-127309</v>
      </c>
      <c r="BW25" s="229">
        <v>-2.1399999999999999E-2</v>
      </c>
      <c r="BX25" s="230">
        <v>98822250</v>
      </c>
      <c r="BY25" s="230">
        <v>98391750</v>
      </c>
      <c r="BZ25" s="230">
        <v>430500</v>
      </c>
      <c r="CA25" s="229">
        <v>4.4000000000000003E-3</v>
      </c>
      <c r="CB25" s="230">
        <v>84292500</v>
      </c>
      <c r="CC25" s="230">
        <v>85797750</v>
      </c>
      <c r="CD25" s="230">
        <v>-1505250</v>
      </c>
      <c r="CE25" s="229">
        <v>-1.7500000000000002E-2</v>
      </c>
      <c r="CF25" s="230">
        <v>10796250</v>
      </c>
      <c r="CG25" s="230">
        <v>8923500</v>
      </c>
      <c r="CH25" s="230">
        <v>1872750</v>
      </c>
      <c r="CI25" s="229">
        <v>0.2099</v>
      </c>
      <c r="CJ25" s="230">
        <v>3733500</v>
      </c>
      <c r="CK25" s="230">
        <v>3670500</v>
      </c>
      <c r="CL25" s="230">
        <v>63000</v>
      </c>
      <c r="CM25" s="229">
        <v>1.72E-2</v>
      </c>
      <c r="CN25" s="230">
        <v>29713500</v>
      </c>
      <c r="CO25" s="230">
        <v>26250750</v>
      </c>
      <c r="CP25" s="230">
        <v>3462750</v>
      </c>
      <c r="CQ25" s="229">
        <v>0.13189999999999999</v>
      </c>
      <c r="CR25" s="230">
        <v>15764250</v>
      </c>
      <c r="CS25" s="230">
        <v>15322500</v>
      </c>
      <c r="CT25" s="230">
        <v>441750</v>
      </c>
      <c r="CU25" s="229">
        <v>2.8799999999999999E-2</v>
      </c>
      <c r="CV25" s="230">
        <v>144300000</v>
      </c>
      <c r="CW25" s="230">
        <v>139965000</v>
      </c>
      <c r="CX25" s="230">
        <v>4335000</v>
      </c>
      <c r="CY25" s="229">
        <v>3.1E-2</v>
      </c>
      <c r="CZ25" s="228">
        <v>27.59</v>
      </c>
      <c r="DA25" s="228">
        <v>26.27</v>
      </c>
      <c r="DB25" s="228">
        <v>1.32</v>
      </c>
      <c r="DC25" s="228">
        <v>1.32</v>
      </c>
      <c r="DD25" s="228">
        <v>31.85</v>
      </c>
      <c r="DE25" s="228">
        <v>31.85</v>
      </c>
      <c r="DF25" s="228">
        <v>-4.26</v>
      </c>
      <c r="DG25" s="228">
        <v>0</v>
      </c>
      <c r="DH25" s="228">
        <v>28.07</v>
      </c>
      <c r="DI25" s="228">
        <v>26.41</v>
      </c>
      <c r="DJ25" s="228">
        <v>1.66</v>
      </c>
      <c r="DK25" s="228">
        <v>1.66</v>
      </c>
      <c r="DL25" s="228">
        <v>26.7</v>
      </c>
      <c r="DM25" s="228">
        <v>26.02</v>
      </c>
      <c r="DN25" s="228">
        <v>0.68</v>
      </c>
      <c r="DO25" s="228">
        <v>0.68</v>
      </c>
      <c r="DP25" s="228">
        <v>0.53</v>
      </c>
      <c r="DQ25" s="228">
        <v>0.57999999999999996</v>
      </c>
      <c r="DR25" s="228">
        <v>-0.05</v>
      </c>
      <c r="DS25" s="229">
        <v>-8.6199999999999999E-2</v>
      </c>
      <c r="DT25" s="228">
        <v>900</v>
      </c>
      <c r="DU25" s="228">
        <v>900</v>
      </c>
      <c r="DV25" s="228">
        <v>0.55000000000000004</v>
      </c>
      <c r="DW25" s="228">
        <v>0.55000000000000004</v>
      </c>
      <c r="DX25" s="228">
        <v>0</v>
      </c>
      <c r="DY25" s="229">
        <v>0</v>
      </c>
      <c r="DZ25" s="229">
        <v>0.14699999999999999</v>
      </c>
      <c r="EA25" s="230">
        <v>12594000</v>
      </c>
      <c r="EB25" s="229">
        <v>5.8999999999999999E-3</v>
      </c>
      <c r="EC25" s="229">
        <v>0.14699999999999999</v>
      </c>
      <c r="ED25" s="228">
        <v>4.7699999999999996</v>
      </c>
      <c r="EE25" s="229">
        <v>5.4000000000000003E-3</v>
      </c>
      <c r="EF25" s="230">
        <v>3694117</v>
      </c>
      <c r="EG25" s="230">
        <v>2936986</v>
      </c>
      <c r="EH25" s="229">
        <v>0.25779999999999997</v>
      </c>
      <c r="EI25" s="229">
        <v>0.63560000000000005</v>
      </c>
      <c r="EJ25" s="231">
        <v>301018.93</v>
      </c>
      <c r="EK25" s="231">
        <v>158962.39000000001</v>
      </c>
      <c r="EL25" s="231">
        <v>102776.19</v>
      </c>
      <c r="EM25" s="228">
        <v>0</v>
      </c>
      <c r="EN25" s="231">
        <v>562757.51</v>
      </c>
      <c r="EO25" s="231">
        <v>638579.80000000005</v>
      </c>
      <c r="EP25" s="231">
        <v>-75822.289999999994</v>
      </c>
      <c r="EQ25" s="229">
        <v>-0.1187</v>
      </c>
      <c r="ER25" s="231">
        <v>279828</v>
      </c>
      <c r="ES25" s="231">
        <v>136183</v>
      </c>
      <c r="ET25" s="231">
        <v>878416</v>
      </c>
      <c r="EU25" s="231">
        <v>562232690</v>
      </c>
      <c r="EV25" s="231">
        <v>1294426</v>
      </c>
      <c r="EW25" s="231">
        <v>1270904</v>
      </c>
      <c r="EX25" s="231">
        <v>23522</v>
      </c>
      <c r="EY25" s="229">
        <v>1.8499999999999999E-2</v>
      </c>
      <c r="EZ25" s="229">
        <v>0.25669999999999998</v>
      </c>
      <c r="FA25" s="227" t="s">
        <v>567</v>
      </c>
      <c r="FB25" s="161">
        <f t="shared" si="0"/>
        <v>14529750</v>
      </c>
    </row>
    <row r="26" spans="1:158" ht="17.25" hidden="1" thickBot="1" x14ac:dyDescent="0.3">
      <c r="A26" s="226">
        <v>45889</v>
      </c>
      <c r="B26" s="227" t="s">
        <v>172</v>
      </c>
      <c r="C26" s="227" t="s">
        <v>179</v>
      </c>
      <c r="D26" s="228">
        <v>3600</v>
      </c>
      <c r="E26" s="228">
        <v>174.74</v>
      </c>
      <c r="F26" s="228">
        <v>174.26</v>
      </c>
      <c r="G26" s="228">
        <v>0.48</v>
      </c>
      <c r="H26" s="229">
        <v>2.8E-3</v>
      </c>
      <c r="I26" s="228">
        <v>174.28</v>
      </c>
      <c r="J26" s="228">
        <v>174.01</v>
      </c>
      <c r="K26" s="228">
        <v>0.27</v>
      </c>
      <c r="L26" s="229">
        <v>1.6000000000000001E-3</v>
      </c>
      <c r="M26" s="228">
        <v>174.74</v>
      </c>
      <c r="N26" s="228">
        <v>174.26</v>
      </c>
      <c r="O26" s="228">
        <v>0.48</v>
      </c>
      <c r="P26" s="229">
        <v>2.8E-3</v>
      </c>
      <c r="Q26" s="228">
        <v>175.74</v>
      </c>
      <c r="R26" s="228">
        <v>175.32</v>
      </c>
      <c r="S26" s="228">
        <v>0.42</v>
      </c>
      <c r="T26" s="229">
        <v>2.3999999999999998E-3</v>
      </c>
      <c r="U26" s="228">
        <v>176.5</v>
      </c>
      <c r="V26" s="228">
        <v>176.28</v>
      </c>
      <c r="W26" s="228">
        <v>0.22</v>
      </c>
      <c r="X26" s="229">
        <v>1.1999999999999999E-3</v>
      </c>
      <c r="Y26" s="228">
        <v>0.46</v>
      </c>
      <c r="Z26" s="228">
        <v>0.25</v>
      </c>
      <c r="AA26" s="228">
        <v>0.21</v>
      </c>
      <c r="AB26" s="229">
        <v>2.5999999999999999E-3</v>
      </c>
      <c r="AC26" s="228">
        <v>0.46</v>
      </c>
      <c r="AD26" s="228">
        <v>0.25</v>
      </c>
      <c r="AE26" s="228">
        <v>0.21</v>
      </c>
      <c r="AF26" s="229">
        <v>2.5999999999999999E-3</v>
      </c>
      <c r="AG26" s="228">
        <v>1.46</v>
      </c>
      <c r="AH26" s="228">
        <v>1.31</v>
      </c>
      <c r="AI26" s="228">
        <v>0.15</v>
      </c>
      <c r="AJ26" s="229">
        <v>8.3999999999999995E-3</v>
      </c>
      <c r="AK26" s="228">
        <v>2.2200000000000002</v>
      </c>
      <c r="AL26" s="228">
        <v>2.27</v>
      </c>
      <c r="AM26" s="228">
        <v>-0.05</v>
      </c>
      <c r="AN26" s="229">
        <v>1.2699999999999999E-2</v>
      </c>
      <c r="AO26" s="228">
        <v>174.36</v>
      </c>
      <c r="AP26" s="228">
        <v>175.01</v>
      </c>
      <c r="AQ26" s="228">
        <v>0</v>
      </c>
      <c r="AR26" s="230">
        <v>14076000</v>
      </c>
      <c r="AS26" s="230">
        <v>23914800</v>
      </c>
      <c r="AT26" s="230">
        <v>-9838800</v>
      </c>
      <c r="AU26" s="229">
        <v>-0.41139999999999999</v>
      </c>
      <c r="AV26" s="230">
        <v>10764000</v>
      </c>
      <c r="AW26" s="230">
        <v>20412000</v>
      </c>
      <c r="AX26" s="230">
        <v>-9648000</v>
      </c>
      <c r="AY26" s="229">
        <v>-0.47270000000000001</v>
      </c>
      <c r="AZ26" s="230">
        <v>3110400</v>
      </c>
      <c r="BA26" s="230">
        <v>3124800</v>
      </c>
      <c r="BB26" s="230">
        <v>-14400</v>
      </c>
      <c r="BC26" s="229">
        <v>-4.5999999999999999E-3</v>
      </c>
      <c r="BD26" s="230">
        <v>201600</v>
      </c>
      <c r="BE26" s="230">
        <v>378000</v>
      </c>
      <c r="BF26" s="230">
        <v>-176400</v>
      </c>
      <c r="BG26" s="229">
        <v>-0.4667</v>
      </c>
      <c r="BH26" s="230">
        <v>19810800</v>
      </c>
      <c r="BI26" s="230">
        <v>46130400</v>
      </c>
      <c r="BJ26" s="230">
        <v>-26319600</v>
      </c>
      <c r="BK26" s="229">
        <v>-0.57050000000000001</v>
      </c>
      <c r="BL26" s="230">
        <v>14389200</v>
      </c>
      <c r="BM26" s="230">
        <v>29286000</v>
      </c>
      <c r="BN26" s="230">
        <v>-14896800</v>
      </c>
      <c r="BO26" s="229">
        <v>-0.50870000000000004</v>
      </c>
      <c r="BP26" s="230">
        <v>48276000</v>
      </c>
      <c r="BQ26" s="230">
        <v>99331200</v>
      </c>
      <c r="BR26" s="230">
        <v>-51055200</v>
      </c>
      <c r="BS26" s="229">
        <v>-0.51400000000000001</v>
      </c>
      <c r="BT26" s="230">
        <v>5617227</v>
      </c>
      <c r="BU26" s="230">
        <v>8122813</v>
      </c>
      <c r="BV26" s="230">
        <v>-2505586</v>
      </c>
      <c r="BW26" s="229">
        <v>-0.3085</v>
      </c>
      <c r="BX26" s="230">
        <v>82375200</v>
      </c>
      <c r="BY26" s="230">
        <v>81252000</v>
      </c>
      <c r="BZ26" s="230">
        <v>1123200</v>
      </c>
      <c r="CA26" s="229">
        <v>1.38E-2</v>
      </c>
      <c r="CB26" s="230">
        <v>72226800</v>
      </c>
      <c r="CC26" s="230">
        <v>73044000</v>
      </c>
      <c r="CD26" s="230">
        <v>-817200</v>
      </c>
      <c r="CE26" s="229">
        <v>-1.12E-2</v>
      </c>
      <c r="CF26" s="230">
        <v>8938800</v>
      </c>
      <c r="CG26" s="230">
        <v>7106400</v>
      </c>
      <c r="CH26" s="230">
        <v>1832400</v>
      </c>
      <c r="CI26" s="229">
        <v>0.25790000000000002</v>
      </c>
      <c r="CJ26" s="230">
        <v>1209600</v>
      </c>
      <c r="CK26" s="230">
        <v>1101600</v>
      </c>
      <c r="CL26" s="230">
        <v>108000</v>
      </c>
      <c r="CM26" s="229">
        <v>9.8000000000000004E-2</v>
      </c>
      <c r="CN26" s="230">
        <v>23137200</v>
      </c>
      <c r="CO26" s="230">
        <v>23050800</v>
      </c>
      <c r="CP26" s="230">
        <v>86400</v>
      </c>
      <c r="CQ26" s="229">
        <v>3.7000000000000002E-3</v>
      </c>
      <c r="CR26" s="230">
        <v>17157600</v>
      </c>
      <c r="CS26" s="230">
        <v>17560800</v>
      </c>
      <c r="CT26" s="230">
        <v>-403200</v>
      </c>
      <c r="CU26" s="229">
        <v>-2.3E-2</v>
      </c>
      <c r="CV26" s="230">
        <v>122670000</v>
      </c>
      <c r="CW26" s="230">
        <v>121863600</v>
      </c>
      <c r="CX26" s="230">
        <v>806400</v>
      </c>
      <c r="CY26" s="229">
        <v>6.6E-3</v>
      </c>
      <c r="CZ26" s="228">
        <v>30.21</v>
      </c>
      <c r="DA26" s="228">
        <v>31.47</v>
      </c>
      <c r="DB26" s="228">
        <v>-1.26</v>
      </c>
      <c r="DC26" s="228">
        <v>-1.26</v>
      </c>
      <c r="DD26" s="228">
        <v>43.69</v>
      </c>
      <c r="DE26" s="228">
        <v>43.8</v>
      </c>
      <c r="DF26" s="228">
        <v>-13.48</v>
      </c>
      <c r="DG26" s="228">
        <v>-0.11</v>
      </c>
      <c r="DH26" s="228">
        <v>29.5</v>
      </c>
      <c r="DI26" s="228">
        <v>30.18</v>
      </c>
      <c r="DJ26" s="228">
        <v>-0.68</v>
      </c>
      <c r="DK26" s="228">
        <v>-0.68</v>
      </c>
      <c r="DL26" s="228">
        <v>31.19</v>
      </c>
      <c r="DM26" s="228">
        <v>33.51</v>
      </c>
      <c r="DN26" s="228">
        <v>-2.3199999999999998</v>
      </c>
      <c r="DO26" s="228">
        <v>-2.3199999999999998</v>
      </c>
      <c r="DP26" s="228">
        <v>0.74</v>
      </c>
      <c r="DQ26" s="228">
        <v>0.76</v>
      </c>
      <c r="DR26" s="228">
        <v>-0.02</v>
      </c>
      <c r="DS26" s="229">
        <v>-2.63E-2</v>
      </c>
      <c r="DT26" s="228">
        <v>175</v>
      </c>
      <c r="DU26" s="228">
        <v>160</v>
      </c>
      <c r="DV26" s="228">
        <v>0.73</v>
      </c>
      <c r="DW26" s="228">
        <v>0.63</v>
      </c>
      <c r="DX26" s="228">
        <v>0.1</v>
      </c>
      <c r="DY26" s="229">
        <v>0.15870000000000001</v>
      </c>
      <c r="DZ26" s="229">
        <v>0.1232</v>
      </c>
      <c r="EA26" s="230">
        <v>8208000</v>
      </c>
      <c r="EB26" s="229">
        <v>5.7000000000000002E-3</v>
      </c>
      <c r="EC26" s="229">
        <v>0.1232</v>
      </c>
      <c r="ED26" s="228">
        <v>0.65</v>
      </c>
      <c r="EE26" s="229">
        <v>3.7000000000000002E-3</v>
      </c>
      <c r="EF26" s="230">
        <v>2833407</v>
      </c>
      <c r="EG26" s="230">
        <v>2917733</v>
      </c>
      <c r="EH26" s="229">
        <v>-2.8899999999999999E-2</v>
      </c>
      <c r="EI26" s="229">
        <v>0.50439999999999996</v>
      </c>
      <c r="EJ26" s="231">
        <v>35608.699999999997</v>
      </c>
      <c r="EK26" s="231">
        <v>24912.98</v>
      </c>
      <c r="EL26" s="231">
        <v>24566.45</v>
      </c>
      <c r="EM26" s="228">
        <v>0</v>
      </c>
      <c r="EN26" s="231">
        <v>85088.13</v>
      </c>
      <c r="EO26" s="231">
        <v>172841.04</v>
      </c>
      <c r="EP26" s="231">
        <v>-87752.91</v>
      </c>
      <c r="EQ26" s="229">
        <v>-0.50770000000000004</v>
      </c>
      <c r="ER26" s="231">
        <v>41831</v>
      </c>
      <c r="ES26" s="231">
        <v>28774</v>
      </c>
      <c r="ET26" s="231">
        <v>144053</v>
      </c>
      <c r="EU26" s="231">
        <v>190337283</v>
      </c>
      <c r="EV26" s="231">
        <v>214658</v>
      </c>
      <c r="EW26" s="231">
        <v>212616</v>
      </c>
      <c r="EX26" s="231">
        <v>2042</v>
      </c>
      <c r="EY26" s="229">
        <v>9.5999999999999992E-3</v>
      </c>
      <c r="EZ26" s="229">
        <v>0.64449999999999996</v>
      </c>
      <c r="FA26" s="227" t="s">
        <v>555</v>
      </c>
      <c r="FB26" s="161">
        <f t="shared" si="0"/>
        <v>10148400</v>
      </c>
    </row>
    <row r="27" spans="1:158" ht="17.25" hidden="1" thickBot="1" x14ac:dyDescent="0.3">
      <c r="A27" s="226">
        <v>45889</v>
      </c>
      <c r="B27" s="227" t="s">
        <v>172</v>
      </c>
      <c r="C27" s="227" t="s">
        <v>180</v>
      </c>
      <c r="D27" s="228">
        <v>2925</v>
      </c>
      <c r="E27" s="228">
        <v>245.54</v>
      </c>
      <c r="F27" s="228">
        <v>247.9</v>
      </c>
      <c r="G27" s="228">
        <v>-2.36</v>
      </c>
      <c r="H27" s="229">
        <v>-9.4999999999999998E-3</v>
      </c>
      <c r="I27" s="228">
        <v>244.88</v>
      </c>
      <c r="J27" s="228">
        <v>247.05</v>
      </c>
      <c r="K27" s="228">
        <v>-2.17</v>
      </c>
      <c r="L27" s="229">
        <v>-8.8000000000000005E-3</v>
      </c>
      <c r="M27" s="228">
        <v>245.54</v>
      </c>
      <c r="N27" s="228">
        <v>247.9</v>
      </c>
      <c r="O27" s="228">
        <v>-2.36</v>
      </c>
      <c r="P27" s="229">
        <v>-9.4999999999999998E-3</v>
      </c>
      <c r="Q27" s="228">
        <v>246.94</v>
      </c>
      <c r="R27" s="228">
        <v>249.25</v>
      </c>
      <c r="S27" s="228">
        <v>-2.31</v>
      </c>
      <c r="T27" s="229">
        <v>-9.2999999999999992E-3</v>
      </c>
      <c r="U27" s="228">
        <v>248.13</v>
      </c>
      <c r="V27" s="228">
        <v>250.48</v>
      </c>
      <c r="W27" s="228">
        <v>-2.35</v>
      </c>
      <c r="X27" s="229">
        <v>-9.4000000000000004E-3</v>
      </c>
      <c r="Y27" s="228">
        <v>0.66</v>
      </c>
      <c r="Z27" s="228">
        <v>0.85</v>
      </c>
      <c r="AA27" s="228">
        <v>-0.19</v>
      </c>
      <c r="AB27" s="229">
        <v>2.7000000000000001E-3</v>
      </c>
      <c r="AC27" s="228">
        <v>0.66</v>
      </c>
      <c r="AD27" s="228">
        <v>0.85</v>
      </c>
      <c r="AE27" s="228">
        <v>-0.19</v>
      </c>
      <c r="AF27" s="229">
        <v>2.7000000000000001E-3</v>
      </c>
      <c r="AG27" s="228">
        <v>2.06</v>
      </c>
      <c r="AH27" s="228">
        <v>2.2000000000000002</v>
      </c>
      <c r="AI27" s="228">
        <v>-0.14000000000000001</v>
      </c>
      <c r="AJ27" s="229">
        <v>8.3999999999999995E-3</v>
      </c>
      <c r="AK27" s="228">
        <v>3.25</v>
      </c>
      <c r="AL27" s="228">
        <v>3.43</v>
      </c>
      <c r="AM27" s="228">
        <v>-0.18</v>
      </c>
      <c r="AN27" s="229">
        <v>1.3299999999999999E-2</v>
      </c>
      <c r="AO27" s="228">
        <v>247.23</v>
      </c>
      <c r="AP27" s="228">
        <v>248.66</v>
      </c>
      <c r="AQ27" s="228">
        <v>0</v>
      </c>
      <c r="AR27" s="230">
        <v>33426900</v>
      </c>
      <c r="AS27" s="230">
        <v>22443525</v>
      </c>
      <c r="AT27" s="230">
        <v>10983375</v>
      </c>
      <c r="AU27" s="229">
        <v>0.4894</v>
      </c>
      <c r="AV27" s="230">
        <v>21873150</v>
      </c>
      <c r="AW27" s="230">
        <v>18105750</v>
      </c>
      <c r="AX27" s="230">
        <v>3767400</v>
      </c>
      <c r="AY27" s="229">
        <v>0.20810000000000001</v>
      </c>
      <c r="AZ27" s="230">
        <v>11278800</v>
      </c>
      <c r="BA27" s="230">
        <v>4147650</v>
      </c>
      <c r="BB27" s="230">
        <v>7131150</v>
      </c>
      <c r="BC27" s="229">
        <v>1.7193000000000001</v>
      </c>
      <c r="BD27" s="230">
        <v>274950</v>
      </c>
      <c r="BE27" s="230">
        <v>190125</v>
      </c>
      <c r="BF27" s="230">
        <v>84825</v>
      </c>
      <c r="BG27" s="229">
        <v>0.44619999999999999</v>
      </c>
      <c r="BH27" s="230">
        <v>47940750</v>
      </c>
      <c r="BI27" s="230">
        <v>50655150</v>
      </c>
      <c r="BJ27" s="230">
        <v>-2714400</v>
      </c>
      <c r="BK27" s="229">
        <v>-5.3600000000000002E-2</v>
      </c>
      <c r="BL27" s="230">
        <v>29103750</v>
      </c>
      <c r="BM27" s="230">
        <v>28036125</v>
      </c>
      <c r="BN27" s="230">
        <v>1067625</v>
      </c>
      <c r="BO27" s="229">
        <v>3.8100000000000002E-2</v>
      </c>
      <c r="BP27" s="230">
        <v>110471400</v>
      </c>
      <c r="BQ27" s="230">
        <v>101134800</v>
      </c>
      <c r="BR27" s="230">
        <v>9336600</v>
      </c>
      <c r="BS27" s="229">
        <v>9.2299999999999993E-2</v>
      </c>
      <c r="BT27" s="230">
        <v>8387081</v>
      </c>
      <c r="BU27" s="230">
        <v>5951895</v>
      </c>
      <c r="BV27" s="230">
        <v>2435186</v>
      </c>
      <c r="BW27" s="229">
        <v>0.40910000000000002</v>
      </c>
      <c r="BX27" s="230">
        <v>108833400</v>
      </c>
      <c r="BY27" s="230">
        <v>105694875</v>
      </c>
      <c r="BZ27" s="230">
        <v>3138525</v>
      </c>
      <c r="CA27" s="229">
        <v>2.9700000000000001E-2</v>
      </c>
      <c r="CB27" s="230">
        <v>93406950</v>
      </c>
      <c r="CC27" s="230">
        <v>99523125</v>
      </c>
      <c r="CD27" s="230">
        <v>-6116175</v>
      </c>
      <c r="CE27" s="229">
        <v>-6.1499999999999999E-2</v>
      </c>
      <c r="CF27" s="230">
        <v>15002325</v>
      </c>
      <c r="CG27" s="230">
        <v>5838300</v>
      </c>
      <c r="CH27" s="230">
        <v>9164025</v>
      </c>
      <c r="CI27" s="229">
        <v>1.5696000000000001</v>
      </c>
      <c r="CJ27" s="230">
        <v>424125</v>
      </c>
      <c r="CK27" s="230">
        <v>333450</v>
      </c>
      <c r="CL27" s="230">
        <v>90675</v>
      </c>
      <c r="CM27" s="229">
        <v>0.27189999999999998</v>
      </c>
      <c r="CN27" s="230">
        <v>41303925</v>
      </c>
      <c r="CO27" s="230">
        <v>37290825</v>
      </c>
      <c r="CP27" s="230">
        <v>4013100</v>
      </c>
      <c r="CQ27" s="229">
        <v>0.1076</v>
      </c>
      <c r="CR27" s="230">
        <v>38218050</v>
      </c>
      <c r="CS27" s="230">
        <v>36679500</v>
      </c>
      <c r="CT27" s="230">
        <v>1538550</v>
      </c>
      <c r="CU27" s="229">
        <v>4.19E-2</v>
      </c>
      <c r="CV27" s="230">
        <v>188355375</v>
      </c>
      <c r="CW27" s="230">
        <v>179665200</v>
      </c>
      <c r="CX27" s="230">
        <v>8690175</v>
      </c>
      <c r="CY27" s="229">
        <v>4.8399999999999999E-2</v>
      </c>
      <c r="CZ27" s="228">
        <v>24.82</v>
      </c>
      <c r="DA27" s="228">
        <v>24.99</v>
      </c>
      <c r="DB27" s="228">
        <v>-0.17</v>
      </c>
      <c r="DC27" s="228">
        <v>-0.17</v>
      </c>
      <c r="DD27" s="228">
        <v>37.549999999999997</v>
      </c>
      <c r="DE27" s="228">
        <v>37.619999999999997</v>
      </c>
      <c r="DF27" s="228">
        <v>-12.73</v>
      </c>
      <c r="DG27" s="228">
        <v>-7.0000000000000007E-2</v>
      </c>
      <c r="DH27" s="228">
        <v>25.07</v>
      </c>
      <c r="DI27" s="228">
        <v>24.09</v>
      </c>
      <c r="DJ27" s="228">
        <v>0.98</v>
      </c>
      <c r="DK27" s="228">
        <v>0.98</v>
      </c>
      <c r="DL27" s="228">
        <v>24.4</v>
      </c>
      <c r="DM27" s="228">
        <v>26.6</v>
      </c>
      <c r="DN27" s="228">
        <v>-2.2000000000000002</v>
      </c>
      <c r="DO27" s="228">
        <v>-2.2000000000000002</v>
      </c>
      <c r="DP27" s="228">
        <v>0.93</v>
      </c>
      <c r="DQ27" s="228">
        <v>0.98</v>
      </c>
      <c r="DR27" s="228">
        <v>-0.05</v>
      </c>
      <c r="DS27" s="229">
        <v>-5.0999999999999997E-2</v>
      </c>
      <c r="DT27" s="228">
        <v>250</v>
      </c>
      <c r="DU27" s="228">
        <v>240</v>
      </c>
      <c r="DV27" s="228">
        <v>0.61</v>
      </c>
      <c r="DW27" s="228">
        <v>0.55000000000000004</v>
      </c>
      <c r="DX27" s="228">
        <v>0.06</v>
      </c>
      <c r="DY27" s="229">
        <v>0.1091</v>
      </c>
      <c r="DZ27" s="229">
        <v>0.14169999999999999</v>
      </c>
      <c r="EA27" s="230">
        <v>6171750</v>
      </c>
      <c r="EB27" s="229">
        <v>5.7000000000000002E-3</v>
      </c>
      <c r="EC27" s="229">
        <v>0.14169999999999999</v>
      </c>
      <c r="ED27" s="228">
        <v>1.43</v>
      </c>
      <c r="EE27" s="229">
        <v>5.7999999999999996E-3</v>
      </c>
      <c r="EF27" s="230">
        <v>5010085</v>
      </c>
      <c r="EG27" s="230">
        <v>2943017</v>
      </c>
      <c r="EH27" s="229">
        <v>0.70240000000000002</v>
      </c>
      <c r="EI27" s="229">
        <v>0.59740000000000004</v>
      </c>
      <c r="EJ27" s="231">
        <v>121061.03</v>
      </c>
      <c r="EK27" s="231">
        <v>72177.17</v>
      </c>
      <c r="EL27" s="231">
        <v>82807.11</v>
      </c>
      <c r="EM27" s="228">
        <v>0</v>
      </c>
      <c r="EN27" s="231">
        <v>276045.31</v>
      </c>
      <c r="EO27" s="231">
        <v>251041.91</v>
      </c>
      <c r="EP27" s="231">
        <v>25003.4</v>
      </c>
      <c r="EQ27" s="229">
        <v>9.9599999999999994E-2</v>
      </c>
      <c r="ER27" s="231">
        <v>103070</v>
      </c>
      <c r="ES27" s="231">
        <v>91117</v>
      </c>
      <c r="ET27" s="231">
        <v>267451</v>
      </c>
      <c r="EU27" s="231">
        <v>372635498</v>
      </c>
      <c r="EV27" s="231">
        <v>461638</v>
      </c>
      <c r="EW27" s="231">
        <v>442395</v>
      </c>
      <c r="EX27" s="231">
        <v>19243</v>
      </c>
      <c r="EY27" s="229">
        <v>4.3499999999999997E-2</v>
      </c>
      <c r="EZ27" s="229">
        <v>0.50549999999999995</v>
      </c>
      <c r="FA27" s="227" t="s">
        <v>567</v>
      </c>
      <c r="FB27" s="161">
        <f t="shared" si="0"/>
        <v>15426450</v>
      </c>
    </row>
    <row r="28" spans="1:158" ht="17.25" hidden="1" thickBot="1" x14ac:dyDescent="0.3">
      <c r="A28" s="226">
        <v>45889</v>
      </c>
      <c r="B28" s="227" t="s">
        <v>172</v>
      </c>
      <c r="C28" s="227" t="s">
        <v>603</v>
      </c>
      <c r="D28" s="228">
        <v>5200</v>
      </c>
      <c r="E28" s="228">
        <v>116.53</v>
      </c>
      <c r="F28" s="228">
        <v>116.89</v>
      </c>
      <c r="G28" s="228">
        <v>-0.36</v>
      </c>
      <c r="H28" s="229">
        <v>-3.0999999999999999E-3</v>
      </c>
      <c r="I28" s="228">
        <v>116.33</v>
      </c>
      <c r="J28" s="228">
        <v>116.49</v>
      </c>
      <c r="K28" s="228">
        <v>-0.16</v>
      </c>
      <c r="L28" s="229">
        <v>-1.4E-3</v>
      </c>
      <c r="M28" s="228">
        <v>116.53</v>
      </c>
      <c r="N28" s="228">
        <v>116.89</v>
      </c>
      <c r="O28" s="228">
        <v>-0.36</v>
      </c>
      <c r="P28" s="229">
        <v>-3.0999999999999999E-3</v>
      </c>
      <c r="Q28" s="228">
        <v>117.14</v>
      </c>
      <c r="R28" s="228">
        <v>117.51</v>
      </c>
      <c r="S28" s="228">
        <v>-0.37</v>
      </c>
      <c r="T28" s="229">
        <v>-3.0999999999999999E-3</v>
      </c>
      <c r="U28" s="228">
        <v>117.76</v>
      </c>
      <c r="V28" s="228">
        <v>118.06</v>
      </c>
      <c r="W28" s="228">
        <v>-0.3</v>
      </c>
      <c r="X28" s="229">
        <v>-2.5000000000000001E-3</v>
      </c>
      <c r="Y28" s="228">
        <v>0.2</v>
      </c>
      <c r="Z28" s="228">
        <v>0.4</v>
      </c>
      <c r="AA28" s="228">
        <v>-0.2</v>
      </c>
      <c r="AB28" s="229">
        <v>1.6999999999999999E-3</v>
      </c>
      <c r="AC28" s="228">
        <v>0.2</v>
      </c>
      <c r="AD28" s="228">
        <v>0.4</v>
      </c>
      <c r="AE28" s="228">
        <v>-0.2</v>
      </c>
      <c r="AF28" s="229">
        <v>1.6999999999999999E-3</v>
      </c>
      <c r="AG28" s="228">
        <v>0.81</v>
      </c>
      <c r="AH28" s="228">
        <v>1.02</v>
      </c>
      <c r="AI28" s="228">
        <v>-0.21</v>
      </c>
      <c r="AJ28" s="229">
        <v>7.0000000000000001E-3</v>
      </c>
      <c r="AK28" s="228">
        <v>1.43</v>
      </c>
      <c r="AL28" s="228">
        <v>1.57</v>
      </c>
      <c r="AM28" s="228">
        <v>-0.14000000000000001</v>
      </c>
      <c r="AN28" s="229">
        <v>1.23E-2</v>
      </c>
      <c r="AO28" s="228">
        <v>116.87</v>
      </c>
      <c r="AP28" s="228">
        <v>117.51</v>
      </c>
      <c r="AQ28" s="228">
        <v>0</v>
      </c>
      <c r="AR28" s="230">
        <v>7311200</v>
      </c>
      <c r="AS28" s="230">
        <v>10909600</v>
      </c>
      <c r="AT28" s="230">
        <v>-3598400</v>
      </c>
      <c r="AU28" s="229">
        <v>-0.32979999999999998</v>
      </c>
      <c r="AV28" s="230">
        <v>4846400</v>
      </c>
      <c r="AW28" s="230">
        <v>8600800</v>
      </c>
      <c r="AX28" s="230">
        <v>-3754400</v>
      </c>
      <c r="AY28" s="229">
        <v>-0.4365</v>
      </c>
      <c r="AZ28" s="230">
        <v>2366000</v>
      </c>
      <c r="BA28" s="230">
        <v>2210000</v>
      </c>
      <c r="BB28" s="230">
        <v>156000</v>
      </c>
      <c r="BC28" s="229">
        <v>7.0599999999999996E-2</v>
      </c>
      <c r="BD28" s="230">
        <v>98800</v>
      </c>
      <c r="BE28" s="230">
        <v>98800</v>
      </c>
      <c r="BF28" s="228">
        <v>0</v>
      </c>
      <c r="BG28" s="229">
        <v>0</v>
      </c>
      <c r="BH28" s="230">
        <v>5876000</v>
      </c>
      <c r="BI28" s="230">
        <v>16718000</v>
      </c>
      <c r="BJ28" s="230">
        <v>-10842000</v>
      </c>
      <c r="BK28" s="229">
        <v>-0.64849999999999997</v>
      </c>
      <c r="BL28" s="230">
        <v>6276400</v>
      </c>
      <c r="BM28" s="230">
        <v>9349600</v>
      </c>
      <c r="BN28" s="230">
        <v>-3073200</v>
      </c>
      <c r="BO28" s="229">
        <v>-0.32869999999999999</v>
      </c>
      <c r="BP28" s="230">
        <v>19463600</v>
      </c>
      <c r="BQ28" s="230">
        <v>36977200</v>
      </c>
      <c r="BR28" s="230">
        <v>-17513600</v>
      </c>
      <c r="BS28" s="229">
        <v>-0.47360000000000002</v>
      </c>
      <c r="BT28" s="230">
        <v>2713071</v>
      </c>
      <c r="BU28" s="230">
        <v>6134220</v>
      </c>
      <c r="BV28" s="230">
        <v>-3421149</v>
      </c>
      <c r="BW28" s="229">
        <v>-0.55769999999999997</v>
      </c>
      <c r="BX28" s="230">
        <v>63778000</v>
      </c>
      <c r="BY28" s="230">
        <v>62894000</v>
      </c>
      <c r="BZ28" s="230">
        <v>884000</v>
      </c>
      <c r="CA28" s="229">
        <v>1.41E-2</v>
      </c>
      <c r="CB28" s="230">
        <v>57720000</v>
      </c>
      <c r="CC28" s="230">
        <v>58188000</v>
      </c>
      <c r="CD28" s="230">
        <v>-468000</v>
      </c>
      <c r="CE28" s="229">
        <v>-8.0000000000000002E-3</v>
      </c>
      <c r="CF28" s="230">
        <v>5293600</v>
      </c>
      <c r="CG28" s="230">
        <v>3972800</v>
      </c>
      <c r="CH28" s="230">
        <v>1320800</v>
      </c>
      <c r="CI28" s="229">
        <v>0.33250000000000002</v>
      </c>
      <c r="CJ28" s="230">
        <v>764400</v>
      </c>
      <c r="CK28" s="230">
        <v>733200</v>
      </c>
      <c r="CL28" s="230">
        <v>31200</v>
      </c>
      <c r="CM28" s="229">
        <v>4.2599999999999999E-2</v>
      </c>
      <c r="CN28" s="230">
        <v>16504800</v>
      </c>
      <c r="CO28" s="230">
        <v>16946800</v>
      </c>
      <c r="CP28" s="230">
        <v>-442000</v>
      </c>
      <c r="CQ28" s="229">
        <v>-2.6100000000000002E-2</v>
      </c>
      <c r="CR28" s="230">
        <v>15246400</v>
      </c>
      <c r="CS28" s="230">
        <v>14502800</v>
      </c>
      <c r="CT28" s="230">
        <v>743600</v>
      </c>
      <c r="CU28" s="229">
        <v>5.1299999999999998E-2</v>
      </c>
      <c r="CV28" s="230">
        <v>95529200</v>
      </c>
      <c r="CW28" s="230">
        <v>94343600</v>
      </c>
      <c r="CX28" s="230">
        <v>1185600</v>
      </c>
      <c r="CY28" s="229">
        <v>1.26E-2</v>
      </c>
      <c r="CZ28" s="228">
        <v>26.49</v>
      </c>
      <c r="DA28" s="228">
        <v>27.88</v>
      </c>
      <c r="DB28" s="228">
        <v>-1.39</v>
      </c>
      <c r="DC28" s="228">
        <v>-1.39</v>
      </c>
      <c r="DD28" s="228">
        <v>41.37</v>
      </c>
      <c r="DE28" s="228">
        <v>41.47</v>
      </c>
      <c r="DF28" s="228">
        <v>-14.88</v>
      </c>
      <c r="DG28" s="228">
        <v>-0.1</v>
      </c>
      <c r="DH28" s="228">
        <v>24.95</v>
      </c>
      <c r="DI28" s="228">
        <v>25.72</v>
      </c>
      <c r="DJ28" s="228">
        <v>-0.77</v>
      </c>
      <c r="DK28" s="228">
        <v>-0.77</v>
      </c>
      <c r="DL28" s="228">
        <v>27.92</v>
      </c>
      <c r="DM28" s="228">
        <v>31.75</v>
      </c>
      <c r="DN28" s="228">
        <v>-3.83</v>
      </c>
      <c r="DO28" s="228">
        <v>-3.83</v>
      </c>
      <c r="DP28" s="228">
        <v>0.92</v>
      </c>
      <c r="DQ28" s="228">
        <v>0.86</v>
      </c>
      <c r="DR28" s="228">
        <v>0.06</v>
      </c>
      <c r="DS28" s="229">
        <v>6.9800000000000001E-2</v>
      </c>
      <c r="DT28" s="228">
        <v>120</v>
      </c>
      <c r="DU28" s="228">
        <v>110</v>
      </c>
      <c r="DV28" s="228">
        <v>1.07</v>
      </c>
      <c r="DW28" s="228">
        <v>0.56000000000000005</v>
      </c>
      <c r="DX28" s="228">
        <v>0.51</v>
      </c>
      <c r="DY28" s="229">
        <v>0.91069999999999995</v>
      </c>
      <c r="DZ28" s="229">
        <v>9.5000000000000001E-2</v>
      </c>
      <c r="EA28" s="230">
        <v>4706000</v>
      </c>
      <c r="EB28" s="229">
        <v>5.1999999999999998E-3</v>
      </c>
      <c r="EC28" s="229">
        <v>9.5000000000000001E-2</v>
      </c>
      <c r="ED28" s="228">
        <v>0.64</v>
      </c>
      <c r="EE28" s="229">
        <v>5.4999999999999997E-3</v>
      </c>
      <c r="EF28" s="230">
        <v>1228249</v>
      </c>
      <c r="EG28" s="230">
        <v>3367618</v>
      </c>
      <c r="EH28" s="229">
        <v>-0.63529999999999998</v>
      </c>
      <c r="EI28" s="229">
        <v>0.45269999999999999</v>
      </c>
      <c r="EJ28" s="231">
        <v>7066.33</v>
      </c>
      <c r="EK28" s="231">
        <v>7138.73</v>
      </c>
      <c r="EL28" s="231">
        <v>8561.09</v>
      </c>
      <c r="EM28" s="228">
        <v>0</v>
      </c>
      <c r="EN28" s="231">
        <v>22766.15</v>
      </c>
      <c r="EO28" s="231">
        <v>43202.09</v>
      </c>
      <c r="EP28" s="231">
        <v>-20435.939999999999</v>
      </c>
      <c r="EQ28" s="229">
        <v>-0.47299999999999998</v>
      </c>
      <c r="ER28" s="231">
        <v>19545</v>
      </c>
      <c r="ES28" s="231">
        <v>16754</v>
      </c>
      <c r="ET28" s="231">
        <v>74362</v>
      </c>
      <c r="EU28" s="231">
        <v>242361229</v>
      </c>
      <c r="EV28" s="231">
        <v>110661</v>
      </c>
      <c r="EW28" s="231">
        <v>109448</v>
      </c>
      <c r="EX28" s="231">
        <v>1213</v>
      </c>
      <c r="EY28" s="229">
        <v>1.11E-2</v>
      </c>
      <c r="EZ28" s="229">
        <v>0.39419999999999999</v>
      </c>
      <c r="FA28" s="227" t="s">
        <v>567</v>
      </c>
      <c r="FB28" s="161">
        <f t="shared" si="0"/>
        <v>6058000</v>
      </c>
    </row>
    <row r="29" spans="1:158" ht="17.25" thickBot="1" x14ac:dyDescent="0.3">
      <c r="A29" s="226">
        <v>45889</v>
      </c>
      <c r="B29" s="227" t="s">
        <v>181</v>
      </c>
      <c r="C29" s="227" t="s">
        <v>182</v>
      </c>
      <c r="D29" s="228">
        <v>35</v>
      </c>
      <c r="E29" s="231">
        <v>55815.6</v>
      </c>
      <c r="F29" s="231">
        <v>55965.8</v>
      </c>
      <c r="G29" s="228">
        <v>-150.19999999999999</v>
      </c>
      <c r="H29" s="229">
        <v>-2.7000000000000001E-3</v>
      </c>
      <c r="I29" s="231">
        <v>55698.5</v>
      </c>
      <c r="J29" s="231">
        <v>55865.15</v>
      </c>
      <c r="K29" s="228">
        <v>-166.65</v>
      </c>
      <c r="L29" s="229">
        <v>-3.0000000000000001E-3</v>
      </c>
      <c r="M29" s="231">
        <v>55815.6</v>
      </c>
      <c r="N29" s="231">
        <v>55965.8</v>
      </c>
      <c r="O29" s="228">
        <v>-150.19999999999999</v>
      </c>
      <c r="P29" s="229">
        <v>-2.7000000000000001E-3</v>
      </c>
      <c r="Q29" s="231">
        <v>56121.599999999999</v>
      </c>
      <c r="R29" s="231">
        <v>56260.6</v>
      </c>
      <c r="S29" s="228">
        <v>-139</v>
      </c>
      <c r="T29" s="229">
        <v>-2.5000000000000001E-3</v>
      </c>
      <c r="U29" s="231">
        <v>56369</v>
      </c>
      <c r="V29" s="231">
        <v>56485.4</v>
      </c>
      <c r="W29" s="228">
        <v>-116.4</v>
      </c>
      <c r="X29" s="229">
        <v>-2.0999999999999999E-3</v>
      </c>
      <c r="Y29" s="228">
        <v>117.1</v>
      </c>
      <c r="Z29" s="228">
        <v>100.65</v>
      </c>
      <c r="AA29" s="228">
        <v>16.45</v>
      </c>
      <c r="AB29" s="229">
        <v>2.0999999999999999E-3</v>
      </c>
      <c r="AC29" s="228">
        <v>117.1</v>
      </c>
      <c r="AD29" s="228">
        <v>100.65</v>
      </c>
      <c r="AE29" s="228">
        <v>16.45</v>
      </c>
      <c r="AF29" s="229">
        <v>2.0999999999999999E-3</v>
      </c>
      <c r="AG29" s="228">
        <v>423.1</v>
      </c>
      <c r="AH29" s="228">
        <v>395.45</v>
      </c>
      <c r="AI29" s="228">
        <v>27.65</v>
      </c>
      <c r="AJ29" s="229">
        <v>7.6E-3</v>
      </c>
      <c r="AK29" s="228">
        <v>670.5</v>
      </c>
      <c r="AL29" s="228">
        <v>620.25</v>
      </c>
      <c r="AM29" s="228">
        <v>50.25</v>
      </c>
      <c r="AN29" s="229">
        <v>1.2E-2</v>
      </c>
      <c r="AO29" s="231">
        <v>55807.19</v>
      </c>
      <c r="AP29" s="231">
        <v>56108.98</v>
      </c>
      <c r="AQ29" s="228">
        <v>0</v>
      </c>
      <c r="AR29" s="230">
        <v>671300</v>
      </c>
      <c r="AS29" s="230">
        <v>739655</v>
      </c>
      <c r="AT29" s="230">
        <v>-68355</v>
      </c>
      <c r="AU29" s="229">
        <v>-9.2399999999999996E-2</v>
      </c>
      <c r="AV29" s="230">
        <v>547890</v>
      </c>
      <c r="AW29" s="230">
        <v>644280</v>
      </c>
      <c r="AX29" s="230">
        <v>-96390</v>
      </c>
      <c r="AY29" s="229">
        <v>-0.14960000000000001</v>
      </c>
      <c r="AZ29" s="230">
        <v>105665</v>
      </c>
      <c r="BA29" s="230">
        <v>81690</v>
      </c>
      <c r="BB29" s="230">
        <v>23975</v>
      </c>
      <c r="BC29" s="229">
        <v>0.29349999999999998</v>
      </c>
      <c r="BD29" s="230">
        <v>17745</v>
      </c>
      <c r="BE29" s="230">
        <v>13685</v>
      </c>
      <c r="BF29" s="230">
        <v>4060</v>
      </c>
      <c r="BG29" s="229">
        <v>0.29670000000000002</v>
      </c>
      <c r="BH29" s="230">
        <v>64150625</v>
      </c>
      <c r="BI29" s="230">
        <v>64120980</v>
      </c>
      <c r="BJ29" s="230">
        <v>29645</v>
      </c>
      <c r="BK29" s="229">
        <v>5.0000000000000001E-4</v>
      </c>
      <c r="BL29" s="230">
        <v>57900080</v>
      </c>
      <c r="BM29" s="230">
        <v>52280095</v>
      </c>
      <c r="BN29" s="230">
        <v>5619985</v>
      </c>
      <c r="BO29" s="229">
        <v>0.1075</v>
      </c>
      <c r="BP29" s="230">
        <v>122722005</v>
      </c>
      <c r="BQ29" s="230">
        <v>117140730</v>
      </c>
      <c r="BR29" s="230">
        <v>5581275</v>
      </c>
      <c r="BS29" s="229">
        <v>4.7600000000000003E-2</v>
      </c>
      <c r="BT29" s="228">
        <v>0</v>
      </c>
      <c r="BU29" s="228">
        <v>0</v>
      </c>
      <c r="BV29" s="228">
        <v>0</v>
      </c>
      <c r="BW29" s="229">
        <v>0</v>
      </c>
      <c r="BX29" s="230">
        <v>2955050</v>
      </c>
      <c r="BY29" s="230">
        <v>2881305</v>
      </c>
      <c r="BZ29" s="230">
        <v>73745</v>
      </c>
      <c r="CA29" s="229">
        <v>2.5600000000000001E-2</v>
      </c>
      <c r="CB29" s="230">
        <v>2608025</v>
      </c>
      <c r="CC29" s="230">
        <v>2565850</v>
      </c>
      <c r="CD29" s="230">
        <v>42175</v>
      </c>
      <c r="CE29" s="229">
        <v>1.6400000000000001E-2</v>
      </c>
      <c r="CF29" s="230">
        <v>284900</v>
      </c>
      <c r="CG29" s="230">
        <v>259140</v>
      </c>
      <c r="CH29" s="230">
        <v>25760</v>
      </c>
      <c r="CI29" s="229">
        <v>9.9400000000000002E-2</v>
      </c>
      <c r="CJ29" s="230">
        <v>62125</v>
      </c>
      <c r="CK29" s="230">
        <v>56315</v>
      </c>
      <c r="CL29" s="230">
        <v>5810</v>
      </c>
      <c r="CM29" s="229">
        <v>0.1032</v>
      </c>
      <c r="CN29" s="230">
        <v>23096320</v>
      </c>
      <c r="CO29" s="230">
        <v>21488515</v>
      </c>
      <c r="CP29" s="230">
        <v>1607805</v>
      </c>
      <c r="CQ29" s="229">
        <v>7.4800000000000005E-2</v>
      </c>
      <c r="CR29" s="230">
        <v>17587045</v>
      </c>
      <c r="CS29" s="230">
        <v>17670650</v>
      </c>
      <c r="CT29" s="230">
        <v>-83605</v>
      </c>
      <c r="CU29" s="229">
        <v>-4.7000000000000002E-3</v>
      </c>
      <c r="CV29" s="230">
        <v>43638415</v>
      </c>
      <c r="CW29" s="230">
        <v>42040470</v>
      </c>
      <c r="CX29" s="230">
        <v>1597945</v>
      </c>
      <c r="CY29" s="229">
        <v>3.7999999999999999E-2</v>
      </c>
      <c r="CZ29" s="228">
        <v>11.8</v>
      </c>
      <c r="DA29" s="228">
        <v>12.01</v>
      </c>
      <c r="DB29" s="228">
        <v>-0.21</v>
      </c>
      <c r="DC29" s="228">
        <v>-0.21</v>
      </c>
      <c r="DD29" s="228">
        <v>18.22</v>
      </c>
      <c r="DE29" s="228">
        <v>18.260000000000002</v>
      </c>
      <c r="DF29" s="228">
        <v>-6.42</v>
      </c>
      <c r="DG29" s="228">
        <v>-0.04</v>
      </c>
      <c r="DH29" s="228">
        <v>11.62</v>
      </c>
      <c r="DI29" s="228">
        <v>11.57</v>
      </c>
      <c r="DJ29" s="228">
        <v>0.05</v>
      </c>
      <c r="DK29" s="228">
        <v>0.05</v>
      </c>
      <c r="DL29" s="228">
        <v>12</v>
      </c>
      <c r="DM29" s="228">
        <v>12.55</v>
      </c>
      <c r="DN29" s="228">
        <v>-0.55000000000000004</v>
      </c>
      <c r="DO29" s="228">
        <v>-0.55000000000000004</v>
      </c>
      <c r="DP29" s="228">
        <v>0.76</v>
      </c>
      <c r="DQ29" s="228">
        <v>0.82</v>
      </c>
      <c r="DR29" s="228">
        <v>-0.06</v>
      </c>
      <c r="DS29" s="229">
        <v>-7.3200000000000001E-2</v>
      </c>
      <c r="DT29" s="231">
        <v>57000</v>
      </c>
      <c r="DU29" s="231">
        <v>57000</v>
      </c>
      <c r="DV29" s="228">
        <v>0.9</v>
      </c>
      <c r="DW29" s="228">
        <v>0.82</v>
      </c>
      <c r="DX29" s="228">
        <v>0.08</v>
      </c>
      <c r="DY29" s="229">
        <v>9.7600000000000006E-2</v>
      </c>
      <c r="DZ29" s="229">
        <v>0.1174</v>
      </c>
      <c r="EA29" s="230">
        <v>315455</v>
      </c>
      <c r="EB29" s="229">
        <v>5.4999999999999997E-3</v>
      </c>
      <c r="EC29" s="229">
        <v>0.1174</v>
      </c>
      <c r="ED29" s="228">
        <v>301.79000000000002</v>
      </c>
      <c r="EE29" s="229">
        <v>5.4000000000000003E-3</v>
      </c>
      <c r="EF29" s="228">
        <v>0</v>
      </c>
      <c r="EG29" s="228">
        <v>0</v>
      </c>
      <c r="EH29" s="229">
        <v>0</v>
      </c>
      <c r="EI29" s="229">
        <v>0</v>
      </c>
      <c r="EJ29" s="231">
        <v>36510956.140000001</v>
      </c>
      <c r="EK29" s="231">
        <v>31960360.190000001</v>
      </c>
      <c r="EL29" s="231">
        <v>375048.57</v>
      </c>
      <c r="EM29" s="228">
        <v>0</v>
      </c>
      <c r="EN29" s="231">
        <v>68846364.900000006</v>
      </c>
      <c r="EO29" s="231">
        <v>65831635.359999999</v>
      </c>
      <c r="EP29" s="231">
        <v>3014729.54</v>
      </c>
      <c r="EQ29" s="229">
        <v>4.58E-2</v>
      </c>
      <c r="ER29" s="231">
        <v>13307685</v>
      </c>
      <c r="ES29" s="231">
        <v>9586310</v>
      </c>
      <c r="ET29" s="231">
        <v>1650594</v>
      </c>
      <c r="EU29" s="228">
        <v>0</v>
      </c>
      <c r="EV29" s="231">
        <v>24544589</v>
      </c>
      <c r="EW29" s="231">
        <v>23639483</v>
      </c>
      <c r="EX29" s="231">
        <v>905106</v>
      </c>
      <c r="EY29" s="229">
        <v>3.8300000000000001E-2</v>
      </c>
      <c r="EZ29" s="229">
        <v>0</v>
      </c>
      <c r="FA29" s="227" t="s">
        <v>567</v>
      </c>
      <c r="FB29" s="161">
        <f t="shared" si="0"/>
        <v>347025</v>
      </c>
    </row>
    <row r="30" spans="1:158" ht="17.25" hidden="1" thickBot="1" x14ac:dyDescent="0.3">
      <c r="A30" s="226">
        <v>45889</v>
      </c>
      <c r="B30" s="227" t="s">
        <v>184</v>
      </c>
      <c r="C30" s="227" t="s">
        <v>673</v>
      </c>
      <c r="D30" s="228">
        <v>325</v>
      </c>
      <c r="E30" s="231">
        <v>1532.9</v>
      </c>
      <c r="F30" s="231">
        <v>1555</v>
      </c>
      <c r="G30" s="228">
        <v>-22.1</v>
      </c>
      <c r="H30" s="229">
        <v>-1.4200000000000001E-2</v>
      </c>
      <c r="I30" s="231">
        <v>1529.5</v>
      </c>
      <c r="J30" s="231">
        <v>1549.1</v>
      </c>
      <c r="K30" s="228">
        <v>-19.600000000000001</v>
      </c>
      <c r="L30" s="229">
        <v>-1.2699999999999999E-2</v>
      </c>
      <c r="M30" s="231">
        <v>1532.9</v>
      </c>
      <c r="N30" s="231">
        <v>1555</v>
      </c>
      <c r="O30" s="228">
        <v>-22.1</v>
      </c>
      <c r="P30" s="229">
        <v>-1.4200000000000001E-2</v>
      </c>
      <c r="Q30" s="231">
        <v>1541</v>
      </c>
      <c r="R30" s="231">
        <v>1563.1</v>
      </c>
      <c r="S30" s="228">
        <v>-22.1</v>
      </c>
      <c r="T30" s="229">
        <v>-1.41E-2</v>
      </c>
      <c r="U30" s="231">
        <v>1549.8</v>
      </c>
      <c r="V30" s="231">
        <v>1569.8</v>
      </c>
      <c r="W30" s="228">
        <v>-20</v>
      </c>
      <c r="X30" s="229">
        <v>-1.2699999999999999E-2</v>
      </c>
      <c r="Y30" s="228">
        <v>3.4</v>
      </c>
      <c r="Z30" s="228">
        <v>5.9</v>
      </c>
      <c r="AA30" s="228">
        <v>-2.5</v>
      </c>
      <c r="AB30" s="229">
        <v>2.2000000000000001E-3</v>
      </c>
      <c r="AC30" s="228">
        <v>3.4</v>
      </c>
      <c r="AD30" s="228">
        <v>5.9</v>
      </c>
      <c r="AE30" s="228">
        <v>-2.5</v>
      </c>
      <c r="AF30" s="229">
        <v>2.2000000000000001E-3</v>
      </c>
      <c r="AG30" s="228">
        <v>11.5</v>
      </c>
      <c r="AH30" s="228">
        <v>14</v>
      </c>
      <c r="AI30" s="228">
        <v>-2.5</v>
      </c>
      <c r="AJ30" s="229">
        <v>7.4999999999999997E-3</v>
      </c>
      <c r="AK30" s="228">
        <v>20.3</v>
      </c>
      <c r="AL30" s="228">
        <v>20.7</v>
      </c>
      <c r="AM30" s="228">
        <v>-0.4</v>
      </c>
      <c r="AN30" s="229">
        <v>1.3299999999999999E-2</v>
      </c>
      <c r="AO30" s="231">
        <v>1543.04</v>
      </c>
      <c r="AP30" s="231">
        <v>1552.04</v>
      </c>
      <c r="AQ30" s="228">
        <v>0</v>
      </c>
      <c r="AR30" s="230">
        <v>1311700</v>
      </c>
      <c r="AS30" s="230">
        <v>1752400</v>
      </c>
      <c r="AT30" s="230">
        <v>-440700</v>
      </c>
      <c r="AU30" s="229">
        <v>-0.2515</v>
      </c>
      <c r="AV30" s="230">
        <v>1053650</v>
      </c>
      <c r="AW30" s="230">
        <v>1419925</v>
      </c>
      <c r="AX30" s="230">
        <v>-366275</v>
      </c>
      <c r="AY30" s="229">
        <v>-0.25800000000000001</v>
      </c>
      <c r="AZ30" s="230">
        <v>239200</v>
      </c>
      <c r="BA30" s="230">
        <v>302250</v>
      </c>
      <c r="BB30" s="230">
        <v>-63050</v>
      </c>
      <c r="BC30" s="229">
        <v>-0.20860000000000001</v>
      </c>
      <c r="BD30" s="230">
        <v>18850</v>
      </c>
      <c r="BE30" s="230">
        <v>30225</v>
      </c>
      <c r="BF30" s="230">
        <v>-11375</v>
      </c>
      <c r="BG30" s="229">
        <v>-0.37630000000000002</v>
      </c>
      <c r="BH30" s="230">
        <v>4122300</v>
      </c>
      <c r="BI30" s="230">
        <v>4065100</v>
      </c>
      <c r="BJ30" s="230">
        <v>57200</v>
      </c>
      <c r="BK30" s="229">
        <v>1.41E-2</v>
      </c>
      <c r="BL30" s="230">
        <v>2246075</v>
      </c>
      <c r="BM30" s="230">
        <v>4550000</v>
      </c>
      <c r="BN30" s="230">
        <v>-2303925</v>
      </c>
      <c r="BO30" s="229">
        <v>-0.50639999999999996</v>
      </c>
      <c r="BP30" s="230">
        <v>7680075</v>
      </c>
      <c r="BQ30" s="230">
        <v>10367500</v>
      </c>
      <c r="BR30" s="230">
        <v>-2687425</v>
      </c>
      <c r="BS30" s="229">
        <v>-0.25919999999999999</v>
      </c>
      <c r="BT30" s="230">
        <v>1579807</v>
      </c>
      <c r="BU30" s="230">
        <v>2681192</v>
      </c>
      <c r="BV30" s="230">
        <v>-1101385</v>
      </c>
      <c r="BW30" s="229">
        <v>-0.4108</v>
      </c>
      <c r="BX30" s="230">
        <v>4996225</v>
      </c>
      <c r="BY30" s="230">
        <v>4837625</v>
      </c>
      <c r="BZ30" s="230">
        <v>158600</v>
      </c>
      <c r="CA30" s="229">
        <v>3.2800000000000003E-2</v>
      </c>
      <c r="CB30" s="230">
        <v>4369625</v>
      </c>
      <c r="CC30" s="230">
        <v>4307875</v>
      </c>
      <c r="CD30" s="230">
        <v>61750</v>
      </c>
      <c r="CE30" s="229">
        <v>1.43E-2</v>
      </c>
      <c r="CF30" s="230">
        <v>564525</v>
      </c>
      <c r="CG30" s="230">
        <v>481000</v>
      </c>
      <c r="CH30" s="230">
        <v>83525</v>
      </c>
      <c r="CI30" s="229">
        <v>0.1736</v>
      </c>
      <c r="CJ30" s="230">
        <v>62075</v>
      </c>
      <c r="CK30" s="230">
        <v>48750</v>
      </c>
      <c r="CL30" s="230">
        <v>13325</v>
      </c>
      <c r="CM30" s="229">
        <v>0.27329999999999999</v>
      </c>
      <c r="CN30" s="230">
        <v>3361475</v>
      </c>
      <c r="CO30" s="230">
        <v>2996825</v>
      </c>
      <c r="CP30" s="230">
        <v>364650</v>
      </c>
      <c r="CQ30" s="229">
        <v>0.1217</v>
      </c>
      <c r="CR30" s="230">
        <v>2089750</v>
      </c>
      <c r="CS30" s="230">
        <v>2081950</v>
      </c>
      <c r="CT30" s="230">
        <v>7800</v>
      </c>
      <c r="CU30" s="229">
        <v>3.7000000000000002E-3</v>
      </c>
      <c r="CV30" s="230">
        <v>10447450</v>
      </c>
      <c r="CW30" s="230">
        <v>9916400</v>
      </c>
      <c r="CX30" s="230">
        <v>531050</v>
      </c>
      <c r="CY30" s="229">
        <v>5.3600000000000002E-2</v>
      </c>
      <c r="CZ30" s="228">
        <v>41.42</v>
      </c>
      <c r="DA30" s="228">
        <v>37.57</v>
      </c>
      <c r="DB30" s="228">
        <v>3.85</v>
      </c>
      <c r="DC30" s="228">
        <v>3.85</v>
      </c>
      <c r="DD30" s="228">
        <v>55.75</v>
      </c>
      <c r="DE30" s="228">
        <v>55.86</v>
      </c>
      <c r="DF30" s="228">
        <v>-14.33</v>
      </c>
      <c r="DG30" s="228">
        <v>-0.11</v>
      </c>
      <c r="DH30" s="228">
        <v>42.51</v>
      </c>
      <c r="DI30" s="228">
        <v>38.4</v>
      </c>
      <c r="DJ30" s="228">
        <v>4.1100000000000003</v>
      </c>
      <c r="DK30" s="228">
        <v>4.1100000000000003</v>
      </c>
      <c r="DL30" s="228">
        <v>39.42</v>
      </c>
      <c r="DM30" s="228">
        <v>36.83</v>
      </c>
      <c r="DN30" s="228">
        <v>2.59</v>
      </c>
      <c r="DO30" s="228">
        <v>2.59</v>
      </c>
      <c r="DP30" s="228">
        <v>0.62</v>
      </c>
      <c r="DQ30" s="228">
        <v>0.69</v>
      </c>
      <c r="DR30" s="228">
        <v>-7.0000000000000007E-2</v>
      </c>
      <c r="DS30" s="229">
        <v>-0.1014</v>
      </c>
      <c r="DT30" s="231">
        <v>1600</v>
      </c>
      <c r="DU30" s="231">
        <v>1500</v>
      </c>
      <c r="DV30" s="228">
        <v>0.54</v>
      </c>
      <c r="DW30" s="228">
        <v>1.1200000000000001</v>
      </c>
      <c r="DX30" s="228">
        <v>-0.57999999999999996</v>
      </c>
      <c r="DY30" s="229">
        <v>-0.51790000000000003</v>
      </c>
      <c r="DZ30" s="229">
        <v>0.12540000000000001</v>
      </c>
      <c r="EA30" s="230">
        <v>529750</v>
      </c>
      <c r="EB30" s="229">
        <v>5.3E-3</v>
      </c>
      <c r="EC30" s="229">
        <v>0.12540000000000001</v>
      </c>
      <c r="ED30" s="228">
        <v>9</v>
      </c>
      <c r="EE30" s="229">
        <v>5.7999999999999996E-3</v>
      </c>
      <c r="EF30" s="230">
        <v>489231</v>
      </c>
      <c r="EG30" s="230">
        <v>1135654</v>
      </c>
      <c r="EH30" s="229">
        <v>-0.56920000000000004</v>
      </c>
      <c r="EI30" s="229">
        <v>0.30969999999999998</v>
      </c>
      <c r="EJ30" s="231">
        <v>67987.34</v>
      </c>
      <c r="EK30" s="231">
        <v>34380.519999999997</v>
      </c>
      <c r="EL30" s="231">
        <v>20264.29</v>
      </c>
      <c r="EM30" s="228">
        <v>0</v>
      </c>
      <c r="EN30" s="231">
        <v>122632.15</v>
      </c>
      <c r="EO30" s="231">
        <v>164844.71</v>
      </c>
      <c r="EP30" s="231">
        <v>-42212.56</v>
      </c>
      <c r="EQ30" s="229">
        <v>-0.25609999999999999</v>
      </c>
      <c r="ER30" s="231">
        <v>56516</v>
      </c>
      <c r="ES30" s="231">
        <v>32364</v>
      </c>
      <c r="ET30" s="231">
        <v>76643</v>
      </c>
      <c r="EU30" s="231">
        <v>18382289</v>
      </c>
      <c r="EV30" s="231">
        <v>165523</v>
      </c>
      <c r="EW30" s="231">
        <v>158305</v>
      </c>
      <c r="EX30" s="231">
        <v>7218</v>
      </c>
      <c r="EY30" s="229">
        <v>4.5600000000000002E-2</v>
      </c>
      <c r="EZ30" s="229">
        <v>0.56830000000000003</v>
      </c>
      <c r="FA30" s="227" t="s">
        <v>567</v>
      </c>
      <c r="FB30" s="161">
        <f t="shared" si="0"/>
        <v>626600</v>
      </c>
    </row>
    <row r="31" spans="1:158" ht="17.25" hidden="1" thickBot="1" x14ac:dyDescent="0.3">
      <c r="A31" s="226">
        <v>45889</v>
      </c>
      <c r="B31" s="227" t="s">
        <v>184</v>
      </c>
      <c r="C31" s="227" t="s">
        <v>185</v>
      </c>
      <c r="D31" s="228">
        <v>2850</v>
      </c>
      <c r="E31" s="228">
        <v>372.15</v>
      </c>
      <c r="F31" s="228">
        <v>380.4</v>
      </c>
      <c r="G31" s="228">
        <v>-8.25</v>
      </c>
      <c r="H31" s="229">
        <v>-2.1700000000000001E-2</v>
      </c>
      <c r="I31" s="228">
        <v>371.85</v>
      </c>
      <c r="J31" s="228">
        <v>380.05</v>
      </c>
      <c r="K31" s="228">
        <v>-8.1999999999999993</v>
      </c>
      <c r="L31" s="229">
        <v>-2.1600000000000001E-2</v>
      </c>
      <c r="M31" s="228">
        <v>372.15</v>
      </c>
      <c r="N31" s="228">
        <v>380.4</v>
      </c>
      <c r="O31" s="228">
        <v>-8.25</v>
      </c>
      <c r="P31" s="229">
        <v>-2.1700000000000001E-2</v>
      </c>
      <c r="Q31" s="228">
        <v>374.4</v>
      </c>
      <c r="R31" s="228">
        <v>382.6</v>
      </c>
      <c r="S31" s="228">
        <v>-8.1999999999999993</v>
      </c>
      <c r="T31" s="229">
        <v>-2.1399999999999999E-2</v>
      </c>
      <c r="U31" s="228">
        <v>376.25</v>
      </c>
      <c r="V31" s="228">
        <v>384.4</v>
      </c>
      <c r="W31" s="228">
        <v>-8.15</v>
      </c>
      <c r="X31" s="229">
        <v>-2.12E-2</v>
      </c>
      <c r="Y31" s="228">
        <v>0.3</v>
      </c>
      <c r="Z31" s="228">
        <v>0.35</v>
      </c>
      <c r="AA31" s="228">
        <v>-0.05</v>
      </c>
      <c r="AB31" s="229">
        <v>8.0000000000000004E-4</v>
      </c>
      <c r="AC31" s="228">
        <v>0.3</v>
      </c>
      <c r="AD31" s="228">
        <v>0.35</v>
      </c>
      <c r="AE31" s="228">
        <v>-0.05</v>
      </c>
      <c r="AF31" s="229">
        <v>8.0000000000000004E-4</v>
      </c>
      <c r="AG31" s="228">
        <v>2.5499999999999998</v>
      </c>
      <c r="AH31" s="228">
        <v>2.5499999999999998</v>
      </c>
      <c r="AI31" s="228">
        <v>0</v>
      </c>
      <c r="AJ31" s="229">
        <v>6.8999999999999999E-3</v>
      </c>
      <c r="AK31" s="228">
        <v>4.4000000000000004</v>
      </c>
      <c r="AL31" s="228">
        <v>4.3499999999999996</v>
      </c>
      <c r="AM31" s="228">
        <v>0.05</v>
      </c>
      <c r="AN31" s="229">
        <v>1.18E-2</v>
      </c>
      <c r="AO31" s="228">
        <v>375.52</v>
      </c>
      <c r="AP31" s="228">
        <v>377.09</v>
      </c>
      <c r="AQ31" s="228">
        <v>0</v>
      </c>
      <c r="AR31" s="230">
        <v>40213500</v>
      </c>
      <c r="AS31" s="230">
        <v>24108150</v>
      </c>
      <c r="AT31" s="230">
        <v>16105350</v>
      </c>
      <c r="AU31" s="229">
        <v>0.66800000000000004</v>
      </c>
      <c r="AV31" s="230">
        <v>29480400</v>
      </c>
      <c r="AW31" s="230">
        <v>18713100</v>
      </c>
      <c r="AX31" s="230">
        <v>10767300</v>
      </c>
      <c r="AY31" s="229">
        <v>0.57540000000000002</v>
      </c>
      <c r="AZ31" s="230">
        <v>9630150</v>
      </c>
      <c r="BA31" s="230">
        <v>4636950</v>
      </c>
      <c r="BB31" s="230">
        <v>4993200</v>
      </c>
      <c r="BC31" s="229">
        <v>1.0768</v>
      </c>
      <c r="BD31" s="230">
        <v>1102950</v>
      </c>
      <c r="BE31" s="230">
        <v>758100</v>
      </c>
      <c r="BF31" s="230">
        <v>344850</v>
      </c>
      <c r="BG31" s="229">
        <v>0.45490000000000003</v>
      </c>
      <c r="BH31" s="230">
        <v>156661650</v>
      </c>
      <c r="BI31" s="230">
        <v>87771450</v>
      </c>
      <c r="BJ31" s="230">
        <v>68890200</v>
      </c>
      <c r="BK31" s="229">
        <v>0.78490000000000004</v>
      </c>
      <c r="BL31" s="230">
        <v>81772200</v>
      </c>
      <c r="BM31" s="230">
        <v>46873950</v>
      </c>
      <c r="BN31" s="230">
        <v>34898250</v>
      </c>
      <c r="BO31" s="229">
        <v>0.74450000000000005</v>
      </c>
      <c r="BP31" s="230">
        <v>278647350</v>
      </c>
      <c r="BQ31" s="230">
        <v>158753550</v>
      </c>
      <c r="BR31" s="230">
        <v>119893800</v>
      </c>
      <c r="BS31" s="229">
        <v>0.75519999999999998</v>
      </c>
      <c r="BT31" s="230">
        <v>21174135</v>
      </c>
      <c r="BU31" s="230">
        <v>11755370</v>
      </c>
      <c r="BV31" s="230">
        <v>9418765</v>
      </c>
      <c r="BW31" s="229">
        <v>0.80120000000000002</v>
      </c>
      <c r="BX31" s="230">
        <v>131137050</v>
      </c>
      <c r="BY31" s="230">
        <v>125009550</v>
      </c>
      <c r="BZ31" s="230">
        <v>6127500</v>
      </c>
      <c r="CA31" s="229">
        <v>4.9000000000000002E-2</v>
      </c>
      <c r="CB31" s="230">
        <v>111728550</v>
      </c>
      <c r="CC31" s="230">
        <v>112674750</v>
      </c>
      <c r="CD31" s="230">
        <v>-946200</v>
      </c>
      <c r="CE31" s="229">
        <v>-8.3999999999999995E-3</v>
      </c>
      <c r="CF31" s="230">
        <v>18000600</v>
      </c>
      <c r="CG31" s="230">
        <v>11351550</v>
      </c>
      <c r="CH31" s="230">
        <v>6649050</v>
      </c>
      <c r="CI31" s="229">
        <v>0.5857</v>
      </c>
      <c r="CJ31" s="230">
        <v>1407900</v>
      </c>
      <c r="CK31" s="230">
        <v>983250</v>
      </c>
      <c r="CL31" s="230">
        <v>424650</v>
      </c>
      <c r="CM31" s="229">
        <v>0.43190000000000001</v>
      </c>
      <c r="CN31" s="230">
        <v>91872600</v>
      </c>
      <c r="CO31" s="230">
        <v>74310900</v>
      </c>
      <c r="CP31" s="230">
        <v>17561700</v>
      </c>
      <c r="CQ31" s="229">
        <v>0.23630000000000001</v>
      </c>
      <c r="CR31" s="230">
        <v>45793800</v>
      </c>
      <c r="CS31" s="230">
        <v>39954150</v>
      </c>
      <c r="CT31" s="230">
        <v>5839650</v>
      </c>
      <c r="CU31" s="229">
        <v>0.1462</v>
      </c>
      <c r="CV31" s="230">
        <v>268803450</v>
      </c>
      <c r="CW31" s="230">
        <v>239274600</v>
      </c>
      <c r="CX31" s="230">
        <v>29528850</v>
      </c>
      <c r="CY31" s="229">
        <v>0.1234</v>
      </c>
      <c r="CZ31" s="228">
        <v>30.62</v>
      </c>
      <c r="DA31" s="228">
        <v>27.02</v>
      </c>
      <c r="DB31" s="228">
        <v>3.6</v>
      </c>
      <c r="DC31" s="228">
        <v>3.6</v>
      </c>
      <c r="DD31" s="228">
        <v>39.520000000000003</v>
      </c>
      <c r="DE31" s="228">
        <v>39.51</v>
      </c>
      <c r="DF31" s="228">
        <v>-8.9</v>
      </c>
      <c r="DG31" s="228">
        <v>0.01</v>
      </c>
      <c r="DH31" s="228">
        <v>31.64</v>
      </c>
      <c r="DI31" s="228">
        <v>27.44</v>
      </c>
      <c r="DJ31" s="228">
        <v>4.2</v>
      </c>
      <c r="DK31" s="228">
        <v>4.2</v>
      </c>
      <c r="DL31" s="228">
        <v>28.68</v>
      </c>
      <c r="DM31" s="228">
        <v>26.23</v>
      </c>
      <c r="DN31" s="228">
        <v>2.4500000000000002</v>
      </c>
      <c r="DO31" s="228">
        <v>2.4500000000000002</v>
      </c>
      <c r="DP31" s="228">
        <v>0.5</v>
      </c>
      <c r="DQ31" s="228">
        <v>0.54</v>
      </c>
      <c r="DR31" s="228">
        <v>-0.04</v>
      </c>
      <c r="DS31" s="229">
        <v>-7.4099999999999999E-2</v>
      </c>
      <c r="DT31" s="228">
        <v>390</v>
      </c>
      <c r="DU31" s="228">
        <v>380</v>
      </c>
      <c r="DV31" s="228">
        <v>0.52</v>
      </c>
      <c r="DW31" s="228">
        <v>0.53</v>
      </c>
      <c r="DX31" s="228">
        <v>-0.01</v>
      </c>
      <c r="DY31" s="229">
        <v>-1.89E-2</v>
      </c>
      <c r="DZ31" s="229">
        <v>0.14799999999999999</v>
      </c>
      <c r="EA31" s="230">
        <v>12334800</v>
      </c>
      <c r="EB31" s="229">
        <v>6.0000000000000001E-3</v>
      </c>
      <c r="EC31" s="229">
        <v>0.14799999999999999</v>
      </c>
      <c r="ED31" s="228">
        <v>1.57</v>
      </c>
      <c r="EE31" s="229">
        <v>4.1999999999999997E-3</v>
      </c>
      <c r="EF31" s="230">
        <v>10565886</v>
      </c>
      <c r="EG31" s="230">
        <v>5218549</v>
      </c>
      <c r="EH31" s="229">
        <v>1.0246999999999999</v>
      </c>
      <c r="EI31" s="229">
        <v>0.499</v>
      </c>
      <c r="EJ31" s="231">
        <v>616966.43999999994</v>
      </c>
      <c r="EK31" s="231">
        <v>309442.27</v>
      </c>
      <c r="EL31" s="231">
        <v>151199.4</v>
      </c>
      <c r="EM31" s="228">
        <v>0</v>
      </c>
      <c r="EN31" s="231">
        <v>1077608.1100000001</v>
      </c>
      <c r="EO31" s="231">
        <v>617566.84</v>
      </c>
      <c r="EP31" s="231">
        <v>460041.27</v>
      </c>
      <c r="EQ31" s="229">
        <v>0.74490000000000001</v>
      </c>
      <c r="ER31" s="231">
        <v>367425</v>
      </c>
      <c r="ES31" s="231">
        <v>174144</v>
      </c>
      <c r="ET31" s="231">
        <v>488489</v>
      </c>
      <c r="EU31" s="231">
        <v>714371379</v>
      </c>
      <c r="EV31" s="231">
        <v>1030058</v>
      </c>
      <c r="EW31" s="231">
        <v>929278</v>
      </c>
      <c r="EX31" s="231">
        <v>100780</v>
      </c>
      <c r="EY31" s="229">
        <v>0.1084</v>
      </c>
      <c r="EZ31" s="229">
        <v>0.37630000000000002</v>
      </c>
      <c r="FA31" s="227" t="s">
        <v>567</v>
      </c>
      <c r="FB31" s="161">
        <f t="shared" si="0"/>
        <v>19408500</v>
      </c>
    </row>
    <row r="32" spans="1:158" ht="17.25" hidden="1" thickBot="1" x14ac:dyDescent="0.3">
      <c r="A32" s="226">
        <v>45889</v>
      </c>
      <c r="B32" s="227" t="s">
        <v>162</v>
      </c>
      <c r="C32" s="227" t="s">
        <v>187</v>
      </c>
      <c r="D32" s="228">
        <v>500</v>
      </c>
      <c r="E32" s="231">
        <v>1160.2</v>
      </c>
      <c r="F32" s="231">
        <v>1193.0999999999999</v>
      </c>
      <c r="G32" s="228">
        <v>-32.9</v>
      </c>
      <c r="H32" s="229">
        <v>-2.76E-2</v>
      </c>
      <c r="I32" s="231">
        <v>1158.9000000000001</v>
      </c>
      <c r="J32" s="231">
        <v>1188.5</v>
      </c>
      <c r="K32" s="228">
        <v>-29.6</v>
      </c>
      <c r="L32" s="229">
        <v>-2.4899999999999999E-2</v>
      </c>
      <c r="M32" s="231">
        <v>1160.2</v>
      </c>
      <c r="N32" s="231">
        <v>1193.0999999999999</v>
      </c>
      <c r="O32" s="228">
        <v>-32.9</v>
      </c>
      <c r="P32" s="229">
        <v>-2.76E-2</v>
      </c>
      <c r="Q32" s="231">
        <v>1166.4000000000001</v>
      </c>
      <c r="R32" s="231">
        <v>1198.9000000000001</v>
      </c>
      <c r="S32" s="228">
        <v>-32.5</v>
      </c>
      <c r="T32" s="229">
        <v>-2.7099999999999999E-2</v>
      </c>
      <c r="U32" s="231">
        <v>1171.5999999999999</v>
      </c>
      <c r="V32" s="231">
        <v>1202.9000000000001</v>
      </c>
      <c r="W32" s="228">
        <v>-31.3</v>
      </c>
      <c r="X32" s="229">
        <v>-2.5999999999999999E-2</v>
      </c>
      <c r="Y32" s="228">
        <v>1.3</v>
      </c>
      <c r="Z32" s="228">
        <v>4.5999999999999996</v>
      </c>
      <c r="AA32" s="228">
        <v>-3.3</v>
      </c>
      <c r="AB32" s="229">
        <v>1.1000000000000001E-3</v>
      </c>
      <c r="AC32" s="228">
        <v>1.3</v>
      </c>
      <c r="AD32" s="228">
        <v>4.5999999999999996</v>
      </c>
      <c r="AE32" s="228">
        <v>-3.3</v>
      </c>
      <c r="AF32" s="229">
        <v>1.1000000000000001E-3</v>
      </c>
      <c r="AG32" s="228">
        <v>7.5</v>
      </c>
      <c r="AH32" s="228">
        <v>10.4</v>
      </c>
      <c r="AI32" s="228">
        <v>-2.9</v>
      </c>
      <c r="AJ32" s="229">
        <v>6.4999999999999997E-3</v>
      </c>
      <c r="AK32" s="228">
        <v>12.7</v>
      </c>
      <c r="AL32" s="228">
        <v>14.4</v>
      </c>
      <c r="AM32" s="228">
        <v>-1.7</v>
      </c>
      <c r="AN32" s="229">
        <v>1.0999999999999999E-2</v>
      </c>
      <c r="AO32" s="231">
        <v>1169.3399999999999</v>
      </c>
      <c r="AP32" s="231">
        <v>1176.31</v>
      </c>
      <c r="AQ32" s="228">
        <v>0</v>
      </c>
      <c r="AR32" s="230">
        <v>2870500</v>
      </c>
      <c r="AS32" s="230">
        <v>1471500</v>
      </c>
      <c r="AT32" s="230">
        <v>1399000</v>
      </c>
      <c r="AU32" s="229">
        <v>0.95069999999999999</v>
      </c>
      <c r="AV32" s="230">
        <v>2293500</v>
      </c>
      <c r="AW32" s="230">
        <v>1267500</v>
      </c>
      <c r="AX32" s="230">
        <v>1026000</v>
      </c>
      <c r="AY32" s="229">
        <v>0.8095</v>
      </c>
      <c r="AZ32" s="230">
        <v>540000</v>
      </c>
      <c r="BA32" s="230">
        <v>189000</v>
      </c>
      <c r="BB32" s="230">
        <v>351000</v>
      </c>
      <c r="BC32" s="229">
        <v>1.8571</v>
      </c>
      <c r="BD32" s="230">
        <v>37000</v>
      </c>
      <c r="BE32" s="230">
        <v>15000</v>
      </c>
      <c r="BF32" s="230">
        <v>22000</v>
      </c>
      <c r="BG32" s="229">
        <v>1.4666999999999999</v>
      </c>
      <c r="BH32" s="230">
        <v>4108000</v>
      </c>
      <c r="BI32" s="230">
        <v>2908000</v>
      </c>
      <c r="BJ32" s="230">
        <v>1200000</v>
      </c>
      <c r="BK32" s="229">
        <v>0.41270000000000001</v>
      </c>
      <c r="BL32" s="230">
        <v>2574000</v>
      </c>
      <c r="BM32" s="230">
        <v>1399500</v>
      </c>
      <c r="BN32" s="230">
        <v>1174500</v>
      </c>
      <c r="BO32" s="229">
        <v>0.83919999999999995</v>
      </c>
      <c r="BP32" s="230">
        <v>9552500</v>
      </c>
      <c r="BQ32" s="230">
        <v>5779000</v>
      </c>
      <c r="BR32" s="230">
        <v>3773500</v>
      </c>
      <c r="BS32" s="229">
        <v>0.65300000000000002</v>
      </c>
      <c r="BT32" s="230">
        <v>612719</v>
      </c>
      <c r="BU32" s="230">
        <v>229302</v>
      </c>
      <c r="BV32" s="230">
        <v>383417</v>
      </c>
      <c r="BW32" s="229">
        <v>1.6720999999999999</v>
      </c>
      <c r="BX32" s="230">
        <v>12357500</v>
      </c>
      <c r="BY32" s="230">
        <v>11679500</v>
      </c>
      <c r="BZ32" s="230">
        <v>678000</v>
      </c>
      <c r="CA32" s="229">
        <v>5.8099999999999999E-2</v>
      </c>
      <c r="CB32" s="230">
        <v>11386500</v>
      </c>
      <c r="CC32" s="230">
        <v>11059500</v>
      </c>
      <c r="CD32" s="230">
        <v>327000</v>
      </c>
      <c r="CE32" s="229">
        <v>2.9600000000000001E-2</v>
      </c>
      <c r="CF32" s="230">
        <v>925000</v>
      </c>
      <c r="CG32" s="230">
        <v>593000</v>
      </c>
      <c r="CH32" s="230">
        <v>332000</v>
      </c>
      <c r="CI32" s="229">
        <v>0.55989999999999995</v>
      </c>
      <c r="CJ32" s="230">
        <v>46000</v>
      </c>
      <c r="CK32" s="230">
        <v>27000</v>
      </c>
      <c r="CL32" s="230">
        <v>19000</v>
      </c>
      <c r="CM32" s="229">
        <v>0.70369999999999999</v>
      </c>
      <c r="CN32" s="230">
        <v>3746500</v>
      </c>
      <c r="CO32" s="230">
        <v>3405000</v>
      </c>
      <c r="CP32" s="230">
        <v>341500</v>
      </c>
      <c r="CQ32" s="229">
        <v>0.1003</v>
      </c>
      <c r="CR32" s="230">
        <v>2534500</v>
      </c>
      <c r="CS32" s="230">
        <v>2459500</v>
      </c>
      <c r="CT32" s="230">
        <v>75000</v>
      </c>
      <c r="CU32" s="229">
        <v>3.0499999999999999E-2</v>
      </c>
      <c r="CV32" s="230">
        <v>18638500</v>
      </c>
      <c r="CW32" s="230">
        <v>17544000</v>
      </c>
      <c r="CX32" s="230">
        <v>1094500</v>
      </c>
      <c r="CY32" s="229">
        <v>6.2399999999999997E-2</v>
      </c>
      <c r="CZ32" s="228">
        <v>29.12</v>
      </c>
      <c r="DA32" s="228">
        <v>26.39</v>
      </c>
      <c r="DB32" s="228">
        <v>2.73</v>
      </c>
      <c r="DC32" s="228">
        <v>2.73</v>
      </c>
      <c r="DD32" s="228">
        <v>39.51</v>
      </c>
      <c r="DE32" s="228">
        <v>39.43</v>
      </c>
      <c r="DF32" s="228">
        <v>-10.39</v>
      </c>
      <c r="DG32" s="228">
        <v>0.08</v>
      </c>
      <c r="DH32" s="228">
        <v>29.33</v>
      </c>
      <c r="DI32" s="228">
        <v>25.82</v>
      </c>
      <c r="DJ32" s="228">
        <v>3.51</v>
      </c>
      <c r="DK32" s="228">
        <v>3.51</v>
      </c>
      <c r="DL32" s="228">
        <v>28.78</v>
      </c>
      <c r="DM32" s="228">
        <v>27.56</v>
      </c>
      <c r="DN32" s="228">
        <v>1.22</v>
      </c>
      <c r="DO32" s="228">
        <v>1.22</v>
      </c>
      <c r="DP32" s="228">
        <v>0.68</v>
      </c>
      <c r="DQ32" s="228">
        <v>0.72</v>
      </c>
      <c r="DR32" s="228">
        <v>-0.04</v>
      </c>
      <c r="DS32" s="229">
        <v>-5.5599999999999997E-2</v>
      </c>
      <c r="DT32" s="231">
        <v>1200</v>
      </c>
      <c r="DU32" s="231">
        <v>1160</v>
      </c>
      <c r="DV32" s="228">
        <v>0.63</v>
      </c>
      <c r="DW32" s="228">
        <v>0.48</v>
      </c>
      <c r="DX32" s="228">
        <v>0.15</v>
      </c>
      <c r="DY32" s="229">
        <v>0.3125</v>
      </c>
      <c r="DZ32" s="229">
        <v>7.8600000000000003E-2</v>
      </c>
      <c r="EA32" s="230">
        <v>620000</v>
      </c>
      <c r="EB32" s="229">
        <v>5.3E-3</v>
      </c>
      <c r="EC32" s="229">
        <v>7.8600000000000003E-2</v>
      </c>
      <c r="ED32" s="228">
        <v>6.97</v>
      </c>
      <c r="EE32" s="229">
        <v>6.0000000000000001E-3</v>
      </c>
      <c r="EF32" s="230">
        <v>319078</v>
      </c>
      <c r="EG32" s="230">
        <v>95389</v>
      </c>
      <c r="EH32" s="229">
        <v>2.3450000000000002</v>
      </c>
      <c r="EI32" s="229">
        <v>0.52080000000000004</v>
      </c>
      <c r="EJ32" s="231">
        <v>49890.47</v>
      </c>
      <c r="EK32" s="231">
        <v>30196.33</v>
      </c>
      <c r="EL32" s="231">
        <v>33607.71</v>
      </c>
      <c r="EM32" s="228">
        <v>0</v>
      </c>
      <c r="EN32" s="231">
        <v>113694.51</v>
      </c>
      <c r="EO32" s="231">
        <v>69822.66</v>
      </c>
      <c r="EP32" s="231">
        <v>43871.85</v>
      </c>
      <c r="EQ32" s="229">
        <v>0.62829999999999997</v>
      </c>
      <c r="ER32" s="231">
        <v>45941</v>
      </c>
      <c r="ES32" s="231">
        <v>29425</v>
      </c>
      <c r="ET32" s="231">
        <v>143434</v>
      </c>
      <c r="EU32" s="231">
        <v>53477001</v>
      </c>
      <c r="EV32" s="231">
        <v>218801</v>
      </c>
      <c r="EW32" s="231">
        <v>209861</v>
      </c>
      <c r="EX32" s="231">
        <v>8940</v>
      </c>
      <c r="EY32" s="229">
        <v>4.2599999999999999E-2</v>
      </c>
      <c r="EZ32" s="229">
        <v>0.34849999999999998</v>
      </c>
      <c r="FA32" s="227" t="s">
        <v>567</v>
      </c>
      <c r="FB32" s="161">
        <f t="shared" si="0"/>
        <v>971000</v>
      </c>
    </row>
    <row r="33" spans="1:158" ht="17.25" hidden="1" thickBot="1" x14ac:dyDescent="0.3">
      <c r="A33" s="226">
        <v>45889</v>
      </c>
      <c r="B33" s="227" t="s">
        <v>188</v>
      </c>
      <c r="C33" s="227" t="s">
        <v>189</v>
      </c>
      <c r="D33" s="228">
        <v>475</v>
      </c>
      <c r="E33" s="231">
        <v>1929.2</v>
      </c>
      <c r="F33" s="231">
        <v>1915</v>
      </c>
      <c r="G33" s="228">
        <v>14.2</v>
      </c>
      <c r="H33" s="229">
        <v>7.4000000000000003E-3</v>
      </c>
      <c r="I33" s="231">
        <v>1928.4</v>
      </c>
      <c r="J33" s="231">
        <v>1909.7</v>
      </c>
      <c r="K33" s="228">
        <v>18.7</v>
      </c>
      <c r="L33" s="229">
        <v>9.7999999999999997E-3</v>
      </c>
      <c r="M33" s="231">
        <v>1929.2</v>
      </c>
      <c r="N33" s="231">
        <v>1915</v>
      </c>
      <c r="O33" s="228">
        <v>14.2</v>
      </c>
      <c r="P33" s="229">
        <v>7.4000000000000003E-3</v>
      </c>
      <c r="Q33" s="231">
        <v>1940.8</v>
      </c>
      <c r="R33" s="231">
        <v>1926.3</v>
      </c>
      <c r="S33" s="228">
        <v>14.5</v>
      </c>
      <c r="T33" s="229">
        <v>7.4999999999999997E-3</v>
      </c>
      <c r="U33" s="231">
        <v>1950.7</v>
      </c>
      <c r="V33" s="231">
        <v>1935.7</v>
      </c>
      <c r="W33" s="228">
        <v>15</v>
      </c>
      <c r="X33" s="229">
        <v>7.7000000000000002E-3</v>
      </c>
      <c r="Y33" s="228">
        <v>0.8</v>
      </c>
      <c r="Z33" s="228">
        <v>5.3</v>
      </c>
      <c r="AA33" s="228">
        <v>-4.5</v>
      </c>
      <c r="AB33" s="229">
        <v>4.0000000000000002E-4</v>
      </c>
      <c r="AC33" s="228">
        <v>0.8</v>
      </c>
      <c r="AD33" s="228">
        <v>5.3</v>
      </c>
      <c r="AE33" s="228">
        <v>-4.5</v>
      </c>
      <c r="AF33" s="229">
        <v>4.0000000000000002E-4</v>
      </c>
      <c r="AG33" s="228">
        <v>12.4</v>
      </c>
      <c r="AH33" s="228">
        <v>16.600000000000001</v>
      </c>
      <c r="AI33" s="228">
        <v>-4.2</v>
      </c>
      <c r="AJ33" s="229">
        <v>6.4000000000000003E-3</v>
      </c>
      <c r="AK33" s="228">
        <v>22.3</v>
      </c>
      <c r="AL33" s="228">
        <v>26</v>
      </c>
      <c r="AM33" s="228">
        <v>-3.7</v>
      </c>
      <c r="AN33" s="229">
        <v>1.1599999999999999E-2</v>
      </c>
      <c r="AO33" s="231">
        <v>1936.81</v>
      </c>
      <c r="AP33" s="231">
        <v>1946.3</v>
      </c>
      <c r="AQ33" s="228">
        <v>0</v>
      </c>
      <c r="AR33" s="230">
        <v>7050425</v>
      </c>
      <c r="AS33" s="230">
        <v>5806400</v>
      </c>
      <c r="AT33" s="230">
        <v>1244025</v>
      </c>
      <c r="AU33" s="229">
        <v>0.21429999999999999</v>
      </c>
      <c r="AV33" s="230">
        <v>6115625</v>
      </c>
      <c r="AW33" s="230">
        <v>5235450</v>
      </c>
      <c r="AX33" s="230">
        <v>880175</v>
      </c>
      <c r="AY33" s="229">
        <v>0.1681</v>
      </c>
      <c r="AZ33" s="230">
        <v>894900</v>
      </c>
      <c r="BA33" s="230">
        <v>487350</v>
      </c>
      <c r="BB33" s="230">
        <v>407550</v>
      </c>
      <c r="BC33" s="229">
        <v>0.83630000000000004</v>
      </c>
      <c r="BD33" s="230">
        <v>39900</v>
      </c>
      <c r="BE33" s="230">
        <v>83600</v>
      </c>
      <c r="BF33" s="230">
        <v>-43700</v>
      </c>
      <c r="BG33" s="229">
        <v>-0.52270000000000005</v>
      </c>
      <c r="BH33" s="230">
        <v>51123775</v>
      </c>
      <c r="BI33" s="230">
        <v>54304850</v>
      </c>
      <c r="BJ33" s="230">
        <v>-3181075</v>
      </c>
      <c r="BK33" s="229">
        <v>-5.8599999999999999E-2</v>
      </c>
      <c r="BL33" s="230">
        <v>19172900</v>
      </c>
      <c r="BM33" s="230">
        <v>21324650</v>
      </c>
      <c r="BN33" s="230">
        <v>-2151750</v>
      </c>
      <c r="BO33" s="229">
        <v>-0.1009</v>
      </c>
      <c r="BP33" s="230">
        <v>77347100</v>
      </c>
      <c r="BQ33" s="230">
        <v>81435900</v>
      </c>
      <c r="BR33" s="230">
        <v>-4088800</v>
      </c>
      <c r="BS33" s="229">
        <v>-5.0200000000000002E-2</v>
      </c>
      <c r="BT33" s="230">
        <v>7080041</v>
      </c>
      <c r="BU33" s="230">
        <v>6008086</v>
      </c>
      <c r="BV33" s="230">
        <v>1071955</v>
      </c>
      <c r="BW33" s="229">
        <v>0.1784</v>
      </c>
      <c r="BX33" s="230">
        <v>46707225</v>
      </c>
      <c r="BY33" s="230">
        <v>47742725</v>
      </c>
      <c r="BZ33" s="230">
        <v>-1035500</v>
      </c>
      <c r="CA33" s="229">
        <v>-2.1700000000000001E-2</v>
      </c>
      <c r="CB33" s="230">
        <v>39167550</v>
      </c>
      <c r="CC33" s="230">
        <v>40663325</v>
      </c>
      <c r="CD33" s="230">
        <v>-1495775</v>
      </c>
      <c r="CE33" s="229">
        <v>-3.6799999999999999E-2</v>
      </c>
      <c r="CF33" s="230">
        <v>4991775</v>
      </c>
      <c r="CG33" s="230">
        <v>4535300</v>
      </c>
      <c r="CH33" s="230">
        <v>456475</v>
      </c>
      <c r="CI33" s="229">
        <v>0.10059999999999999</v>
      </c>
      <c r="CJ33" s="230">
        <v>2547900</v>
      </c>
      <c r="CK33" s="230">
        <v>2544100</v>
      </c>
      <c r="CL33" s="230">
        <v>3800</v>
      </c>
      <c r="CM33" s="229">
        <v>1.5E-3</v>
      </c>
      <c r="CN33" s="230">
        <v>18500300</v>
      </c>
      <c r="CO33" s="230">
        <v>18693625</v>
      </c>
      <c r="CP33" s="230">
        <v>-193325</v>
      </c>
      <c r="CQ33" s="229">
        <v>-1.03E-2</v>
      </c>
      <c r="CR33" s="230">
        <v>8288750</v>
      </c>
      <c r="CS33" s="230">
        <v>8006600</v>
      </c>
      <c r="CT33" s="230">
        <v>282150</v>
      </c>
      <c r="CU33" s="229">
        <v>3.5200000000000002E-2</v>
      </c>
      <c r="CV33" s="230">
        <v>73496275</v>
      </c>
      <c r="CW33" s="230">
        <v>74442950</v>
      </c>
      <c r="CX33" s="230">
        <v>-946675</v>
      </c>
      <c r="CY33" s="229">
        <v>-1.2699999999999999E-2</v>
      </c>
      <c r="CZ33" s="228">
        <v>17.23</v>
      </c>
      <c r="DA33" s="228">
        <v>17.47</v>
      </c>
      <c r="DB33" s="228">
        <v>-0.24</v>
      </c>
      <c r="DC33" s="228">
        <v>-0.24</v>
      </c>
      <c r="DD33" s="228">
        <v>26.23</v>
      </c>
      <c r="DE33" s="228">
        <v>26.27</v>
      </c>
      <c r="DF33" s="228">
        <v>-9</v>
      </c>
      <c r="DG33" s="228">
        <v>-0.04</v>
      </c>
      <c r="DH33" s="228">
        <v>17.27</v>
      </c>
      <c r="DI33" s="228">
        <v>17.52</v>
      </c>
      <c r="DJ33" s="228">
        <v>-0.25</v>
      </c>
      <c r="DK33" s="228">
        <v>-0.25</v>
      </c>
      <c r="DL33" s="228">
        <v>17.13</v>
      </c>
      <c r="DM33" s="228">
        <v>17.36</v>
      </c>
      <c r="DN33" s="228">
        <v>-0.23</v>
      </c>
      <c r="DO33" s="228">
        <v>-0.23</v>
      </c>
      <c r="DP33" s="228">
        <v>0.45</v>
      </c>
      <c r="DQ33" s="228">
        <v>0.43</v>
      </c>
      <c r="DR33" s="228">
        <v>0.02</v>
      </c>
      <c r="DS33" s="229">
        <v>4.65E-2</v>
      </c>
      <c r="DT33" s="231">
        <v>2000</v>
      </c>
      <c r="DU33" s="231">
        <v>1860</v>
      </c>
      <c r="DV33" s="228">
        <v>0.38</v>
      </c>
      <c r="DW33" s="228">
        <v>0.39</v>
      </c>
      <c r="DX33" s="228">
        <v>-0.01</v>
      </c>
      <c r="DY33" s="229">
        <v>-2.5600000000000001E-2</v>
      </c>
      <c r="DZ33" s="229">
        <v>0.16139999999999999</v>
      </c>
      <c r="EA33" s="230">
        <v>7079400</v>
      </c>
      <c r="EB33" s="229">
        <v>6.0000000000000001E-3</v>
      </c>
      <c r="EC33" s="229">
        <v>0.16139999999999999</v>
      </c>
      <c r="ED33" s="228">
        <v>9.49</v>
      </c>
      <c r="EE33" s="229">
        <v>4.8999999999999998E-3</v>
      </c>
      <c r="EF33" s="230">
        <v>4680676</v>
      </c>
      <c r="EG33" s="230">
        <v>3545771</v>
      </c>
      <c r="EH33" s="229">
        <v>0.3201</v>
      </c>
      <c r="EI33" s="229">
        <v>0.66110000000000002</v>
      </c>
      <c r="EJ33" s="231">
        <v>1009510.72</v>
      </c>
      <c r="EK33" s="231">
        <v>368138.5</v>
      </c>
      <c r="EL33" s="231">
        <v>136646.51</v>
      </c>
      <c r="EM33" s="228">
        <v>0</v>
      </c>
      <c r="EN33" s="231">
        <v>1514295.73</v>
      </c>
      <c r="EO33" s="231">
        <v>1584133.43</v>
      </c>
      <c r="EP33" s="231">
        <v>-69837.7</v>
      </c>
      <c r="EQ33" s="229">
        <v>-4.41E-2</v>
      </c>
      <c r="ER33" s="231">
        <v>365719</v>
      </c>
      <c r="ES33" s="231">
        <v>153342</v>
      </c>
      <c r="ET33" s="231">
        <v>902203</v>
      </c>
      <c r="EU33" s="231">
        <v>593304654</v>
      </c>
      <c r="EV33" s="231">
        <v>1421264</v>
      </c>
      <c r="EW33" s="231">
        <v>1431929</v>
      </c>
      <c r="EX33" s="231">
        <v>-10665</v>
      </c>
      <c r="EY33" s="229">
        <v>-7.4000000000000003E-3</v>
      </c>
      <c r="EZ33" s="229">
        <v>0.1239</v>
      </c>
      <c r="FA33" s="227" t="s">
        <v>556</v>
      </c>
      <c r="FB33" s="161">
        <f t="shared" si="0"/>
        <v>7539675</v>
      </c>
    </row>
    <row r="34" spans="1:158" ht="17.25" hidden="1" thickBot="1" x14ac:dyDescent="0.3">
      <c r="A34" s="226">
        <v>45889</v>
      </c>
      <c r="B34" s="227" t="s">
        <v>184</v>
      </c>
      <c r="C34" s="227" t="s">
        <v>190</v>
      </c>
      <c r="D34" s="228">
        <v>2625</v>
      </c>
      <c r="E34" s="228">
        <v>220.96</v>
      </c>
      <c r="F34" s="228">
        <v>220</v>
      </c>
      <c r="G34" s="228">
        <v>0.96</v>
      </c>
      <c r="H34" s="229">
        <v>4.4000000000000003E-3</v>
      </c>
      <c r="I34" s="228">
        <v>220.67</v>
      </c>
      <c r="J34" s="228">
        <v>219.7</v>
      </c>
      <c r="K34" s="228">
        <v>0.97</v>
      </c>
      <c r="L34" s="229">
        <v>4.4000000000000003E-3</v>
      </c>
      <c r="M34" s="228">
        <v>220.96</v>
      </c>
      <c r="N34" s="228">
        <v>220</v>
      </c>
      <c r="O34" s="228">
        <v>0.96</v>
      </c>
      <c r="P34" s="229">
        <v>4.4000000000000003E-3</v>
      </c>
      <c r="Q34" s="228">
        <v>222.27</v>
      </c>
      <c r="R34" s="228">
        <v>221.29</v>
      </c>
      <c r="S34" s="228">
        <v>0.98</v>
      </c>
      <c r="T34" s="229">
        <v>4.4000000000000003E-3</v>
      </c>
      <c r="U34" s="228">
        <v>223.45</v>
      </c>
      <c r="V34" s="228">
        <v>222.38</v>
      </c>
      <c r="W34" s="228">
        <v>1.07</v>
      </c>
      <c r="X34" s="229">
        <v>4.7999999999999996E-3</v>
      </c>
      <c r="Y34" s="228">
        <v>0.28999999999999998</v>
      </c>
      <c r="Z34" s="228">
        <v>0.3</v>
      </c>
      <c r="AA34" s="228">
        <v>-0.01</v>
      </c>
      <c r="AB34" s="229">
        <v>1.2999999999999999E-3</v>
      </c>
      <c r="AC34" s="228">
        <v>0.28999999999999998</v>
      </c>
      <c r="AD34" s="228">
        <v>0.3</v>
      </c>
      <c r="AE34" s="228">
        <v>-0.01</v>
      </c>
      <c r="AF34" s="229">
        <v>1.2999999999999999E-3</v>
      </c>
      <c r="AG34" s="228">
        <v>1.6</v>
      </c>
      <c r="AH34" s="228">
        <v>1.59</v>
      </c>
      <c r="AI34" s="228">
        <v>0.01</v>
      </c>
      <c r="AJ34" s="229">
        <v>7.3000000000000001E-3</v>
      </c>
      <c r="AK34" s="228">
        <v>2.78</v>
      </c>
      <c r="AL34" s="228">
        <v>2.68</v>
      </c>
      <c r="AM34" s="228">
        <v>0.1</v>
      </c>
      <c r="AN34" s="229">
        <v>1.26E-2</v>
      </c>
      <c r="AO34" s="228">
        <v>220.75</v>
      </c>
      <c r="AP34" s="228">
        <v>222.08</v>
      </c>
      <c r="AQ34" s="228">
        <v>0</v>
      </c>
      <c r="AR34" s="230">
        <v>8541750</v>
      </c>
      <c r="AS34" s="230">
        <v>12888750</v>
      </c>
      <c r="AT34" s="230">
        <v>-4347000</v>
      </c>
      <c r="AU34" s="229">
        <v>-0.33729999999999999</v>
      </c>
      <c r="AV34" s="230">
        <v>6620250</v>
      </c>
      <c r="AW34" s="230">
        <v>10137750</v>
      </c>
      <c r="AX34" s="230">
        <v>-3517500</v>
      </c>
      <c r="AY34" s="229">
        <v>-0.34699999999999998</v>
      </c>
      <c r="AZ34" s="230">
        <v>1769250</v>
      </c>
      <c r="BA34" s="230">
        <v>2002875</v>
      </c>
      <c r="BB34" s="230">
        <v>-233625</v>
      </c>
      <c r="BC34" s="229">
        <v>-0.1166</v>
      </c>
      <c r="BD34" s="230">
        <v>152250</v>
      </c>
      <c r="BE34" s="230">
        <v>748125</v>
      </c>
      <c r="BF34" s="230">
        <v>-595875</v>
      </c>
      <c r="BG34" s="229">
        <v>-0.79649999999999999</v>
      </c>
      <c r="BH34" s="230">
        <v>23837625</v>
      </c>
      <c r="BI34" s="230">
        <v>36471750</v>
      </c>
      <c r="BJ34" s="230">
        <v>-12634125</v>
      </c>
      <c r="BK34" s="229">
        <v>-0.34639999999999999</v>
      </c>
      <c r="BL34" s="230">
        <v>12214125</v>
      </c>
      <c r="BM34" s="230">
        <v>15088500</v>
      </c>
      <c r="BN34" s="230">
        <v>-2874375</v>
      </c>
      <c r="BO34" s="229">
        <v>-0.1905</v>
      </c>
      <c r="BP34" s="230">
        <v>44593500</v>
      </c>
      <c r="BQ34" s="230">
        <v>64449000</v>
      </c>
      <c r="BR34" s="230">
        <v>-19855500</v>
      </c>
      <c r="BS34" s="229">
        <v>-0.30809999999999998</v>
      </c>
      <c r="BT34" s="230">
        <v>3407554</v>
      </c>
      <c r="BU34" s="230">
        <v>5736101</v>
      </c>
      <c r="BV34" s="230">
        <v>-2328547</v>
      </c>
      <c r="BW34" s="229">
        <v>-0.40589999999999998</v>
      </c>
      <c r="BX34" s="230">
        <v>65312625</v>
      </c>
      <c r="BY34" s="230">
        <v>64386000</v>
      </c>
      <c r="BZ34" s="230">
        <v>926625</v>
      </c>
      <c r="CA34" s="229">
        <v>1.44E-2</v>
      </c>
      <c r="CB34" s="230">
        <v>58542750</v>
      </c>
      <c r="CC34" s="230">
        <v>58461375</v>
      </c>
      <c r="CD34" s="230">
        <v>81375</v>
      </c>
      <c r="CE34" s="229">
        <v>1.4E-3</v>
      </c>
      <c r="CF34" s="230">
        <v>5664750</v>
      </c>
      <c r="CG34" s="230">
        <v>4856250</v>
      </c>
      <c r="CH34" s="230">
        <v>808500</v>
      </c>
      <c r="CI34" s="229">
        <v>0.16650000000000001</v>
      </c>
      <c r="CJ34" s="230">
        <v>1105125</v>
      </c>
      <c r="CK34" s="230">
        <v>1068375</v>
      </c>
      <c r="CL34" s="230">
        <v>36750</v>
      </c>
      <c r="CM34" s="229">
        <v>3.44E-2</v>
      </c>
      <c r="CN34" s="230">
        <v>41514375</v>
      </c>
      <c r="CO34" s="230">
        <v>42173250</v>
      </c>
      <c r="CP34" s="230">
        <v>-658875</v>
      </c>
      <c r="CQ34" s="229">
        <v>-1.5599999999999999E-2</v>
      </c>
      <c r="CR34" s="230">
        <v>22519875</v>
      </c>
      <c r="CS34" s="230">
        <v>22882125</v>
      </c>
      <c r="CT34" s="230">
        <v>-362250</v>
      </c>
      <c r="CU34" s="229">
        <v>-1.5800000000000002E-2</v>
      </c>
      <c r="CV34" s="230">
        <v>129346875</v>
      </c>
      <c r="CW34" s="230">
        <v>129441375</v>
      </c>
      <c r="CX34" s="230">
        <v>-94500</v>
      </c>
      <c r="CY34" s="229">
        <v>-6.9999999999999999E-4</v>
      </c>
      <c r="CZ34" s="228">
        <v>31.47</v>
      </c>
      <c r="DA34" s="228">
        <v>32.69</v>
      </c>
      <c r="DB34" s="228">
        <v>-1.22</v>
      </c>
      <c r="DC34" s="228">
        <v>-1.22</v>
      </c>
      <c r="DD34" s="228">
        <v>48.85</v>
      </c>
      <c r="DE34" s="228">
        <v>48.96</v>
      </c>
      <c r="DF34" s="228">
        <v>-17.38</v>
      </c>
      <c r="DG34" s="228">
        <v>-0.11</v>
      </c>
      <c r="DH34" s="228">
        <v>31.86</v>
      </c>
      <c r="DI34" s="228">
        <v>33.130000000000003</v>
      </c>
      <c r="DJ34" s="228">
        <v>-1.27</v>
      </c>
      <c r="DK34" s="228">
        <v>-1.27</v>
      </c>
      <c r="DL34" s="228">
        <v>30.69</v>
      </c>
      <c r="DM34" s="228">
        <v>31.63</v>
      </c>
      <c r="DN34" s="228">
        <v>-0.94</v>
      </c>
      <c r="DO34" s="228">
        <v>-0.94</v>
      </c>
      <c r="DP34" s="228">
        <v>0.54</v>
      </c>
      <c r="DQ34" s="228">
        <v>0.54</v>
      </c>
      <c r="DR34" s="228">
        <v>0</v>
      </c>
      <c r="DS34" s="229">
        <v>0</v>
      </c>
      <c r="DT34" s="228">
        <v>230</v>
      </c>
      <c r="DU34" s="228">
        <v>220</v>
      </c>
      <c r="DV34" s="228">
        <v>0.51</v>
      </c>
      <c r="DW34" s="228">
        <v>0.41</v>
      </c>
      <c r="DX34" s="228">
        <v>0.1</v>
      </c>
      <c r="DY34" s="229">
        <v>0.24390000000000001</v>
      </c>
      <c r="DZ34" s="229">
        <v>0.1037</v>
      </c>
      <c r="EA34" s="230">
        <v>5924625</v>
      </c>
      <c r="EB34" s="229">
        <v>5.8999999999999999E-3</v>
      </c>
      <c r="EC34" s="229">
        <v>0.1037</v>
      </c>
      <c r="ED34" s="228">
        <v>1.33</v>
      </c>
      <c r="EE34" s="229">
        <v>6.0000000000000001E-3</v>
      </c>
      <c r="EF34" s="230">
        <v>971161</v>
      </c>
      <c r="EG34" s="230">
        <v>1995548</v>
      </c>
      <c r="EH34" s="229">
        <v>-0.51329999999999998</v>
      </c>
      <c r="EI34" s="229">
        <v>0.28499999999999998</v>
      </c>
      <c r="EJ34" s="231">
        <v>55091.11</v>
      </c>
      <c r="EK34" s="231">
        <v>27131.97</v>
      </c>
      <c r="EL34" s="231">
        <v>18883.400000000001</v>
      </c>
      <c r="EM34" s="228">
        <v>0</v>
      </c>
      <c r="EN34" s="231">
        <v>101106.48</v>
      </c>
      <c r="EO34" s="231">
        <v>145717.71</v>
      </c>
      <c r="EP34" s="231">
        <v>-44611.23</v>
      </c>
      <c r="EQ34" s="229">
        <v>-0.30609999999999998</v>
      </c>
      <c r="ER34" s="231">
        <v>100756</v>
      </c>
      <c r="ES34" s="231">
        <v>51434</v>
      </c>
      <c r="ET34" s="231">
        <v>144417</v>
      </c>
      <c r="EU34" s="231">
        <v>256482590</v>
      </c>
      <c r="EV34" s="231">
        <v>296606</v>
      </c>
      <c r="EW34" s="231">
        <v>296405</v>
      </c>
      <c r="EX34" s="228">
        <v>201</v>
      </c>
      <c r="EY34" s="229">
        <v>6.9999999999999999E-4</v>
      </c>
      <c r="EZ34" s="229">
        <v>0.50429999999999997</v>
      </c>
      <c r="FA34" s="227" t="s">
        <v>555</v>
      </c>
      <c r="FB34" s="161">
        <f t="shared" si="0"/>
        <v>6769875</v>
      </c>
    </row>
    <row r="35" spans="1:158" ht="17.25" hidden="1" thickBot="1" x14ac:dyDescent="0.3">
      <c r="A35" s="226">
        <v>45889</v>
      </c>
      <c r="B35" s="227" t="s">
        <v>170</v>
      </c>
      <c r="C35" s="227" t="s">
        <v>191</v>
      </c>
      <c r="D35" s="228">
        <v>2500</v>
      </c>
      <c r="E35" s="228">
        <v>360.05</v>
      </c>
      <c r="F35" s="228">
        <v>364.8</v>
      </c>
      <c r="G35" s="228">
        <v>-4.75</v>
      </c>
      <c r="H35" s="229">
        <v>-1.2999999999999999E-2</v>
      </c>
      <c r="I35" s="228">
        <v>359.45</v>
      </c>
      <c r="J35" s="228">
        <v>363.85</v>
      </c>
      <c r="K35" s="228">
        <v>-4.4000000000000004</v>
      </c>
      <c r="L35" s="229">
        <v>-1.21E-2</v>
      </c>
      <c r="M35" s="228">
        <v>360.05</v>
      </c>
      <c r="N35" s="228">
        <v>364.8</v>
      </c>
      <c r="O35" s="228">
        <v>-4.75</v>
      </c>
      <c r="P35" s="229">
        <v>-1.2999999999999999E-2</v>
      </c>
      <c r="Q35" s="228">
        <v>362.45</v>
      </c>
      <c r="R35" s="228">
        <v>366.95</v>
      </c>
      <c r="S35" s="228">
        <v>-4.5</v>
      </c>
      <c r="T35" s="229">
        <v>-1.23E-2</v>
      </c>
      <c r="U35" s="228">
        <v>364.05</v>
      </c>
      <c r="V35" s="228">
        <v>368.55</v>
      </c>
      <c r="W35" s="228">
        <v>-4.5</v>
      </c>
      <c r="X35" s="229">
        <v>-1.2200000000000001E-2</v>
      </c>
      <c r="Y35" s="228">
        <v>0.6</v>
      </c>
      <c r="Z35" s="228">
        <v>0.95</v>
      </c>
      <c r="AA35" s="228">
        <v>-0.35</v>
      </c>
      <c r="AB35" s="229">
        <v>1.6999999999999999E-3</v>
      </c>
      <c r="AC35" s="228">
        <v>0.6</v>
      </c>
      <c r="AD35" s="228">
        <v>0.95</v>
      </c>
      <c r="AE35" s="228">
        <v>-0.35</v>
      </c>
      <c r="AF35" s="229">
        <v>1.6999999999999999E-3</v>
      </c>
      <c r="AG35" s="228">
        <v>3</v>
      </c>
      <c r="AH35" s="228">
        <v>3.1</v>
      </c>
      <c r="AI35" s="228">
        <v>-0.1</v>
      </c>
      <c r="AJ35" s="229">
        <v>8.3000000000000001E-3</v>
      </c>
      <c r="AK35" s="228">
        <v>4.5999999999999996</v>
      </c>
      <c r="AL35" s="228">
        <v>4.7</v>
      </c>
      <c r="AM35" s="228">
        <v>-0.1</v>
      </c>
      <c r="AN35" s="229">
        <v>1.2800000000000001E-2</v>
      </c>
      <c r="AO35" s="228">
        <v>360.88</v>
      </c>
      <c r="AP35" s="228">
        <v>362.83</v>
      </c>
      <c r="AQ35" s="228">
        <v>0</v>
      </c>
      <c r="AR35" s="230">
        <v>4657500</v>
      </c>
      <c r="AS35" s="230">
        <v>4075000</v>
      </c>
      <c r="AT35" s="230">
        <v>582500</v>
      </c>
      <c r="AU35" s="229">
        <v>0.1429</v>
      </c>
      <c r="AV35" s="230">
        <v>3685000</v>
      </c>
      <c r="AW35" s="230">
        <v>3375000</v>
      </c>
      <c r="AX35" s="230">
        <v>310000</v>
      </c>
      <c r="AY35" s="229">
        <v>9.1899999999999996E-2</v>
      </c>
      <c r="AZ35" s="230">
        <v>897500</v>
      </c>
      <c r="BA35" s="230">
        <v>657500</v>
      </c>
      <c r="BB35" s="230">
        <v>240000</v>
      </c>
      <c r="BC35" s="229">
        <v>0.36499999999999999</v>
      </c>
      <c r="BD35" s="230">
        <v>75000</v>
      </c>
      <c r="BE35" s="230">
        <v>42500</v>
      </c>
      <c r="BF35" s="230">
        <v>32500</v>
      </c>
      <c r="BG35" s="229">
        <v>0.76470000000000005</v>
      </c>
      <c r="BH35" s="230">
        <v>10975000</v>
      </c>
      <c r="BI35" s="230">
        <v>9467500</v>
      </c>
      <c r="BJ35" s="230">
        <v>1507500</v>
      </c>
      <c r="BK35" s="229">
        <v>0.15920000000000001</v>
      </c>
      <c r="BL35" s="230">
        <v>7272500</v>
      </c>
      <c r="BM35" s="230">
        <v>6265000</v>
      </c>
      <c r="BN35" s="230">
        <v>1007500</v>
      </c>
      <c r="BO35" s="229">
        <v>0.1608</v>
      </c>
      <c r="BP35" s="230">
        <v>22905000</v>
      </c>
      <c r="BQ35" s="230">
        <v>19807500</v>
      </c>
      <c r="BR35" s="230">
        <v>3097500</v>
      </c>
      <c r="BS35" s="229">
        <v>0.15640000000000001</v>
      </c>
      <c r="BT35" s="230">
        <v>1053760</v>
      </c>
      <c r="BU35" s="230">
        <v>1059068</v>
      </c>
      <c r="BV35" s="230">
        <v>-5308</v>
      </c>
      <c r="BW35" s="229">
        <v>-5.0000000000000001E-3</v>
      </c>
      <c r="BX35" s="230">
        <v>43612500</v>
      </c>
      <c r="BY35" s="230">
        <v>43592500</v>
      </c>
      <c r="BZ35" s="230">
        <v>20000</v>
      </c>
      <c r="CA35" s="229">
        <v>5.0000000000000001E-4</v>
      </c>
      <c r="CB35" s="230">
        <v>39902500</v>
      </c>
      <c r="CC35" s="230">
        <v>40210000</v>
      </c>
      <c r="CD35" s="230">
        <v>-307500</v>
      </c>
      <c r="CE35" s="229">
        <v>-7.6E-3</v>
      </c>
      <c r="CF35" s="230">
        <v>3442500</v>
      </c>
      <c r="CG35" s="230">
        <v>3117500</v>
      </c>
      <c r="CH35" s="230">
        <v>325000</v>
      </c>
      <c r="CI35" s="229">
        <v>0.1043</v>
      </c>
      <c r="CJ35" s="230">
        <v>267500</v>
      </c>
      <c r="CK35" s="230">
        <v>265000</v>
      </c>
      <c r="CL35" s="230">
        <v>2500</v>
      </c>
      <c r="CM35" s="229">
        <v>9.4000000000000004E-3</v>
      </c>
      <c r="CN35" s="230">
        <v>22590000</v>
      </c>
      <c r="CO35" s="230">
        <v>22250000</v>
      </c>
      <c r="CP35" s="230">
        <v>340000</v>
      </c>
      <c r="CQ35" s="229">
        <v>1.5299999999999999E-2</v>
      </c>
      <c r="CR35" s="230">
        <v>13832500</v>
      </c>
      <c r="CS35" s="230">
        <v>14120000</v>
      </c>
      <c r="CT35" s="230">
        <v>-287500</v>
      </c>
      <c r="CU35" s="229">
        <v>-2.0400000000000001E-2</v>
      </c>
      <c r="CV35" s="230">
        <v>80035000</v>
      </c>
      <c r="CW35" s="230">
        <v>79962500</v>
      </c>
      <c r="CX35" s="230">
        <v>72500</v>
      </c>
      <c r="CY35" s="229">
        <v>8.9999999999999998E-4</v>
      </c>
      <c r="CZ35" s="228">
        <v>32.43</v>
      </c>
      <c r="DA35" s="228">
        <v>32.6</v>
      </c>
      <c r="DB35" s="228">
        <v>-0.17</v>
      </c>
      <c r="DC35" s="228">
        <v>-0.17</v>
      </c>
      <c r="DD35" s="228">
        <v>41.39</v>
      </c>
      <c r="DE35" s="228">
        <v>41.46</v>
      </c>
      <c r="DF35" s="228">
        <v>-8.9600000000000009</v>
      </c>
      <c r="DG35" s="228">
        <v>-7.0000000000000007E-2</v>
      </c>
      <c r="DH35" s="228">
        <v>33.75</v>
      </c>
      <c r="DI35" s="228">
        <v>32.799999999999997</v>
      </c>
      <c r="DJ35" s="228">
        <v>0.95</v>
      </c>
      <c r="DK35" s="228">
        <v>0.95</v>
      </c>
      <c r="DL35" s="228">
        <v>30.43</v>
      </c>
      <c r="DM35" s="228">
        <v>32.31</v>
      </c>
      <c r="DN35" s="228">
        <v>-1.88</v>
      </c>
      <c r="DO35" s="228">
        <v>-1.88</v>
      </c>
      <c r="DP35" s="228">
        <v>0.61</v>
      </c>
      <c r="DQ35" s="228">
        <v>0.63</v>
      </c>
      <c r="DR35" s="228">
        <v>-0.02</v>
      </c>
      <c r="DS35" s="229">
        <v>-3.1699999999999999E-2</v>
      </c>
      <c r="DT35" s="228">
        <v>400</v>
      </c>
      <c r="DU35" s="228">
        <v>340</v>
      </c>
      <c r="DV35" s="228">
        <v>0.66</v>
      </c>
      <c r="DW35" s="228">
        <v>0.66</v>
      </c>
      <c r="DX35" s="228">
        <v>0</v>
      </c>
      <c r="DY35" s="229">
        <v>0</v>
      </c>
      <c r="DZ35" s="229">
        <v>8.5099999999999995E-2</v>
      </c>
      <c r="EA35" s="230">
        <v>3382500</v>
      </c>
      <c r="EB35" s="229">
        <v>6.7000000000000002E-3</v>
      </c>
      <c r="EC35" s="229">
        <v>8.5099999999999995E-2</v>
      </c>
      <c r="ED35" s="228">
        <v>1.95</v>
      </c>
      <c r="EE35" s="229">
        <v>5.4000000000000003E-3</v>
      </c>
      <c r="EF35" s="230">
        <v>330028</v>
      </c>
      <c r="EG35" s="230">
        <v>363552</v>
      </c>
      <c r="EH35" s="229">
        <v>-9.2200000000000004E-2</v>
      </c>
      <c r="EI35" s="229">
        <v>0.31319999999999998</v>
      </c>
      <c r="EJ35" s="231">
        <v>41945</v>
      </c>
      <c r="EK35" s="231">
        <v>26096.28</v>
      </c>
      <c r="EL35" s="231">
        <v>16827.82</v>
      </c>
      <c r="EM35" s="228">
        <v>0</v>
      </c>
      <c r="EN35" s="231">
        <v>84869.1</v>
      </c>
      <c r="EO35" s="231">
        <v>73805.23</v>
      </c>
      <c r="EP35" s="231">
        <v>11063.87</v>
      </c>
      <c r="EQ35" s="229">
        <v>0.14990000000000001</v>
      </c>
      <c r="ER35" s="231">
        <v>88444</v>
      </c>
      <c r="ES35" s="231">
        <v>48522</v>
      </c>
      <c r="ET35" s="231">
        <v>157120</v>
      </c>
      <c r="EU35" s="231">
        <v>121308233</v>
      </c>
      <c r="EV35" s="231">
        <v>294086</v>
      </c>
      <c r="EW35" s="231">
        <v>295720</v>
      </c>
      <c r="EX35" s="231">
        <v>-1634</v>
      </c>
      <c r="EY35" s="229">
        <v>-5.4999999999999997E-3</v>
      </c>
      <c r="EZ35" s="229">
        <v>0.65980000000000005</v>
      </c>
      <c r="FA35" s="227" t="s">
        <v>567</v>
      </c>
      <c r="FB35" s="161">
        <f t="shared" si="0"/>
        <v>3710000</v>
      </c>
    </row>
    <row r="36" spans="1:158" ht="17.25" hidden="1" thickBot="1" x14ac:dyDescent="0.3">
      <c r="A36" s="226">
        <v>45889</v>
      </c>
      <c r="B36" s="227" t="s">
        <v>184</v>
      </c>
      <c r="C36" s="227" t="s">
        <v>681</v>
      </c>
      <c r="D36" s="228">
        <v>325</v>
      </c>
      <c r="E36" s="231">
        <v>1927.6</v>
      </c>
      <c r="F36" s="231">
        <v>1931.7</v>
      </c>
      <c r="G36" s="228">
        <v>-4.0999999999999996</v>
      </c>
      <c r="H36" s="229">
        <v>-2.0999999999999999E-3</v>
      </c>
      <c r="I36" s="231">
        <v>1927.4</v>
      </c>
      <c r="J36" s="231">
        <v>1928.8</v>
      </c>
      <c r="K36" s="228">
        <v>-1.4</v>
      </c>
      <c r="L36" s="229">
        <v>-6.9999999999999999E-4</v>
      </c>
      <c r="M36" s="231">
        <v>1927.6</v>
      </c>
      <c r="N36" s="231">
        <v>1931.7</v>
      </c>
      <c r="O36" s="228">
        <v>-4.0999999999999996</v>
      </c>
      <c r="P36" s="229">
        <v>-2.0999999999999999E-3</v>
      </c>
      <c r="Q36" s="231">
        <v>1923.8</v>
      </c>
      <c r="R36" s="231">
        <v>1927.2</v>
      </c>
      <c r="S36" s="228">
        <v>-3.4</v>
      </c>
      <c r="T36" s="229">
        <v>-1.8E-3</v>
      </c>
      <c r="U36" s="231">
        <v>1922.8</v>
      </c>
      <c r="V36" s="231">
        <v>1929</v>
      </c>
      <c r="W36" s="228">
        <v>-6.2</v>
      </c>
      <c r="X36" s="229">
        <v>-3.2000000000000002E-3</v>
      </c>
      <c r="Y36" s="228">
        <v>0.2</v>
      </c>
      <c r="Z36" s="228">
        <v>2.9</v>
      </c>
      <c r="AA36" s="228">
        <v>-2.7</v>
      </c>
      <c r="AB36" s="229">
        <v>1E-4</v>
      </c>
      <c r="AC36" s="228">
        <v>0.2</v>
      </c>
      <c r="AD36" s="228">
        <v>2.9</v>
      </c>
      <c r="AE36" s="228">
        <v>-2.7</v>
      </c>
      <c r="AF36" s="229">
        <v>1E-4</v>
      </c>
      <c r="AG36" s="228">
        <v>-3.6</v>
      </c>
      <c r="AH36" s="228">
        <v>-1.6</v>
      </c>
      <c r="AI36" s="228">
        <v>-2</v>
      </c>
      <c r="AJ36" s="229">
        <v>-1.9E-3</v>
      </c>
      <c r="AK36" s="228">
        <v>-4.5999999999999996</v>
      </c>
      <c r="AL36" s="228">
        <v>0.2</v>
      </c>
      <c r="AM36" s="228">
        <v>-4.8</v>
      </c>
      <c r="AN36" s="229">
        <v>-2.3999999999999998E-3</v>
      </c>
      <c r="AO36" s="231">
        <v>1949.77</v>
      </c>
      <c r="AP36" s="231">
        <v>1947.42</v>
      </c>
      <c r="AQ36" s="228">
        <v>0</v>
      </c>
      <c r="AR36" s="230">
        <v>737100</v>
      </c>
      <c r="AS36" s="230">
        <v>529100</v>
      </c>
      <c r="AT36" s="230">
        <v>208000</v>
      </c>
      <c r="AU36" s="229">
        <v>0.3931</v>
      </c>
      <c r="AV36" s="230">
        <v>597025</v>
      </c>
      <c r="AW36" s="230">
        <v>430625</v>
      </c>
      <c r="AX36" s="230">
        <v>166400</v>
      </c>
      <c r="AY36" s="229">
        <v>0.38640000000000002</v>
      </c>
      <c r="AZ36" s="230">
        <v>131300</v>
      </c>
      <c r="BA36" s="230">
        <v>94900</v>
      </c>
      <c r="BB36" s="230">
        <v>36400</v>
      </c>
      <c r="BC36" s="229">
        <v>0.3836</v>
      </c>
      <c r="BD36" s="230">
        <v>8775</v>
      </c>
      <c r="BE36" s="230">
        <v>3575</v>
      </c>
      <c r="BF36" s="230">
        <v>5200</v>
      </c>
      <c r="BG36" s="229">
        <v>1.4544999999999999</v>
      </c>
      <c r="BH36" s="230">
        <v>3899675</v>
      </c>
      <c r="BI36" s="230">
        <v>968825</v>
      </c>
      <c r="BJ36" s="230">
        <v>2930850</v>
      </c>
      <c r="BK36" s="229">
        <v>3.0251999999999999</v>
      </c>
      <c r="BL36" s="230">
        <v>900900</v>
      </c>
      <c r="BM36" s="230">
        <v>642850</v>
      </c>
      <c r="BN36" s="230">
        <v>258050</v>
      </c>
      <c r="BO36" s="229">
        <v>0.40139999999999998</v>
      </c>
      <c r="BP36" s="230">
        <v>5537675</v>
      </c>
      <c r="BQ36" s="230">
        <v>2140775</v>
      </c>
      <c r="BR36" s="230">
        <v>3396900</v>
      </c>
      <c r="BS36" s="229">
        <v>1.5868</v>
      </c>
      <c r="BT36" s="230">
        <v>767849</v>
      </c>
      <c r="BU36" s="230">
        <v>451530</v>
      </c>
      <c r="BV36" s="230">
        <v>316319</v>
      </c>
      <c r="BW36" s="229">
        <v>0.70050000000000001</v>
      </c>
      <c r="BX36" s="230">
        <v>2022150</v>
      </c>
      <c r="BY36" s="230">
        <v>1898650</v>
      </c>
      <c r="BZ36" s="230">
        <v>123500</v>
      </c>
      <c r="CA36" s="229">
        <v>6.5000000000000002E-2</v>
      </c>
      <c r="CB36" s="230">
        <v>1354600</v>
      </c>
      <c r="CC36" s="230">
        <v>1292200</v>
      </c>
      <c r="CD36" s="230">
        <v>62400</v>
      </c>
      <c r="CE36" s="229">
        <v>4.8300000000000003E-2</v>
      </c>
      <c r="CF36" s="230">
        <v>659100</v>
      </c>
      <c r="CG36" s="230">
        <v>599300</v>
      </c>
      <c r="CH36" s="230">
        <v>59800</v>
      </c>
      <c r="CI36" s="229">
        <v>9.98E-2</v>
      </c>
      <c r="CJ36" s="230">
        <v>8450</v>
      </c>
      <c r="CK36" s="230">
        <v>7150</v>
      </c>
      <c r="CL36" s="230">
        <v>1300</v>
      </c>
      <c r="CM36" s="229">
        <v>0.18179999999999999</v>
      </c>
      <c r="CN36" s="230">
        <v>1037400</v>
      </c>
      <c r="CO36" s="230">
        <v>722150</v>
      </c>
      <c r="CP36" s="230">
        <v>315250</v>
      </c>
      <c r="CQ36" s="229">
        <v>0.4365</v>
      </c>
      <c r="CR36" s="230">
        <v>682175</v>
      </c>
      <c r="CS36" s="230">
        <v>645775</v>
      </c>
      <c r="CT36" s="230">
        <v>36400</v>
      </c>
      <c r="CU36" s="229">
        <v>5.6399999999999999E-2</v>
      </c>
      <c r="CV36" s="230">
        <v>3741725</v>
      </c>
      <c r="CW36" s="230">
        <v>3266575</v>
      </c>
      <c r="CX36" s="230">
        <v>475150</v>
      </c>
      <c r="CY36" s="229">
        <v>0.14549999999999999</v>
      </c>
      <c r="CZ36" s="228">
        <v>34</v>
      </c>
      <c r="DA36" s="228">
        <v>29.91</v>
      </c>
      <c r="DB36" s="228">
        <v>4.09</v>
      </c>
      <c r="DC36" s="228">
        <v>4.09</v>
      </c>
      <c r="DD36" s="228">
        <v>44.69</v>
      </c>
      <c r="DE36" s="228">
        <v>44.8</v>
      </c>
      <c r="DF36" s="228">
        <v>-10.69</v>
      </c>
      <c r="DG36" s="228">
        <v>-0.11</v>
      </c>
      <c r="DH36" s="228">
        <v>34.25</v>
      </c>
      <c r="DI36" s="228">
        <v>30.16</v>
      </c>
      <c r="DJ36" s="228">
        <v>4.09</v>
      </c>
      <c r="DK36" s="228">
        <v>4.09</v>
      </c>
      <c r="DL36" s="228">
        <v>32.909999999999997</v>
      </c>
      <c r="DM36" s="228">
        <v>29.53</v>
      </c>
      <c r="DN36" s="228">
        <v>3.38</v>
      </c>
      <c r="DO36" s="228">
        <v>3.38</v>
      </c>
      <c r="DP36" s="228">
        <v>0.66</v>
      </c>
      <c r="DQ36" s="228">
        <v>0.89</v>
      </c>
      <c r="DR36" s="228">
        <v>-0.23</v>
      </c>
      <c r="DS36" s="229">
        <v>-0.25840000000000002</v>
      </c>
      <c r="DT36" s="231">
        <v>2000</v>
      </c>
      <c r="DU36" s="231">
        <v>1860</v>
      </c>
      <c r="DV36" s="228">
        <v>0.23</v>
      </c>
      <c r="DW36" s="228">
        <v>0.66</v>
      </c>
      <c r="DX36" s="228">
        <v>-0.43</v>
      </c>
      <c r="DY36" s="229">
        <v>-0.65149999999999997</v>
      </c>
      <c r="DZ36" s="229">
        <v>0.3301</v>
      </c>
      <c r="EA36" s="230">
        <v>606450</v>
      </c>
      <c r="EB36" s="229">
        <v>-2E-3</v>
      </c>
      <c r="EC36" s="229">
        <v>0.3301</v>
      </c>
      <c r="ED36" s="228">
        <v>-2.35</v>
      </c>
      <c r="EE36" s="229">
        <v>-1.1999999999999999E-3</v>
      </c>
      <c r="EF36" s="230">
        <v>255755</v>
      </c>
      <c r="EG36" s="230">
        <v>228101</v>
      </c>
      <c r="EH36" s="229">
        <v>0.1212</v>
      </c>
      <c r="EI36" s="229">
        <v>0.33310000000000001</v>
      </c>
      <c r="EJ36" s="231">
        <v>78447.7</v>
      </c>
      <c r="EK36" s="231">
        <v>17376.87</v>
      </c>
      <c r="EL36" s="231">
        <v>14368.15</v>
      </c>
      <c r="EM36" s="228">
        <v>0</v>
      </c>
      <c r="EN36" s="231">
        <v>110192.72</v>
      </c>
      <c r="EO36" s="231">
        <v>41374.51</v>
      </c>
      <c r="EP36" s="231">
        <v>68818.210000000006</v>
      </c>
      <c r="EQ36" s="229">
        <v>1.6633</v>
      </c>
      <c r="ER36" s="231">
        <v>20016</v>
      </c>
      <c r="ES36" s="231">
        <v>12261</v>
      </c>
      <c r="ET36" s="231">
        <v>38954</v>
      </c>
      <c r="EU36" s="231">
        <v>26112989</v>
      </c>
      <c r="EV36" s="231">
        <v>71231</v>
      </c>
      <c r="EW36" s="231">
        <v>61886</v>
      </c>
      <c r="EX36" s="231">
        <v>9345</v>
      </c>
      <c r="EY36" s="229">
        <v>0.151</v>
      </c>
      <c r="EZ36" s="229">
        <v>0.14330000000000001</v>
      </c>
      <c r="FA36" s="227" t="s">
        <v>567</v>
      </c>
      <c r="FB36" s="161">
        <f t="shared" si="0"/>
        <v>667550</v>
      </c>
    </row>
    <row r="37" spans="1:158" ht="17.25" hidden="1" thickBot="1" x14ac:dyDescent="0.3">
      <c r="A37" s="226">
        <v>45889</v>
      </c>
      <c r="B37" s="227" t="s">
        <v>162</v>
      </c>
      <c r="C37" s="227" t="s">
        <v>192</v>
      </c>
      <c r="D37" s="228">
        <v>25</v>
      </c>
      <c r="E37" s="231">
        <v>40035</v>
      </c>
      <c r="F37" s="231">
        <v>39980</v>
      </c>
      <c r="G37" s="228">
        <v>55</v>
      </c>
      <c r="H37" s="229">
        <v>1.4E-3</v>
      </c>
      <c r="I37" s="231">
        <v>39935</v>
      </c>
      <c r="J37" s="231">
        <v>39860</v>
      </c>
      <c r="K37" s="228">
        <v>75</v>
      </c>
      <c r="L37" s="229">
        <v>1.9E-3</v>
      </c>
      <c r="M37" s="231">
        <v>40035</v>
      </c>
      <c r="N37" s="231">
        <v>39980</v>
      </c>
      <c r="O37" s="228">
        <v>55</v>
      </c>
      <c r="P37" s="229">
        <v>1.4E-3</v>
      </c>
      <c r="Q37" s="231">
        <v>40245</v>
      </c>
      <c r="R37" s="231">
        <v>40210</v>
      </c>
      <c r="S37" s="228">
        <v>35</v>
      </c>
      <c r="T37" s="229">
        <v>8.9999999999999998E-4</v>
      </c>
      <c r="U37" s="231">
        <v>40400</v>
      </c>
      <c r="V37" s="231">
        <v>40330</v>
      </c>
      <c r="W37" s="228">
        <v>70</v>
      </c>
      <c r="X37" s="229">
        <v>1.6999999999999999E-3</v>
      </c>
      <c r="Y37" s="228">
        <v>100</v>
      </c>
      <c r="Z37" s="228">
        <v>120</v>
      </c>
      <c r="AA37" s="228">
        <v>-20</v>
      </c>
      <c r="AB37" s="229">
        <v>2.5000000000000001E-3</v>
      </c>
      <c r="AC37" s="228">
        <v>100</v>
      </c>
      <c r="AD37" s="228">
        <v>120</v>
      </c>
      <c r="AE37" s="228">
        <v>-20</v>
      </c>
      <c r="AF37" s="229">
        <v>2.5000000000000001E-3</v>
      </c>
      <c r="AG37" s="228">
        <v>310</v>
      </c>
      <c r="AH37" s="228">
        <v>350</v>
      </c>
      <c r="AI37" s="228">
        <v>-40</v>
      </c>
      <c r="AJ37" s="229">
        <v>7.7999999999999996E-3</v>
      </c>
      <c r="AK37" s="228">
        <v>465</v>
      </c>
      <c r="AL37" s="228">
        <v>470</v>
      </c>
      <c r="AM37" s="228">
        <v>-5</v>
      </c>
      <c r="AN37" s="229">
        <v>1.1599999999999999E-2</v>
      </c>
      <c r="AO37" s="231">
        <v>40075.07</v>
      </c>
      <c r="AP37" s="231">
        <v>40303.019999999997</v>
      </c>
      <c r="AQ37" s="228">
        <v>0</v>
      </c>
      <c r="AR37" s="230">
        <v>46325</v>
      </c>
      <c r="AS37" s="230">
        <v>59100</v>
      </c>
      <c r="AT37" s="230">
        <v>-12775</v>
      </c>
      <c r="AU37" s="229">
        <v>-0.2162</v>
      </c>
      <c r="AV37" s="230">
        <v>37725</v>
      </c>
      <c r="AW37" s="230">
        <v>53800</v>
      </c>
      <c r="AX37" s="230">
        <v>-16075</v>
      </c>
      <c r="AY37" s="229">
        <v>-0.29880000000000001</v>
      </c>
      <c r="AZ37" s="230">
        <v>7950</v>
      </c>
      <c r="BA37" s="230">
        <v>5025</v>
      </c>
      <c r="BB37" s="230">
        <v>2925</v>
      </c>
      <c r="BC37" s="229">
        <v>0.58209999999999995</v>
      </c>
      <c r="BD37" s="228">
        <v>650</v>
      </c>
      <c r="BE37" s="228">
        <v>275</v>
      </c>
      <c r="BF37" s="228">
        <v>375</v>
      </c>
      <c r="BG37" s="229">
        <v>1.3635999999999999</v>
      </c>
      <c r="BH37" s="230">
        <v>327200</v>
      </c>
      <c r="BI37" s="230">
        <v>607250</v>
      </c>
      <c r="BJ37" s="230">
        <v>-280050</v>
      </c>
      <c r="BK37" s="229">
        <v>-0.4612</v>
      </c>
      <c r="BL37" s="230">
        <v>135800</v>
      </c>
      <c r="BM37" s="230">
        <v>184725</v>
      </c>
      <c r="BN37" s="230">
        <v>-48925</v>
      </c>
      <c r="BO37" s="229">
        <v>-0.26490000000000002</v>
      </c>
      <c r="BP37" s="230">
        <v>509325</v>
      </c>
      <c r="BQ37" s="230">
        <v>851075</v>
      </c>
      <c r="BR37" s="230">
        <v>-341750</v>
      </c>
      <c r="BS37" s="229">
        <v>-0.40160000000000001</v>
      </c>
      <c r="BT37" s="230">
        <v>19034</v>
      </c>
      <c r="BU37" s="230">
        <v>26247</v>
      </c>
      <c r="BV37" s="230">
        <v>-7213</v>
      </c>
      <c r="BW37" s="229">
        <v>-0.27479999999999999</v>
      </c>
      <c r="BX37" s="230">
        <v>300250</v>
      </c>
      <c r="BY37" s="230">
        <v>300925</v>
      </c>
      <c r="BZ37" s="228">
        <v>-675</v>
      </c>
      <c r="CA37" s="229">
        <v>-2.2000000000000001E-3</v>
      </c>
      <c r="CB37" s="230">
        <v>282500</v>
      </c>
      <c r="CC37" s="230">
        <v>286075</v>
      </c>
      <c r="CD37" s="230">
        <v>-3575</v>
      </c>
      <c r="CE37" s="229">
        <v>-1.2500000000000001E-2</v>
      </c>
      <c r="CF37" s="230">
        <v>15550</v>
      </c>
      <c r="CG37" s="230">
        <v>12425</v>
      </c>
      <c r="CH37" s="230">
        <v>3125</v>
      </c>
      <c r="CI37" s="229">
        <v>0.2515</v>
      </c>
      <c r="CJ37" s="230">
        <v>2200</v>
      </c>
      <c r="CK37" s="230">
        <v>2425</v>
      </c>
      <c r="CL37" s="228">
        <v>-225</v>
      </c>
      <c r="CM37" s="229">
        <v>-9.2799999999999994E-2</v>
      </c>
      <c r="CN37" s="230">
        <v>367475</v>
      </c>
      <c r="CO37" s="230">
        <v>359650</v>
      </c>
      <c r="CP37" s="230">
        <v>7825</v>
      </c>
      <c r="CQ37" s="229">
        <v>2.18E-2</v>
      </c>
      <c r="CR37" s="230">
        <v>127875</v>
      </c>
      <c r="CS37" s="230">
        <v>125250</v>
      </c>
      <c r="CT37" s="230">
        <v>2625</v>
      </c>
      <c r="CU37" s="229">
        <v>2.1000000000000001E-2</v>
      </c>
      <c r="CV37" s="230">
        <v>795600</v>
      </c>
      <c r="CW37" s="230">
        <v>785825</v>
      </c>
      <c r="CX37" s="230">
        <v>9775</v>
      </c>
      <c r="CY37" s="229">
        <v>1.24E-2</v>
      </c>
      <c r="CZ37" s="228">
        <v>31.14</v>
      </c>
      <c r="DA37" s="228">
        <v>30.31</v>
      </c>
      <c r="DB37" s="228">
        <v>0.83</v>
      </c>
      <c r="DC37" s="228">
        <v>0.83</v>
      </c>
      <c r="DD37" s="228">
        <v>30.68</v>
      </c>
      <c r="DE37" s="228">
        <v>30.76</v>
      </c>
      <c r="DF37" s="228">
        <v>0.46</v>
      </c>
      <c r="DG37" s="228">
        <v>-0.08</v>
      </c>
      <c r="DH37" s="228">
        <v>31.48</v>
      </c>
      <c r="DI37" s="228">
        <v>30.29</v>
      </c>
      <c r="DJ37" s="228">
        <v>1.19</v>
      </c>
      <c r="DK37" s="228">
        <v>1.19</v>
      </c>
      <c r="DL37" s="228">
        <v>30.31</v>
      </c>
      <c r="DM37" s="228">
        <v>30.39</v>
      </c>
      <c r="DN37" s="228">
        <v>-0.08</v>
      </c>
      <c r="DO37" s="228">
        <v>-0.08</v>
      </c>
      <c r="DP37" s="228">
        <v>0.35</v>
      </c>
      <c r="DQ37" s="228">
        <v>0.35</v>
      </c>
      <c r="DR37" s="228">
        <v>0</v>
      </c>
      <c r="DS37" s="229">
        <v>0</v>
      </c>
      <c r="DT37" s="231">
        <v>45000</v>
      </c>
      <c r="DU37" s="231">
        <v>40000</v>
      </c>
      <c r="DV37" s="228">
        <v>0.42</v>
      </c>
      <c r="DW37" s="228">
        <v>0.3</v>
      </c>
      <c r="DX37" s="228">
        <v>0.12</v>
      </c>
      <c r="DY37" s="229">
        <v>0.4</v>
      </c>
      <c r="DZ37" s="229">
        <v>5.91E-2</v>
      </c>
      <c r="EA37" s="230">
        <v>14850</v>
      </c>
      <c r="EB37" s="229">
        <v>5.1999999999999998E-3</v>
      </c>
      <c r="EC37" s="229">
        <v>5.91E-2</v>
      </c>
      <c r="ED37" s="228">
        <v>227.95</v>
      </c>
      <c r="EE37" s="229">
        <v>5.7000000000000002E-3</v>
      </c>
      <c r="EF37" s="230">
        <v>7178</v>
      </c>
      <c r="EG37" s="230">
        <v>7831</v>
      </c>
      <c r="EH37" s="229">
        <v>-8.3400000000000002E-2</v>
      </c>
      <c r="EI37" s="229">
        <v>0.37709999999999999</v>
      </c>
      <c r="EJ37" s="231">
        <v>138304.46</v>
      </c>
      <c r="EK37" s="231">
        <v>52111.28</v>
      </c>
      <c r="EL37" s="231">
        <v>18585.25</v>
      </c>
      <c r="EM37" s="228">
        <v>0</v>
      </c>
      <c r="EN37" s="231">
        <v>209000.99</v>
      </c>
      <c r="EO37" s="231">
        <v>350329.51</v>
      </c>
      <c r="EP37" s="231">
        <v>-141328.51999999999</v>
      </c>
      <c r="EQ37" s="229">
        <v>-0.40339999999999998</v>
      </c>
      <c r="ER37" s="231">
        <v>156555</v>
      </c>
      <c r="ES37" s="231">
        <v>48225</v>
      </c>
      <c r="ET37" s="231">
        <v>120246</v>
      </c>
      <c r="EU37" s="231">
        <v>1737683</v>
      </c>
      <c r="EV37" s="231">
        <v>325026</v>
      </c>
      <c r="EW37" s="231">
        <v>320680</v>
      </c>
      <c r="EX37" s="231">
        <v>4346</v>
      </c>
      <c r="EY37" s="229">
        <v>1.3599999999999999E-2</v>
      </c>
      <c r="EZ37" s="229">
        <v>0.45789999999999997</v>
      </c>
      <c r="FA37" s="227" t="s">
        <v>556</v>
      </c>
      <c r="FB37" s="161">
        <f t="shared" si="0"/>
        <v>17750</v>
      </c>
    </row>
    <row r="38" spans="1:158" ht="17.25" hidden="1" thickBot="1" x14ac:dyDescent="0.3">
      <c r="A38" s="226">
        <v>45889</v>
      </c>
      <c r="B38" s="227" t="s">
        <v>193</v>
      </c>
      <c r="C38" s="227" t="s">
        <v>194</v>
      </c>
      <c r="D38" s="228">
        <v>1975</v>
      </c>
      <c r="E38" s="228">
        <v>320.8</v>
      </c>
      <c r="F38" s="228">
        <v>322.10000000000002</v>
      </c>
      <c r="G38" s="228">
        <v>-1.3</v>
      </c>
      <c r="H38" s="229">
        <v>-4.0000000000000001E-3</v>
      </c>
      <c r="I38" s="228">
        <v>319.95</v>
      </c>
      <c r="J38" s="228">
        <v>321.45</v>
      </c>
      <c r="K38" s="228">
        <v>-1.5</v>
      </c>
      <c r="L38" s="229">
        <v>-4.7000000000000002E-3</v>
      </c>
      <c r="M38" s="228">
        <v>320.8</v>
      </c>
      <c r="N38" s="228">
        <v>322.10000000000002</v>
      </c>
      <c r="O38" s="228">
        <v>-1.3</v>
      </c>
      <c r="P38" s="229">
        <v>-4.0000000000000001E-3</v>
      </c>
      <c r="Q38" s="228">
        <v>322.3</v>
      </c>
      <c r="R38" s="228">
        <v>323.45</v>
      </c>
      <c r="S38" s="228">
        <v>-1.1499999999999999</v>
      </c>
      <c r="T38" s="229">
        <v>-3.5999999999999999E-3</v>
      </c>
      <c r="U38" s="228">
        <v>323.25</v>
      </c>
      <c r="V38" s="228">
        <v>324.39999999999998</v>
      </c>
      <c r="W38" s="228">
        <v>-1.1499999999999999</v>
      </c>
      <c r="X38" s="229">
        <v>-3.5000000000000001E-3</v>
      </c>
      <c r="Y38" s="228">
        <v>0.85</v>
      </c>
      <c r="Z38" s="228">
        <v>0.65</v>
      </c>
      <c r="AA38" s="228">
        <v>0.2</v>
      </c>
      <c r="AB38" s="229">
        <v>2.7000000000000001E-3</v>
      </c>
      <c r="AC38" s="228">
        <v>0.85</v>
      </c>
      <c r="AD38" s="228">
        <v>0.65</v>
      </c>
      <c r="AE38" s="228">
        <v>0.2</v>
      </c>
      <c r="AF38" s="229">
        <v>2.7000000000000001E-3</v>
      </c>
      <c r="AG38" s="228">
        <v>2.35</v>
      </c>
      <c r="AH38" s="228">
        <v>2</v>
      </c>
      <c r="AI38" s="228">
        <v>0.35</v>
      </c>
      <c r="AJ38" s="229">
        <v>7.3000000000000001E-3</v>
      </c>
      <c r="AK38" s="228">
        <v>3.3</v>
      </c>
      <c r="AL38" s="228">
        <v>2.95</v>
      </c>
      <c r="AM38" s="228">
        <v>0.35</v>
      </c>
      <c r="AN38" s="229">
        <v>1.03E-2</v>
      </c>
      <c r="AO38" s="228">
        <v>321.39999999999998</v>
      </c>
      <c r="AP38" s="228">
        <v>323.23</v>
      </c>
      <c r="AQ38" s="228">
        <v>0</v>
      </c>
      <c r="AR38" s="230">
        <v>4289700</v>
      </c>
      <c r="AS38" s="230">
        <v>8618900</v>
      </c>
      <c r="AT38" s="230">
        <v>-4329200</v>
      </c>
      <c r="AU38" s="229">
        <v>-0.50229999999999997</v>
      </c>
      <c r="AV38" s="230">
        <v>3602400</v>
      </c>
      <c r="AW38" s="230">
        <v>7479325</v>
      </c>
      <c r="AX38" s="230">
        <v>-3876925</v>
      </c>
      <c r="AY38" s="229">
        <v>-0.51839999999999997</v>
      </c>
      <c r="AZ38" s="230">
        <v>647800</v>
      </c>
      <c r="BA38" s="230">
        <v>977625</v>
      </c>
      <c r="BB38" s="230">
        <v>-329825</v>
      </c>
      <c r="BC38" s="229">
        <v>-0.33739999999999998</v>
      </c>
      <c r="BD38" s="230">
        <v>39500</v>
      </c>
      <c r="BE38" s="230">
        <v>161950</v>
      </c>
      <c r="BF38" s="230">
        <v>-122450</v>
      </c>
      <c r="BG38" s="229">
        <v>-0.75609999999999999</v>
      </c>
      <c r="BH38" s="230">
        <v>13570225</v>
      </c>
      <c r="BI38" s="230">
        <v>32202375</v>
      </c>
      <c r="BJ38" s="230">
        <v>-18632150</v>
      </c>
      <c r="BK38" s="229">
        <v>-0.5786</v>
      </c>
      <c r="BL38" s="230">
        <v>7836800</v>
      </c>
      <c r="BM38" s="230">
        <v>15894800</v>
      </c>
      <c r="BN38" s="230">
        <v>-8058000</v>
      </c>
      <c r="BO38" s="229">
        <v>-0.50700000000000001</v>
      </c>
      <c r="BP38" s="230">
        <v>25696725</v>
      </c>
      <c r="BQ38" s="230">
        <v>56716075</v>
      </c>
      <c r="BR38" s="230">
        <v>-31019350</v>
      </c>
      <c r="BS38" s="229">
        <v>-0.54690000000000005</v>
      </c>
      <c r="BT38" s="230">
        <v>3765824</v>
      </c>
      <c r="BU38" s="230">
        <v>4549083</v>
      </c>
      <c r="BV38" s="230">
        <v>-783259</v>
      </c>
      <c r="BW38" s="229">
        <v>-0.17219999999999999</v>
      </c>
      <c r="BX38" s="230">
        <v>35729725</v>
      </c>
      <c r="BY38" s="230">
        <v>36091150</v>
      </c>
      <c r="BZ38" s="230">
        <v>-361425</v>
      </c>
      <c r="CA38" s="229">
        <v>-0.01</v>
      </c>
      <c r="CB38" s="230">
        <v>33920625</v>
      </c>
      <c r="CC38" s="230">
        <v>34363025</v>
      </c>
      <c r="CD38" s="230">
        <v>-442400</v>
      </c>
      <c r="CE38" s="229">
        <v>-1.29E-2</v>
      </c>
      <c r="CF38" s="230">
        <v>1641225</v>
      </c>
      <c r="CG38" s="230">
        <v>1564200</v>
      </c>
      <c r="CH38" s="230">
        <v>77025</v>
      </c>
      <c r="CI38" s="229">
        <v>4.9200000000000001E-2</v>
      </c>
      <c r="CJ38" s="230">
        <v>167875</v>
      </c>
      <c r="CK38" s="230">
        <v>163925</v>
      </c>
      <c r="CL38" s="230">
        <v>3950</v>
      </c>
      <c r="CM38" s="229">
        <v>2.41E-2</v>
      </c>
      <c r="CN38" s="230">
        <v>22570300</v>
      </c>
      <c r="CO38" s="230">
        <v>23516325</v>
      </c>
      <c r="CP38" s="230">
        <v>-946025</v>
      </c>
      <c r="CQ38" s="229">
        <v>-4.02E-2</v>
      </c>
      <c r="CR38" s="230">
        <v>12758500</v>
      </c>
      <c r="CS38" s="230">
        <v>13106100</v>
      </c>
      <c r="CT38" s="230">
        <v>-347600</v>
      </c>
      <c r="CU38" s="229">
        <v>-2.6499999999999999E-2</v>
      </c>
      <c r="CV38" s="230">
        <v>71058525</v>
      </c>
      <c r="CW38" s="230">
        <v>72713575</v>
      </c>
      <c r="CX38" s="230">
        <v>-1655050</v>
      </c>
      <c r="CY38" s="229">
        <v>-2.2800000000000001E-2</v>
      </c>
      <c r="CZ38" s="228">
        <v>25.69</v>
      </c>
      <c r="DA38" s="228">
        <v>25.71</v>
      </c>
      <c r="DB38" s="228">
        <v>-0.02</v>
      </c>
      <c r="DC38" s="228">
        <v>-0.02</v>
      </c>
      <c r="DD38" s="228">
        <v>35.32</v>
      </c>
      <c r="DE38" s="228">
        <v>35.4</v>
      </c>
      <c r="DF38" s="228">
        <v>-9.6300000000000008</v>
      </c>
      <c r="DG38" s="228">
        <v>-0.08</v>
      </c>
      <c r="DH38" s="228">
        <v>26.06</v>
      </c>
      <c r="DI38" s="228">
        <v>25.57</v>
      </c>
      <c r="DJ38" s="228">
        <v>0.49</v>
      </c>
      <c r="DK38" s="228">
        <v>0.49</v>
      </c>
      <c r="DL38" s="228">
        <v>25.05</v>
      </c>
      <c r="DM38" s="228">
        <v>26</v>
      </c>
      <c r="DN38" s="228">
        <v>-0.95</v>
      </c>
      <c r="DO38" s="228">
        <v>-0.95</v>
      </c>
      <c r="DP38" s="228">
        <v>0.56999999999999995</v>
      </c>
      <c r="DQ38" s="228">
        <v>0.56000000000000005</v>
      </c>
      <c r="DR38" s="228">
        <v>0.01</v>
      </c>
      <c r="DS38" s="229">
        <v>1.7899999999999999E-2</v>
      </c>
      <c r="DT38" s="228">
        <v>320</v>
      </c>
      <c r="DU38" s="228">
        <v>320</v>
      </c>
      <c r="DV38" s="228">
        <v>0.57999999999999996</v>
      </c>
      <c r="DW38" s="228">
        <v>0.49</v>
      </c>
      <c r="DX38" s="228">
        <v>0.09</v>
      </c>
      <c r="DY38" s="229">
        <v>0.1837</v>
      </c>
      <c r="DZ38" s="229">
        <v>5.0599999999999999E-2</v>
      </c>
      <c r="EA38" s="230">
        <v>1728125</v>
      </c>
      <c r="EB38" s="229">
        <v>4.7000000000000002E-3</v>
      </c>
      <c r="EC38" s="229">
        <v>5.0599999999999999E-2</v>
      </c>
      <c r="ED38" s="228">
        <v>1.83</v>
      </c>
      <c r="EE38" s="229">
        <v>5.7000000000000002E-3</v>
      </c>
      <c r="EF38" s="230">
        <v>2146651</v>
      </c>
      <c r="EG38" s="230">
        <v>1722251</v>
      </c>
      <c r="EH38" s="229">
        <v>0.24640000000000001</v>
      </c>
      <c r="EI38" s="229">
        <v>0.56999999999999995</v>
      </c>
      <c r="EJ38" s="231">
        <v>45110.69</v>
      </c>
      <c r="EK38" s="231">
        <v>24889.8</v>
      </c>
      <c r="EL38" s="231">
        <v>13799.82</v>
      </c>
      <c r="EM38" s="228">
        <v>0</v>
      </c>
      <c r="EN38" s="231">
        <v>83800.31</v>
      </c>
      <c r="EO38" s="231">
        <v>183798.65</v>
      </c>
      <c r="EP38" s="231">
        <v>-99998.34</v>
      </c>
      <c r="EQ38" s="229">
        <v>-0.54410000000000003</v>
      </c>
      <c r="ER38" s="231">
        <v>76075</v>
      </c>
      <c r="ES38" s="231">
        <v>39813</v>
      </c>
      <c r="ET38" s="231">
        <v>114650</v>
      </c>
      <c r="EU38" s="231">
        <v>408027660</v>
      </c>
      <c r="EV38" s="231">
        <v>230538</v>
      </c>
      <c r="EW38" s="231">
        <v>236376</v>
      </c>
      <c r="EX38" s="231">
        <v>-5838</v>
      </c>
      <c r="EY38" s="229">
        <v>-2.47E-2</v>
      </c>
      <c r="EZ38" s="229">
        <v>0.17419999999999999</v>
      </c>
      <c r="FA38" s="227" t="s">
        <v>568</v>
      </c>
      <c r="FB38" s="161">
        <f t="shared" si="0"/>
        <v>1809100</v>
      </c>
    </row>
    <row r="39" spans="1:158" ht="17.25" hidden="1" thickBot="1" x14ac:dyDescent="0.3">
      <c r="A39" s="226">
        <v>45889</v>
      </c>
      <c r="B39" s="227" t="s">
        <v>168</v>
      </c>
      <c r="C39" s="227" t="s">
        <v>195</v>
      </c>
      <c r="D39" s="228">
        <v>125</v>
      </c>
      <c r="E39" s="231">
        <v>5705</v>
      </c>
      <c r="F39" s="231">
        <v>5511.5</v>
      </c>
      <c r="G39" s="228">
        <v>193.5</v>
      </c>
      <c r="H39" s="229">
        <v>3.5099999999999999E-2</v>
      </c>
      <c r="I39" s="231">
        <v>5701</v>
      </c>
      <c r="J39" s="231">
        <v>5499</v>
      </c>
      <c r="K39" s="228">
        <v>202</v>
      </c>
      <c r="L39" s="229">
        <v>3.6700000000000003E-2</v>
      </c>
      <c r="M39" s="231">
        <v>5705</v>
      </c>
      <c r="N39" s="231">
        <v>5511.5</v>
      </c>
      <c r="O39" s="228">
        <v>193.5</v>
      </c>
      <c r="P39" s="229">
        <v>3.5099999999999999E-2</v>
      </c>
      <c r="Q39" s="231">
        <v>5733.5</v>
      </c>
      <c r="R39" s="231">
        <v>5544</v>
      </c>
      <c r="S39" s="228">
        <v>189.5</v>
      </c>
      <c r="T39" s="229">
        <v>3.4200000000000001E-2</v>
      </c>
      <c r="U39" s="231">
        <v>5766</v>
      </c>
      <c r="V39" s="231">
        <v>5569</v>
      </c>
      <c r="W39" s="228">
        <v>197</v>
      </c>
      <c r="X39" s="229">
        <v>3.5400000000000001E-2</v>
      </c>
      <c r="Y39" s="228">
        <v>4</v>
      </c>
      <c r="Z39" s="228">
        <v>12.5</v>
      </c>
      <c r="AA39" s="228">
        <v>-8.5</v>
      </c>
      <c r="AB39" s="229">
        <v>6.9999999999999999E-4</v>
      </c>
      <c r="AC39" s="228">
        <v>4</v>
      </c>
      <c r="AD39" s="228">
        <v>12.5</v>
      </c>
      <c r="AE39" s="228">
        <v>-8.5</v>
      </c>
      <c r="AF39" s="229">
        <v>6.9999999999999999E-4</v>
      </c>
      <c r="AG39" s="228">
        <v>32.5</v>
      </c>
      <c r="AH39" s="228">
        <v>45</v>
      </c>
      <c r="AI39" s="228">
        <v>-12.5</v>
      </c>
      <c r="AJ39" s="229">
        <v>5.7000000000000002E-3</v>
      </c>
      <c r="AK39" s="228">
        <v>65</v>
      </c>
      <c r="AL39" s="228">
        <v>70</v>
      </c>
      <c r="AM39" s="228">
        <v>-5</v>
      </c>
      <c r="AN39" s="229">
        <v>1.14E-2</v>
      </c>
      <c r="AO39" s="231">
        <v>5648.56</v>
      </c>
      <c r="AP39" s="231">
        <v>5667.83</v>
      </c>
      <c r="AQ39" s="228">
        <v>0</v>
      </c>
      <c r="AR39" s="230">
        <v>737500</v>
      </c>
      <c r="AS39" s="230">
        <v>292625</v>
      </c>
      <c r="AT39" s="230">
        <v>444875</v>
      </c>
      <c r="AU39" s="229">
        <v>1.5203</v>
      </c>
      <c r="AV39" s="230">
        <v>633750</v>
      </c>
      <c r="AW39" s="230">
        <v>275250</v>
      </c>
      <c r="AX39" s="230">
        <v>358500</v>
      </c>
      <c r="AY39" s="229">
        <v>1.3025</v>
      </c>
      <c r="AZ39" s="230">
        <v>100625</v>
      </c>
      <c r="BA39" s="230">
        <v>16250</v>
      </c>
      <c r="BB39" s="230">
        <v>84375</v>
      </c>
      <c r="BC39" s="229">
        <v>5.1923000000000004</v>
      </c>
      <c r="BD39" s="230">
        <v>3125</v>
      </c>
      <c r="BE39" s="230">
        <v>1125</v>
      </c>
      <c r="BF39" s="230">
        <v>2000</v>
      </c>
      <c r="BG39" s="229">
        <v>1.7778</v>
      </c>
      <c r="BH39" s="230">
        <v>8773500</v>
      </c>
      <c r="BI39" s="230">
        <v>1552625</v>
      </c>
      <c r="BJ39" s="230">
        <v>7220875</v>
      </c>
      <c r="BK39" s="229">
        <v>4.6508000000000003</v>
      </c>
      <c r="BL39" s="230">
        <v>2783625</v>
      </c>
      <c r="BM39" s="230">
        <v>671750</v>
      </c>
      <c r="BN39" s="230">
        <v>2111875</v>
      </c>
      <c r="BO39" s="229">
        <v>3.1438000000000001</v>
      </c>
      <c r="BP39" s="230">
        <v>12294625</v>
      </c>
      <c r="BQ39" s="230">
        <v>2517000</v>
      </c>
      <c r="BR39" s="230">
        <v>9777625</v>
      </c>
      <c r="BS39" s="229">
        <v>3.8845999999999998</v>
      </c>
      <c r="BT39" s="230">
        <v>464840</v>
      </c>
      <c r="BU39" s="230">
        <v>157215</v>
      </c>
      <c r="BV39" s="230">
        <v>307625</v>
      </c>
      <c r="BW39" s="229">
        <v>1.9567000000000001</v>
      </c>
      <c r="BX39" s="230">
        <v>3480000</v>
      </c>
      <c r="BY39" s="230">
        <v>3470500</v>
      </c>
      <c r="BZ39" s="230">
        <v>9500</v>
      </c>
      <c r="CA39" s="229">
        <v>2.7000000000000001E-3</v>
      </c>
      <c r="CB39" s="230">
        <v>3344250</v>
      </c>
      <c r="CC39" s="230">
        <v>3369750</v>
      </c>
      <c r="CD39" s="230">
        <v>-25500</v>
      </c>
      <c r="CE39" s="229">
        <v>-7.6E-3</v>
      </c>
      <c r="CF39" s="230">
        <v>128500</v>
      </c>
      <c r="CG39" s="230">
        <v>92875</v>
      </c>
      <c r="CH39" s="230">
        <v>35625</v>
      </c>
      <c r="CI39" s="229">
        <v>0.3836</v>
      </c>
      <c r="CJ39" s="230">
        <v>7250</v>
      </c>
      <c r="CK39" s="230">
        <v>7875</v>
      </c>
      <c r="CL39" s="228">
        <v>-625</v>
      </c>
      <c r="CM39" s="229">
        <v>-7.9399999999999998E-2</v>
      </c>
      <c r="CN39" s="230">
        <v>1280625</v>
      </c>
      <c r="CO39" s="230">
        <v>1351625</v>
      </c>
      <c r="CP39" s="230">
        <v>-71000</v>
      </c>
      <c r="CQ39" s="229">
        <v>-5.2499999999999998E-2</v>
      </c>
      <c r="CR39" s="230">
        <v>936500</v>
      </c>
      <c r="CS39" s="230">
        <v>789250</v>
      </c>
      <c r="CT39" s="230">
        <v>147250</v>
      </c>
      <c r="CU39" s="229">
        <v>0.18659999999999999</v>
      </c>
      <c r="CV39" s="230">
        <v>5697125</v>
      </c>
      <c r="CW39" s="230">
        <v>5611375</v>
      </c>
      <c r="CX39" s="230">
        <v>85750</v>
      </c>
      <c r="CY39" s="229">
        <v>1.5299999999999999E-2</v>
      </c>
      <c r="CZ39" s="228">
        <v>23.64</v>
      </c>
      <c r="DA39" s="228">
        <v>20.88</v>
      </c>
      <c r="DB39" s="228">
        <v>2.76</v>
      </c>
      <c r="DC39" s="228">
        <v>2.76</v>
      </c>
      <c r="DD39" s="228">
        <v>25.08</v>
      </c>
      <c r="DE39" s="228">
        <v>24.66</v>
      </c>
      <c r="DF39" s="228">
        <v>-1.44</v>
      </c>
      <c r="DG39" s="228">
        <v>0.42</v>
      </c>
      <c r="DH39" s="228">
        <v>23.26</v>
      </c>
      <c r="DI39" s="228">
        <v>21</v>
      </c>
      <c r="DJ39" s="228">
        <v>2.2599999999999998</v>
      </c>
      <c r="DK39" s="228">
        <v>2.2599999999999998</v>
      </c>
      <c r="DL39" s="228">
        <v>24.85</v>
      </c>
      <c r="DM39" s="228">
        <v>20.59</v>
      </c>
      <c r="DN39" s="228">
        <v>4.26</v>
      </c>
      <c r="DO39" s="228">
        <v>4.26</v>
      </c>
      <c r="DP39" s="228">
        <v>0.73</v>
      </c>
      <c r="DQ39" s="228">
        <v>0.57999999999999996</v>
      </c>
      <c r="DR39" s="228">
        <v>0.15</v>
      </c>
      <c r="DS39" s="229">
        <v>0.2586</v>
      </c>
      <c r="DT39" s="231">
        <v>5800</v>
      </c>
      <c r="DU39" s="231">
        <v>4900</v>
      </c>
      <c r="DV39" s="228">
        <v>0.32</v>
      </c>
      <c r="DW39" s="228">
        <v>0.43</v>
      </c>
      <c r="DX39" s="228">
        <v>-0.11</v>
      </c>
      <c r="DY39" s="229">
        <v>-0.25580000000000003</v>
      </c>
      <c r="DZ39" s="229">
        <v>3.9E-2</v>
      </c>
      <c r="EA39" s="230">
        <v>100750</v>
      </c>
      <c r="EB39" s="229">
        <v>5.0000000000000001E-3</v>
      </c>
      <c r="EC39" s="229">
        <v>3.9E-2</v>
      </c>
      <c r="ED39" s="228">
        <v>19.27</v>
      </c>
      <c r="EE39" s="229">
        <v>3.3999999999999998E-3</v>
      </c>
      <c r="EF39" s="230">
        <v>206183</v>
      </c>
      <c r="EG39" s="230">
        <v>77527</v>
      </c>
      <c r="EH39" s="229">
        <v>1.6595</v>
      </c>
      <c r="EI39" s="229">
        <v>0.44359999999999999</v>
      </c>
      <c r="EJ39" s="231">
        <v>510010.38</v>
      </c>
      <c r="EK39" s="231">
        <v>154064.54</v>
      </c>
      <c r="EL39" s="231">
        <v>41679.339999999997</v>
      </c>
      <c r="EM39" s="228">
        <v>0</v>
      </c>
      <c r="EN39" s="231">
        <v>705754.26</v>
      </c>
      <c r="EO39" s="231">
        <v>139904.41</v>
      </c>
      <c r="EP39" s="231">
        <v>565849.85</v>
      </c>
      <c r="EQ39" s="229">
        <v>4.0445000000000002</v>
      </c>
      <c r="ER39" s="231">
        <v>75049</v>
      </c>
      <c r="ES39" s="231">
        <v>50102</v>
      </c>
      <c r="ET39" s="231">
        <v>198575</v>
      </c>
      <c r="EU39" s="231">
        <v>23823080</v>
      </c>
      <c r="EV39" s="231">
        <v>323726</v>
      </c>
      <c r="EW39" s="231">
        <v>311689</v>
      </c>
      <c r="EX39" s="231">
        <v>12037</v>
      </c>
      <c r="EY39" s="229">
        <v>3.8600000000000002E-2</v>
      </c>
      <c r="EZ39" s="229">
        <v>0.23910000000000001</v>
      </c>
      <c r="FA39" s="227" t="s">
        <v>555</v>
      </c>
      <c r="FB39" s="161">
        <f t="shared" si="0"/>
        <v>135750</v>
      </c>
    </row>
    <row r="40" spans="1:158" ht="17.25" hidden="1" thickBot="1" x14ac:dyDescent="0.3">
      <c r="A40" s="226">
        <v>45889</v>
      </c>
      <c r="B40" s="227" t="s">
        <v>175</v>
      </c>
      <c r="C40" s="227" t="s">
        <v>585</v>
      </c>
      <c r="D40" s="228">
        <v>375</v>
      </c>
      <c r="E40" s="231">
        <v>2529.1</v>
      </c>
      <c r="F40" s="231">
        <v>2498.9</v>
      </c>
      <c r="G40" s="228">
        <v>30.2</v>
      </c>
      <c r="H40" s="229">
        <v>1.21E-2</v>
      </c>
      <c r="I40" s="231">
        <v>2523</v>
      </c>
      <c r="J40" s="231">
        <v>2491.5</v>
      </c>
      <c r="K40" s="228">
        <v>31.5</v>
      </c>
      <c r="L40" s="229">
        <v>1.26E-2</v>
      </c>
      <c r="M40" s="231">
        <v>2529.1</v>
      </c>
      <c r="N40" s="231">
        <v>2498.9</v>
      </c>
      <c r="O40" s="228">
        <v>30.2</v>
      </c>
      <c r="P40" s="229">
        <v>1.21E-2</v>
      </c>
      <c r="Q40" s="231">
        <v>2539.8000000000002</v>
      </c>
      <c r="R40" s="231">
        <v>2507.4</v>
      </c>
      <c r="S40" s="228">
        <v>32.4</v>
      </c>
      <c r="T40" s="229">
        <v>1.29E-2</v>
      </c>
      <c r="U40" s="231">
        <v>2547.1</v>
      </c>
      <c r="V40" s="231">
        <v>2518.6</v>
      </c>
      <c r="W40" s="228">
        <v>28.5</v>
      </c>
      <c r="X40" s="229">
        <v>1.1299999999999999E-2</v>
      </c>
      <c r="Y40" s="228">
        <v>6.1</v>
      </c>
      <c r="Z40" s="228">
        <v>7.4</v>
      </c>
      <c r="AA40" s="228">
        <v>-1.3</v>
      </c>
      <c r="AB40" s="229">
        <v>2.3999999999999998E-3</v>
      </c>
      <c r="AC40" s="228">
        <v>6.1</v>
      </c>
      <c r="AD40" s="228">
        <v>7.4</v>
      </c>
      <c r="AE40" s="228">
        <v>-1.3</v>
      </c>
      <c r="AF40" s="229">
        <v>2.3999999999999998E-3</v>
      </c>
      <c r="AG40" s="228">
        <v>16.8</v>
      </c>
      <c r="AH40" s="228">
        <v>15.9</v>
      </c>
      <c r="AI40" s="228">
        <v>0.9</v>
      </c>
      <c r="AJ40" s="229">
        <v>6.7000000000000002E-3</v>
      </c>
      <c r="AK40" s="228">
        <v>24.1</v>
      </c>
      <c r="AL40" s="228">
        <v>27.1</v>
      </c>
      <c r="AM40" s="228">
        <v>-3</v>
      </c>
      <c r="AN40" s="229">
        <v>9.5999999999999992E-3</v>
      </c>
      <c r="AO40" s="231">
        <v>2522.54</v>
      </c>
      <c r="AP40" s="231">
        <v>2533.63</v>
      </c>
      <c r="AQ40" s="228">
        <v>0</v>
      </c>
      <c r="AR40" s="230">
        <v>3110250</v>
      </c>
      <c r="AS40" s="230">
        <v>4107000</v>
      </c>
      <c r="AT40" s="230">
        <v>-996750</v>
      </c>
      <c r="AU40" s="229">
        <v>-0.2427</v>
      </c>
      <c r="AV40" s="230">
        <v>2658750</v>
      </c>
      <c r="AW40" s="230">
        <v>3496500</v>
      </c>
      <c r="AX40" s="230">
        <v>-837750</v>
      </c>
      <c r="AY40" s="229">
        <v>-0.23960000000000001</v>
      </c>
      <c r="AZ40" s="230">
        <v>425625</v>
      </c>
      <c r="BA40" s="230">
        <v>562875</v>
      </c>
      <c r="BB40" s="230">
        <v>-137250</v>
      </c>
      <c r="BC40" s="229">
        <v>-0.24379999999999999</v>
      </c>
      <c r="BD40" s="230">
        <v>25875</v>
      </c>
      <c r="BE40" s="230">
        <v>47625</v>
      </c>
      <c r="BF40" s="230">
        <v>-21750</v>
      </c>
      <c r="BG40" s="229">
        <v>-0.45669999999999999</v>
      </c>
      <c r="BH40" s="230">
        <v>15848625</v>
      </c>
      <c r="BI40" s="230">
        <v>19522875</v>
      </c>
      <c r="BJ40" s="230">
        <v>-3674250</v>
      </c>
      <c r="BK40" s="229">
        <v>-0.18820000000000001</v>
      </c>
      <c r="BL40" s="230">
        <v>10973625</v>
      </c>
      <c r="BM40" s="230">
        <v>16553250</v>
      </c>
      <c r="BN40" s="230">
        <v>-5579625</v>
      </c>
      <c r="BO40" s="229">
        <v>-0.33710000000000001</v>
      </c>
      <c r="BP40" s="230">
        <v>29932500</v>
      </c>
      <c r="BQ40" s="230">
        <v>40183125</v>
      </c>
      <c r="BR40" s="230">
        <v>-10250625</v>
      </c>
      <c r="BS40" s="229">
        <v>-0.25509999999999999</v>
      </c>
      <c r="BT40" s="230">
        <v>2674274</v>
      </c>
      <c r="BU40" s="230">
        <v>3159563</v>
      </c>
      <c r="BV40" s="230">
        <v>-485289</v>
      </c>
      <c r="BW40" s="229">
        <v>-0.15359999999999999</v>
      </c>
      <c r="BX40" s="230">
        <v>10640625</v>
      </c>
      <c r="BY40" s="230">
        <v>10932375</v>
      </c>
      <c r="BZ40" s="230">
        <v>-291750</v>
      </c>
      <c r="CA40" s="229">
        <v>-2.6700000000000002E-2</v>
      </c>
      <c r="CB40" s="230">
        <v>9420750</v>
      </c>
      <c r="CC40" s="230">
        <v>9784875</v>
      </c>
      <c r="CD40" s="230">
        <v>-364125</v>
      </c>
      <c r="CE40" s="229">
        <v>-3.7199999999999997E-2</v>
      </c>
      <c r="CF40" s="230">
        <v>1132500</v>
      </c>
      <c r="CG40" s="230">
        <v>1056750</v>
      </c>
      <c r="CH40" s="230">
        <v>75750</v>
      </c>
      <c r="CI40" s="229">
        <v>7.17E-2</v>
      </c>
      <c r="CJ40" s="230">
        <v>87375</v>
      </c>
      <c r="CK40" s="230">
        <v>90750</v>
      </c>
      <c r="CL40" s="230">
        <v>-3375</v>
      </c>
      <c r="CM40" s="229">
        <v>-3.7199999999999997E-2</v>
      </c>
      <c r="CN40" s="230">
        <v>8709750</v>
      </c>
      <c r="CO40" s="230">
        <v>9125250</v>
      </c>
      <c r="CP40" s="230">
        <v>-415500</v>
      </c>
      <c r="CQ40" s="229">
        <v>-4.5499999999999999E-2</v>
      </c>
      <c r="CR40" s="230">
        <v>6577875</v>
      </c>
      <c r="CS40" s="230">
        <v>6538875</v>
      </c>
      <c r="CT40" s="230">
        <v>39000</v>
      </c>
      <c r="CU40" s="229">
        <v>6.0000000000000001E-3</v>
      </c>
      <c r="CV40" s="230">
        <v>25928250</v>
      </c>
      <c r="CW40" s="230">
        <v>26596500</v>
      </c>
      <c r="CX40" s="230">
        <v>-668250</v>
      </c>
      <c r="CY40" s="229">
        <v>-2.5100000000000001E-2</v>
      </c>
      <c r="CZ40" s="228">
        <v>42.52</v>
      </c>
      <c r="DA40" s="228">
        <v>44.14</v>
      </c>
      <c r="DB40" s="228">
        <v>-1.62</v>
      </c>
      <c r="DC40" s="228">
        <v>-1.62</v>
      </c>
      <c r="DD40" s="228">
        <v>65.88</v>
      </c>
      <c r="DE40" s="228">
        <v>66.02</v>
      </c>
      <c r="DF40" s="228">
        <v>-23.36</v>
      </c>
      <c r="DG40" s="228">
        <v>-0.14000000000000001</v>
      </c>
      <c r="DH40" s="228">
        <v>40.479999999999997</v>
      </c>
      <c r="DI40" s="228">
        <v>42.14</v>
      </c>
      <c r="DJ40" s="228">
        <v>-1.66</v>
      </c>
      <c r="DK40" s="228">
        <v>-1.66</v>
      </c>
      <c r="DL40" s="228">
        <v>45.47</v>
      </c>
      <c r="DM40" s="228">
        <v>46.49</v>
      </c>
      <c r="DN40" s="228">
        <v>-1.02</v>
      </c>
      <c r="DO40" s="228">
        <v>-1.02</v>
      </c>
      <c r="DP40" s="228">
        <v>0.76</v>
      </c>
      <c r="DQ40" s="228">
        <v>0.72</v>
      </c>
      <c r="DR40" s="228">
        <v>0.04</v>
      </c>
      <c r="DS40" s="229">
        <v>5.5599999999999997E-2</v>
      </c>
      <c r="DT40" s="231">
        <v>2600</v>
      </c>
      <c r="DU40" s="231">
        <v>2000</v>
      </c>
      <c r="DV40" s="228">
        <v>0.69</v>
      </c>
      <c r="DW40" s="228">
        <v>0.85</v>
      </c>
      <c r="DX40" s="228">
        <v>-0.16</v>
      </c>
      <c r="DY40" s="229">
        <v>-0.18820000000000001</v>
      </c>
      <c r="DZ40" s="229">
        <v>0.11459999999999999</v>
      </c>
      <c r="EA40" s="230">
        <v>1147500</v>
      </c>
      <c r="EB40" s="229">
        <v>4.1999999999999997E-3</v>
      </c>
      <c r="EC40" s="229">
        <v>0.11459999999999999</v>
      </c>
      <c r="ED40" s="228">
        <v>11.09</v>
      </c>
      <c r="EE40" s="229">
        <v>4.4000000000000003E-3</v>
      </c>
      <c r="EF40" s="230">
        <v>813034</v>
      </c>
      <c r="EG40" s="230">
        <v>488820</v>
      </c>
      <c r="EH40" s="229">
        <v>0.6633</v>
      </c>
      <c r="EI40" s="229">
        <v>0.30399999999999999</v>
      </c>
      <c r="EJ40" s="231">
        <v>419477.37</v>
      </c>
      <c r="EK40" s="231">
        <v>266189.48</v>
      </c>
      <c r="EL40" s="231">
        <v>78509.539999999994</v>
      </c>
      <c r="EM40" s="228">
        <v>0</v>
      </c>
      <c r="EN40" s="231">
        <v>764176.39</v>
      </c>
      <c r="EO40" s="231">
        <v>1016969.39</v>
      </c>
      <c r="EP40" s="231">
        <v>-252793</v>
      </c>
      <c r="EQ40" s="229">
        <v>-0.24859999999999999</v>
      </c>
      <c r="ER40" s="231">
        <v>230958</v>
      </c>
      <c r="ES40" s="231">
        <v>151970</v>
      </c>
      <c r="ET40" s="231">
        <v>269249</v>
      </c>
      <c r="EU40" s="231">
        <v>64513850</v>
      </c>
      <c r="EV40" s="231">
        <v>652177</v>
      </c>
      <c r="EW40" s="231">
        <v>665860</v>
      </c>
      <c r="EX40" s="231">
        <v>-13683</v>
      </c>
      <c r="EY40" s="229">
        <v>-2.0500000000000001E-2</v>
      </c>
      <c r="EZ40" s="229">
        <v>0.40189999999999998</v>
      </c>
      <c r="FA40" s="227" t="s">
        <v>556</v>
      </c>
      <c r="FB40" s="161">
        <f t="shared" si="0"/>
        <v>1219875</v>
      </c>
    </row>
    <row r="41" spans="1:158" ht="17.25" hidden="1" thickBot="1" x14ac:dyDescent="0.3">
      <c r="A41" s="226">
        <v>45889</v>
      </c>
      <c r="B41" s="227" t="s">
        <v>175</v>
      </c>
      <c r="C41" s="227" t="s">
        <v>612</v>
      </c>
      <c r="D41" s="228">
        <v>150</v>
      </c>
      <c r="E41" s="231">
        <v>3843.4</v>
      </c>
      <c r="F41" s="231">
        <v>3839.1</v>
      </c>
      <c r="G41" s="228">
        <v>4.3</v>
      </c>
      <c r="H41" s="229">
        <v>1.1000000000000001E-3</v>
      </c>
      <c r="I41" s="231">
        <v>3841.8</v>
      </c>
      <c r="J41" s="231">
        <v>3835.8</v>
      </c>
      <c r="K41" s="228">
        <v>6</v>
      </c>
      <c r="L41" s="229">
        <v>1.6000000000000001E-3</v>
      </c>
      <c r="M41" s="231">
        <v>3843.4</v>
      </c>
      <c r="N41" s="231">
        <v>3839.1</v>
      </c>
      <c r="O41" s="228">
        <v>4.3</v>
      </c>
      <c r="P41" s="229">
        <v>1.1000000000000001E-3</v>
      </c>
      <c r="Q41" s="231">
        <v>3866.9</v>
      </c>
      <c r="R41" s="231">
        <v>3861.4</v>
      </c>
      <c r="S41" s="228">
        <v>5.5</v>
      </c>
      <c r="T41" s="229">
        <v>1.4E-3</v>
      </c>
      <c r="U41" s="231">
        <v>3885</v>
      </c>
      <c r="V41" s="231">
        <v>3875</v>
      </c>
      <c r="W41" s="228">
        <v>10</v>
      </c>
      <c r="X41" s="229">
        <v>2.5999999999999999E-3</v>
      </c>
      <c r="Y41" s="228">
        <v>1.6</v>
      </c>
      <c r="Z41" s="228">
        <v>3.3</v>
      </c>
      <c r="AA41" s="228">
        <v>-1.7</v>
      </c>
      <c r="AB41" s="229">
        <v>4.0000000000000002E-4</v>
      </c>
      <c r="AC41" s="228">
        <v>1.6</v>
      </c>
      <c r="AD41" s="228">
        <v>3.3</v>
      </c>
      <c r="AE41" s="228">
        <v>-1.7</v>
      </c>
      <c r="AF41" s="229">
        <v>4.0000000000000002E-4</v>
      </c>
      <c r="AG41" s="228">
        <v>25.1</v>
      </c>
      <c r="AH41" s="228">
        <v>25.6</v>
      </c>
      <c r="AI41" s="228">
        <v>-0.5</v>
      </c>
      <c r="AJ41" s="229">
        <v>6.4999999999999997E-3</v>
      </c>
      <c r="AK41" s="228">
        <v>43.2</v>
      </c>
      <c r="AL41" s="228">
        <v>39.200000000000003</v>
      </c>
      <c r="AM41" s="228">
        <v>4</v>
      </c>
      <c r="AN41" s="229">
        <v>1.12E-2</v>
      </c>
      <c r="AO41" s="231">
        <v>3840.79</v>
      </c>
      <c r="AP41" s="231">
        <v>3861.3</v>
      </c>
      <c r="AQ41" s="228">
        <v>0</v>
      </c>
      <c r="AR41" s="230">
        <v>294450</v>
      </c>
      <c r="AS41" s="230">
        <v>530100</v>
      </c>
      <c r="AT41" s="230">
        <v>-235650</v>
      </c>
      <c r="AU41" s="229">
        <v>-0.44450000000000001</v>
      </c>
      <c r="AV41" s="230">
        <v>234750</v>
      </c>
      <c r="AW41" s="230">
        <v>432000</v>
      </c>
      <c r="AX41" s="230">
        <v>-197250</v>
      </c>
      <c r="AY41" s="229">
        <v>-0.45660000000000001</v>
      </c>
      <c r="AZ41" s="230">
        <v>56100</v>
      </c>
      <c r="BA41" s="230">
        <v>89700</v>
      </c>
      <c r="BB41" s="230">
        <v>-33600</v>
      </c>
      <c r="BC41" s="229">
        <v>-0.37459999999999999</v>
      </c>
      <c r="BD41" s="230">
        <v>3600</v>
      </c>
      <c r="BE41" s="230">
        <v>8400</v>
      </c>
      <c r="BF41" s="230">
        <v>-4800</v>
      </c>
      <c r="BG41" s="229">
        <v>-0.57140000000000002</v>
      </c>
      <c r="BH41" s="230">
        <v>1336950</v>
      </c>
      <c r="BI41" s="230">
        <v>958200</v>
      </c>
      <c r="BJ41" s="230">
        <v>378750</v>
      </c>
      <c r="BK41" s="229">
        <v>0.39529999999999998</v>
      </c>
      <c r="BL41" s="230">
        <v>516900</v>
      </c>
      <c r="BM41" s="230">
        <v>597900</v>
      </c>
      <c r="BN41" s="230">
        <v>-81000</v>
      </c>
      <c r="BO41" s="229">
        <v>-0.13550000000000001</v>
      </c>
      <c r="BP41" s="230">
        <v>2148300</v>
      </c>
      <c r="BQ41" s="230">
        <v>2086200</v>
      </c>
      <c r="BR41" s="230">
        <v>62100</v>
      </c>
      <c r="BS41" s="229">
        <v>2.98E-2</v>
      </c>
      <c r="BT41" s="230">
        <v>192425</v>
      </c>
      <c r="BU41" s="230">
        <v>246346</v>
      </c>
      <c r="BV41" s="230">
        <v>-53921</v>
      </c>
      <c r="BW41" s="229">
        <v>-0.21890000000000001</v>
      </c>
      <c r="BX41" s="230">
        <v>2378100</v>
      </c>
      <c r="BY41" s="230">
        <v>2411700</v>
      </c>
      <c r="BZ41" s="230">
        <v>-33600</v>
      </c>
      <c r="CA41" s="229">
        <v>-1.3899999999999999E-2</v>
      </c>
      <c r="CB41" s="230">
        <v>2150100</v>
      </c>
      <c r="CC41" s="230">
        <v>2206500</v>
      </c>
      <c r="CD41" s="230">
        <v>-56400</v>
      </c>
      <c r="CE41" s="229">
        <v>-2.5600000000000001E-2</v>
      </c>
      <c r="CF41" s="230">
        <v>216150</v>
      </c>
      <c r="CG41" s="230">
        <v>194250</v>
      </c>
      <c r="CH41" s="230">
        <v>21900</v>
      </c>
      <c r="CI41" s="229">
        <v>0.11269999999999999</v>
      </c>
      <c r="CJ41" s="230">
        <v>11850</v>
      </c>
      <c r="CK41" s="230">
        <v>10950</v>
      </c>
      <c r="CL41" s="228">
        <v>900</v>
      </c>
      <c r="CM41" s="229">
        <v>8.2199999999999995E-2</v>
      </c>
      <c r="CN41" s="230">
        <v>942150</v>
      </c>
      <c r="CO41" s="230">
        <v>1069650</v>
      </c>
      <c r="CP41" s="230">
        <v>-127500</v>
      </c>
      <c r="CQ41" s="229">
        <v>-0.1192</v>
      </c>
      <c r="CR41" s="230">
        <v>625200</v>
      </c>
      <c r="CS41" s="230">
        <v>616350</v>
      </c>
      <c r="CT41" s="230">
        <v>8850</v>
      </c>
      <c r="CU41" s="229">
        <v>1.44E-2</v>
      </c>
      <c r="CV41" s="230">
        <v>3945450</v>
      </c>
      <c r="CW41" s="230">
        <v>4097700</v>
      </c>
      <c r="CX41" s="230">
        <v>-152250</v>
      </c>
      <c r="CY41" s="229">
        <v>-3.7199999999999997E-2</v>
      </c>
      <c r="CZ41" s="228">
        <v>31.42</v>
      </c>
      <c r="DA41" s="228">
        <v>31.26</v>
      </c>
      <c r="DB41" s="228">
        <v>0.16</v>
      </c>
      <c r="DC41" s="228">
        <v>0.16</v>
      </c>
      <c r="DD41" s="228">
        <v>45.11</v>
      </c>
      <c r="DE41" s="228">
        <v>45.22</v>
      </c>
      <c r="DF41" s="228">
        <v>-13.69</v>
      </c>
      <c r="DG41" s="228">
        <v>-0.11</v>
      </c>
      <c r="DH41" s="228">
        <v>32.159999999999997</v>
      </c>
      <c r="DI41" s="228">
        <v>31.89</v>
      </c>
      <c r="DJ41" s="228">
        <v>0.27</v>
      </c>
      <c r="DK41" s="228">
        <v>0.27</v>
      </c>
      <c r="DL41" s="228">
        <v>29.52</v>
      </c>
      <c r="DM41" s="228">
        <v>30.24</v>
      </c>
      <c r="DN41" s="228">
        <v>-0.72</v>
      </c>
      <c r="DO41" s="228">
        <v>-0.72</v>
      </c>
      <c r="DP41" s="228">
        <v>0.66</v>
      </c>
      <c r="DQ41" s="228">
        <v>0.57999999999999996</v>
      </c>
      <c r="DR41" s="228">
        <v>0.08</v>
      </c>
      <c r="DS41" s="229">
        <v>0.13789999999999999</v>
      </c>
      <c r="DT41" s="231">
        <v>4000</v>
      </c>
      <c r="DU41" s="231">
        <v>3800</v>
      </c>
      <c r="DV41" s="228">
        <v>0.39</v>
      </c>
      <c r="DW41" s="228">
        <v>0.62</v>
      </c>
      <c r="DX41" s="228">
        <v>-0.23</v>
      </c>
      <c r="DY41" s="229">
        <v>-0.371</v>
      </c>
      <c r="DZ41" s="229">
        <v>9.5899999999999999E-2</v>
      </c>
      <c r="EA41" s="230">
        <v>205200</v>
      </c>
      <c r="EB41" s="229">
        <v>6.1000000000000004E-3</v>
      </c>
      <c r="EC41" s="229">
        <v>9.5899999999999999E-2</v>
      </c>
      <c r="ED41" s="228">
        <v>20.51</v>
      </c>
      <c r="EE41" s="229">
        <v>5.3E-3</v>
      </c>
      <c r="EF41" s="230">
        <v>82596</v>
      </c>
      <c r="EG41" s="230">
        <v>114269</v>
      </c>
      <c r="EH41" s="229">
        <v>-0.2772</v>
      </c>
      <c r="EI41" s="229">
        <v>0.42920000000000003</v>
      </c>
      <c r="EJ41" s="231">
        <v>54443.38</v>
      </c>
      <c r="EK41" s="231">
        <v>19777.52</v>
      </c>
      <c r="EL41" s="231">
        <v>11322.24</v>
      </c>
      <c r="EM41" s="228">
        <v>0</v>
      </c>
      <c r="EN41" s="231">
        <v>85543.14</v>
      </c>
      <c r="EO41" s="231">
        <v>82090.100000000006</v>
      </c>
      <c r="EP41" s="231">
        <v>3453.04</v>
      </c>
      <c r="EQ41" s="229">
        <v>4.2099999999999999E-2</v>
      </c>
      <c r="ER41" s="231">
        <v>38328</v>
      </c>
      <c r="ES41" s="231">
        <v>23661</v>
      </c>
      <c r="ET41" s="231">
        <v>91456</v>
      </c>
      <c r="EU41" s="231">
        <v>9894953</v>
      </c>
      <c r="EV41" s="231">
        <v>153444</v>
      </c>
      <c r="EW41" s="231">
        <v>159379</v>
      </c>
      <c r="EX41" s="231">
        <v>-5935</v>
      </c>
      <c r="EY41" s="229">
        <v>-3.7199999999999997E-2</v>
      </c>
      <c r="EZ41" s="229">
        <v>0.3987</v>
      </c>
      <c r="FA41" s="227" t="s">
        <v>556</v>
      </c>
      <c r="FB41" s="161">
        <f t="shared" si="0"/>
        <v>228000</v>
      </c>
    </row>
    <row r="42" spans="1:158" ht="17.25" hidden="1" thickBot="1" x14ac:dyDescent="0.3">
      <c r="A42" s="226">
        <v>45889</v>
      </c>
      <c r="B42" s="227" t="s">
        <v>172</v>
      </c>
      <c r="C42" s="227" t="s">
        <v>196</v>
      </c>
      <c r="D42" s="228">
        <v>6750</v>
      </c>
      <c r="E42" s="228">
        <v>112.41</v>
      </c>
      <c r="F42" s="228">
        <v>112.06</v>
      </c>
      <c r="G42" s="228">
        <v>0.35</v>
      </c>
      <c r="H42" s="229">
        <v>3.0999999999999999E-3</v>
      </c>
      <c r="I42" s="228">
        <v>112.28</v>
      </c>
      <c r="J42" s="228">
        <v>111.67</v>
      </c>
      <c r="K42" s="228">
        <v>0.61</v>
      </c>
      <c r="L42" s="229">
        <v>5.4999999999999997E-3</v>
      </c>
      <c r="M42" s="228">
        <v>112.41</v>
      </c>
      <c r="N42" s="228">
        <v>112.06</v>
      </c>
      <c r="O42" s="228">
        <v>0.35</v>
      </c>
      <c r="P42" s="229">
        <v>3.0999999999999999E-3</v>
      </c>
      <c r="Q42" s="228">
        <v>113.06</v>
      </c>
      <c r="R42" s="228">
        <v>112.68</v>
      </c>
      <c r="S42" s="228">
        <v>0.38</v>
      </c>
      <c r="T42" s="229">
        <v>3.3999999999999998E-3</v>
      </c>
      <c r="U42" s="228">
        <v>113.66</v>
      </c>
      <c r="V42" s="228">
        <v>113.24</v>
      </c>
      <c r="W42" s="228">
        <v>0.42</v>
      </c>
      <c r="X42" s="229">
        <v>3.7000000000000002E-3</v>
      </c>
      <c r="Y42" s="228">
        <v>0.13</v>
      </c>
      <c r="Z42" s="228">
        <v>0.39</v>
      </c>
      <c r="AA42" s="228">
        <v>-0.26</v>
      </c>
      <c r="AB42" s="229">
        <v>1.1999999999999999E-3</v>
      </c>
      <c r="AC42" s="228">
        <v>0.13</v>
      </c>
      <c r="AD42" s="228">
        <v>0.39</v>
      </c>
      <c r="AE42" s="228">
        <v>-0.26</v>
      </c>
      <c r="AF42" s="229">
        <v>1.1999999999999999E-3</v>
      </c>
      <c r="AG42" s="228">
        <v>0.78</v>
      </c>
      <c r="AH42" s="228">
        <v>1.01</v>
      </c>
      <c r="AI42" s="228">
        <v>-0.23</v>
      </c>
      <c r="AJ42" s="229">
        <v>6.8999999999999999E-3</v>
      </c>
      <c r="AK42" s="228">
        <v>1.38</v>
      </c>
      <c r="AL42" s="228">
        <v>1.57</v>
      </c>
      <c r="AM42" s="228">
        <v>-0.19</v>
      </c>
      <c r="AN42" s="229">
        <v>1.23E-2</v>
      </c>
      <c r="AO42" s="228">
        <v>112.37</v>
      </c>
      <c r="AP42" s="228">
        <v>113.03</v>
      </c>
      <c r="AQ42" s="228">
        <v>0</v>
      </c>
      <c r="AR42" s="230">
        <v>31455000</v>
      </c>
      <c r="AS42" s="230">
        <v>43969500</v>
      </c>
      <c r="AT42" s="230">
        <v>-12514500</v>
      </c>
      <c r="AU42" s="229">
        <v>-0.28460000000000002</v>
      </c>
      <c r="AV42" s="230">
        <v>24516000</v>
      </c>
      <c r="AW42" s="230">
        <v>36942750</v>
      </c>
      <c r="AX42" s="230">
        <v>-12426750</v>
      </c>
      <c r="AY42" s="229">
        <v>-0.33639999999999998</v>
      </c>
      <c r="AZ42" s="230">
        <v>6594750</v>
      </c>
      <c r="BA42" s="230">
        <v>6554250</v>
      </c>
      <c r="BB42" s="230">
        <v>40500</v>
      </c>
      <c r="BC42" s="229">
        <v>6.1999999999999998E-3</v>
      </c>
      <c r="BD42" s="230">
        <v>344250</v>
      </c>
      <c r="BE42" s="230">
        <v>472500</v>
      </c>
      <c r="BF42" s="230">
        <v>-128250</v>
      </c>
      <c r="BG42" s="229">
        <v>-0.27139999999999997</v>
      </c>
      <c r="BH42" s="230">
        <v>65117250</v>
      </c>
      <c r="BI42" s="230">
        <v>119691000</v>
      </c>
      <c r="BJ42" s="230">
        <v>-54573750</v>
      </c>
      <c r="BK42" s="229">
        <v>-0.45600000000000002</v>
      </c>
      <c r="BL42" s="230">
        <v>44887500</v>
      </c>
      <c r="BM42" s="230">
        <v>67189500</v>
      </c>
      <c r="BN42" s="230">
        <v>-22302000</v>
      </c>
      <c r="BO42" s="229">
        <v>-0.33189999999999997</v>
      </c>
      <c r="BP42" s="230">
        <v>141459750</v>
      </c>
      <c r="BQ42" s="230">
        <v>230850000</v>
      </c>
      <c r="BR42" s="230">
        <v>-89390250</v>
      </c>
      <c r="BS42" s="229">
        <v>-0.38719999999999999</v>
      </c>
      <c r="BT42" s="230">
        <v>15566633</v>
      </c>
      <c r="BU42" s="230">
        <v>21690976</v>
      </c>
      <c r="BV42" s="230">
        <v>-6124343</v>
      </c>
      <c r="BW42" s="229">
        <v>-0.2823</v>
      </c>
      <c r="BX42" s="230">
        <v>230262750</v>
      </c>
      <c r="BY42" s="230">
        <v>233334000</v>
      </c>
      <c r="BZ42" s="230">
        <v>-3071250</v>
      </c>
      <c r="CA42" s="229">
        <v>-1.32E-2</v>
      </c>
      <c r="CB42" s="230">
        <v>211565250</v>
      </c>
      <c r="CC42" s="230">
        <v>218207250</v>
      </c>
      <c r="CD42" s="230">
        <v>-6642000</v>
      </c>
      <c r="CE42" s="229">
        <v>-3.04E-2</v>
      </c>
      <c r="CF42" s="230">
        <v>17637750</v>
      </c>
      <c r="CG42" s="230">
        <v>14235750</v>
      </c>
      <c r="CH42" s="230">
        <v>3402000</v>
      </c>
      <c r="CI42" s="229">
        <v>0.23899999999999999</v>
      </c>
      <c r="CJ42" s="230">
        <v>1059750</v>
      </c>
      <c r="CK42" s="230">
        <v>891000</v>
      </c>
      <c r="CL42" s="230">
        <v>168750</v>
      </c>
      <c r="CM42" s="229">
        <v>0.18940000000000001</v>
      </c>
      <c r="CN42" s="230">
        <v>89295750</v>
      </c>
      <c r="CO42" s="230">
        <v>92063250</v>
      </c>
      <c r="CP42" s="230">
        <v>-2767500</v>
      </c>
      <c r="CQ42" s="229">
        <v>-3.0099999999999998E-2</v>
      </c>
      <c r="CR42" s="230">
        <v>72434250</v>
      </c>
      <c r="CS42" s="230">
        <v>71064000</v>
      </c>
      <c r="CT42" s="230">
        <v>1370250</v>
      </c>
      <c r="CU42" s="229">
        <v>1.9300000000000001E-2</v>
      </c>
      <c r="CV42" s="230">
        <v>391992750</v>
      </c>
      <c r="CW42" s="230">
        <v>396461250</v>
      </c>
      <c r="CX42" s="230">
        <v>-4468500</v>
      </c>
      <c r="CY42" s="229">
        <v>-1.1299999999999999E-2</v>
      </c>
      <c r="CZ42" s="228">
        <v>24.27</v>
      </c>
      <c r="DA42" s="228">
        <v>25.58</v>
      </c>
      <c r="DB42" s="228">
        <v>-1.31</v>
      </c>
      <c r="DC42" s="228">
        <v>-1.31</v>
      </c>
      <c r="DD42" s="228">
        <v>38.979999999999997</v>
      </c>
      <c r="DE42" s="228">
        <v>39.07</v>
      </c>
      <c r="DF42" s="228">
        <v>-14.71</v>
      </c>
      <c r="DG42" s="228">
        <v>-0.09</v>
      </c>
      <c r="DH42" s="228">
        <v>23.88</v>
      </c>
      <c r="DI42" s="228">
        <v>24.8</v>
      </c>
      <c r="DJ42" s="228">
        <v>-0.92</v>
      </c>
      <c r="DK42" s="228">
        <v>-0.92</v>
      </c>
      <c r="DL42" s="228">
        <v>24.84</v>
      </c>
      <c r="DM42" s="228">
        <v>26.96</v>
      </c>
      <c r="DN42" s="228">
        <v>-2.12</v>
      </c>
      <c r="DO42" s="228">
        <v>-2.12</v>
      </c>
      <c r="DP42" s="228">
        <v>0.81</v>
      </c>
      <c r="DQ42" s="228">
        <v>0.77</v>
      </c>
      <c r="DR42" s="228">
        <v>0.04</v>
      </c>
      <c r="DS42" s="229">
        <v>5.1900000000000002E-2</v>
      </c>
      <c r="DT42" s="228">
        <v>120</v>
      </c>
      <c r="DU42" s="228">
        <v>100</v>
      </c>
      <c r="DV42" s="228">
        <v>0.69</v>
      </c>
      <c r="DW42" s="228">
        <v>0.56000000000000005</v>
      </c>
      <c r="DX42" s="228">
        <v>0.13</v>
      </c>
      <c r="DY42" s="229">
        <v>0.2321</v>
      </c>
      <c r="DZ42" s="229">
        <v>8.1199999999999994E-2</v>
      </c>
      <c r="EA42" s="230">
        <v>15126750</v>
      </c>
      <c r="EB42" s="229">
        <v>5.7999999999999996E-3</v>
      </c>
      <c r="EC42" s="229">
        <v>8.1199999999999994E-2</v>
      </c>
      <c r="ED42" s="228">
        <v>0.66</v>
      </c>
      <c r="EE42" s="229">
        <v>5.8999999999999999E-3</v>
      </c>
      <c r="EF42" s="230">
        <v>8004933</v>
      </c>
      <c r="EG42" s="230">
        <v>10864086</v>
      </c>
      <c r="EH42" s="229">
        <v>-0.26319999999999999</v>
      </c>
      <c r="EI42" s="229">
        <v>0.51419999999999999</v>
      </c>
      <c r="EJ42" s="231">
        <v>74838.42</v>
      </c>
      <c r="EK42" s="231">
        <v>49954.720000000001</v>
      </c>
      <c r="EL42" s="231">
        <v>35393.14</v>
      </c>
      <c r="EM42" s="228">
        <v>0</v>
      </c>
      <c r="EN42" s="231">
        <v>160186.28</v>
      </c>
      <c r="EO42" s="231">
        <v>259738.39</v>
      </c>
      <c r="EP42" s="231">
        <v>-99552.11</v>
      </c>
      <c r="EQ42" s="229">
        <v>-0.38329999999999997</v>
      </c>
      <c r="ER42" s="231">
        <v>102359</v>
      </c>
      <c r="ES42" s="231">
        <v>78010</v>
      </c>
      <c r="ET42" s="231">
        <v>258966</v>
      </c>
      <c r="EU42" s="231">
        <v>672420574</v>
      </c>
      <c r="EV42" s="231">
        <v>439336</v>
      </c>
      <c r="EW42" s="231">
        <v>443382</v>
      </c>
      <c r="EX42" s="231">
        <v>-4046</v>
      </c>
      <c r="EY42" s="229">
        <v>-9.1000000000000004E-3</v>
      </c>
      <c r="EZ42" s="229">
        <v>0.58299999999999996</v>
      </c>
      <c r="FA42" s="227" t="s">
        <v>556</v>
      </c>
      <c r="FB42" s="161">
        <f t="shared" si="0"/>
        <v>18697500</v>
      </c>
    </row>
    <row r="43" spans="1:158" ht="17.25" hidden="1" thickBot="1" x14ac:dyDescent="0.3">
      <c r="A43" s="226">
        <v>45889</v>
      </c>
      <c r="B43" s="227" t="s">
        <v>175</v>
      </c>
      <c r="C43" s="227" t="s">
        <v>598</v>
      </c>
      <c r="D43" s="228">
        <v>475</v>
      </c>
      <c r="E43" s="231">
        <v>1588.4</v>
      </c>
      <c r="F43" s="231">
        <v>1587</v>
      </c>
      <c r="G43" s="228">
        <v>1.4</v>
      </c>
      <c r="H43" s="229">
        <v>8.9999999999999998E-4</v>
      </c>
      <c r="I43" s="231">
        <v>1583.6</v>
      </c>
      <c r="J43" s="231">
        <v>1581.7</v>
      </c>
      <c r="K43" s="228">
        <v>1.9</v>
      </c>
      <c r="L43" s="229">
        <v>1.1999999999999999E-3</v>
      </c>
      <c r="M43" s="231">
        <v>1588.4</v>
      </c>
      <c r="N43" s="231">
        <v>1587</v>
      </c>
      <c r="O43" s="228">
        <v>1.4</v>
      </c>
      <c r="P43" s="229">
        <v>8.9999999999999998E-4</v>
      </c>
      <c r="Q43" s="231">
        <v>1592.3</v>
      </c>
      <c r="R43" s="231">
        <v>1590</v>
      </c>
      <c r="S43" s="228">
        <v>2.2999999999999998</v>
      </c>
      <c r="T43" s="229">
        <v>1.4E-3</v>
      </c>
      <c r="U43" s="231">
        <v>1595.6</v>
      </c>
      <c r="V43" s="231">
        <v>1593</v>
      </c>
      <c r="W43" s="228">
        <v>2.6</v>
      </c>
      <c r="X43" s="229">
        <v>1.6000000000000001E-3</v>
      </c>
      <c r="Y43" s="228">
        <v>4.8</v>
      </c>
      <c r="Z43" s="228">
        <v>5.3</v>
      </c>
      <c r="AA43" s="228">
        <v>-0.5</v>
      </c>
      <c r="AB43" s="229">
        <v>3.0000000000000001E-3</v>
      </c>
      <c r="AC43" s="228">
        <v>4.8</v>
      </c>
      <c r="AD43" s="228">
        <v>5.3</v>
      </c>
      <c r="AE43" s="228">
        <v>-0.5</v>
      </c>
      <c r="AF43" s="229">
        <v>3.0000000000000001E-3</v>
      </c>
      <c r="AG43" s="228">
        <v>8.6999999999999993</v>
      </c>
      <c r="AH43" s="228">
        <v>8.3000000000000007</v>
      </c>
      <c r="AI43" s="228">
        <v>0.4</v>
      </c>
      <c r="AJ43" s="229">
        <v>5.4999999999999997E-3</v>
      </c>
      <c r="AK43" s="228">
        <v>12</v>
      </c>
      <c r="AL43" s="228">
        <v>11.3</v>
      </c>
      <c r="AM43" s="228">
        <v>0.7</v>
      </c>
      <c r="AN43" s="229">
        <v>7.6E-3</v>
      </c>
      <c r="AO43" s="231">
        <v>1584.29</v>
      </c>
      <c r="AP43" s="231">
        <v>1588.33</v>
      </c>
      <c r="AQ43" s="228">
        <v>0</v>
      </c>
      <c r="AR43" s="230">
        <v>1605975</v>
      </c>
      <c r="AS43" s="230">
        <v>1246400</v>
      </c>
      <c r="AT43" s="230">
        <v>359575</v>
      </c>
      <c r="AU43" s="229">
        <v>0.28849999999999998</v>
      </c>
      <c r="AV43" s="230">
        <v>1145225</v>
      </c>
      <c r="AW43" s="230">
        <v>905350</v>
      </c>
      <c r="AX43" s="230">
        <v>239875</v>
      </c>
      <c r="AY43" s="229">
        <v>0.26500000000000001</v>
      </c>
      <c r="AZ43" s="230">
        <v>384750</v>
      </c>
      <c r="BA43" s="230">
        <v>306375</v>
      </c>
      <c r="BB43" s="230">
        <v>78375</v>
      </c>
      <c r="BC43" s="229">
        <v>0.25580000000000003</v>
      </c>
      <c r="BD43" s="230">
        <v>76000</v>
      </c>
      <c r="BE43" s="230">
        <v>34675</v>
      </c>
      <c r="BF43" s="230">
        <v>41325</v>
      </c>
      <c r="BG43" s="229">
        <v>1.1918</v>
      </c>
      <c r="BH43" s="230">
        <v>7086525</v>
      </c>
      <c r="BI43" s="230">
        <v>6022050</v>
      </c>
      <c r="BJ43" s="230">
        <v>1064475</v>
      </c>
      <c r="BK43" s="229">
        <v>0.17680000000000001</v>
      </c>
      <c r="BL43" s="230">
        <v>3363000</v>
      </c>
      <c r="BM43" s="230">
        <v>3655125</v>
      </c>
      <c r="BN43" s="230">
        <v>-292125</v>
      </c>
      <c r="BO43" s="229">
        <v>-7.9899999999999999E-2</v>
      </c>
      <c r="BP43" s="230">
        <v>12055500</v>
      </c>
      <c r="BQ43" s="230">
        <v>10923575</v>
      </c>
      <c r="BR43" s="230">
        <v>1131925</v>
      </c>
      <c r="BS43" s="229">
        <v>0.1036</v>
      </c>
      <c r="BT43" s="230">
        <v>1008227</v>
      </c>
      <c r="BU43" s="230">
        <v>1073753</v>
      </c>
      <c r="BV43" s="230">
        <v>-65526</v>
      </c>
      <c r="BW43" s="229">
        <v>-6.0999999999999999E-2</v>
      </c>
      <c r="BX43" s="230">
        <v>9436350</v>
      </c>
      <c r="BY43" s="230">
        <v>9289100</v>
      </c>
      <c r="BZ43" s="230">
        <v>147250</v>
      </c>
      <c r="CA43" s="229">
        <v>1.5900000000000001E-2</v>
      </c>
      <c r="CB43" s="230">
        <v>8070725</v>
      </c>
      <c r="CC43" s="230">
        <v>8059325</v>
      </c>
      <c r="CD43" s="230">
        <v>11400</v>
      </c>
      <c r="CE43" s="229">
        <v>1.4E-3</v>
      </c>
      <c r="CF43" s="230">
        <v>1247350</v>
      </c>
      <c r="CG43" s="230">
        <v>1122425</v>
      </c>
      <c r="CH43" s="230">
        <v>124925</v>
      </c>
      <c r="CI43" s="229">
        <v>0.1113</v>
      </c>
      <c r="CJ43" s="230">
        <v>118275</v>
      </c>
      <c r="CK43" s="230">
        <v>107350</v>
      </c>
      <c r="CL43" s="230">
        <v>10925</v>
      </c>
      <c r="CM43" s="229">
        <v>0.1018</v>
      </c>
      <c r="CN43" s="230">
        <v>7495500</v>
      </c>
      <c r="CO43" s="230">
        <v>7083200</v>
      </c>
      <c r="CP43" s="230">
        <v>412300</v>
      </c>
      <c r="CQ43" s="229">
        <v>5.8200000000000002E-2</v>
      </c>
      <c r="CR43" s="230">
        <v>4837875</v>
      </c>
      <c r="CS43" s="230">
        <v>4740975</v>
      </c>
      <c r="CT43" s="230">
        <v>96900</v>
      </c>
      <c r="CU43" s="229">
        <v>2.0400000000000001E-2</v>
      </c>
      <c r="CV43" s="230">
        <v>21769725</v>
      </c>
      <c r="CW43" s="230">
        <v>21113275</v>
      </c>
      <c r="CX43" s="230">
        <v>656450</v>
      </c>
      <c r="CY43" s="229">
        <v>3.1099999999999999E-2</v>
      </c>
      <c r="CZ43" s="228">
        <v>31.89</v>
      </c>
      <c r="DA43" s="228">
        <v>31.12</v>
      </c>
      <c r="DB43" s="228">
        <v>0.77</v>
      </c>
      <c r="DC43" s="228">
        <v>0.77</v>
      </c>
      <c r="DD43" s="228">
        <v>50.58</v>
      </c>
      <c r="DE43" s="228">
        <v>50.71</v>
      </c>
      <c r="DF43" s="228">
        <v>-18.690000000000001</v>
      </c>
      <c r="DG43" s="228">
        <v>-0.13</v>
      </c>
      <c r="DH43" s="228">
        <v>31.98</v>
      </c>
      <c r="DI43" s="228">
        <v>30.66</v>
      </c>
      <c r="DJ43" s="228">
        <v>1.32</v>
      </c>
      <c r="DK43" s="228">
        <v>1.32</v>
      </c>
      <c r="DL43" s="228">
        <v>31.7</v>
      </c>
      <c r="DM43" s="228">
        <v>31.89</v>
      </c>
      <c r="DN43" s="228">
        <v>-0.19</v>
      </c>
      <c r="DO43" s="228">
        <v>-0.19</v>
      </c>
      <c r="DP43" s="228">
        <v>0.65</v>
      </c>
      <c r="DQ43" s="228">
        <v>0.67</v>
      </c>
      <c r="DR43" s="228">
        <v>-0.02</v>
      </c>
      <c r="DS43" s="229">
        <v>-2.9899999999999999E-2</v>
      </c>
      <c r="DT43" s="231">
        <v>1600</v>
      </c>
      <c r="DU43" s="231">
        <v>1500</v>
      </c>
      <c r="DV43" s="228">
        <v>0.47</v>
      </c>
      <c r="DW43" s="228">
        <v>0.61</v>
      </c>
      <c r="DX43" s="228">
        <v>-0.14000000000000001</v>
      </c>
      <c r="DY43" s="229">
        <v>-0.22950000000000001</v>
      </c>
      <c r="DZ43" s="229">
        <v>0.1447</v>
      </c>
      <c r="EA43" s="230">
        <v>1229775</v>
      </c>
      <c r="EB43" s="229">
        <v>2.5000000000000001E-3</v>
      </c>
      <c r="EC43" s="229">
        <v>0.1447</v>
      </c>
      <c r="ED43" s="228">
        <v>4.04</v>
      </c>
      <c r="EE43" s="229">
        <v>2.5999999999999999E-3</v>
      </c>
      <c r="EF43" s="230">
        <v>379713</v>
      </c>
      <c r="EG43" s="230">
        <v>339326</v>
      </c>
      <c r="EH43" s="229">
        <v>0.11899999999999999</v>
      </c>
      <c r="EI43" s="229">
        <v>0.37659999999999999</v>
      </c>
      <c r="EJ43" s="231">
        <v>116339.78</v>
      </c>
      <c r="EK43" s="231">
        <v>52350.17</v>
      </c>
      <c r="EL43" s="231">
        <v>25462.9</v>
      </c>
      <c r="EM43" s="228">
        <v>0</v>
      </c>
      <c r="EN43" s="231">
        <v>194152.85</v>
      </c>
      <c r="EO43" s="231">
        <v>175512.4</v>
      </c>
      <c r="EP43" s="231">
        <v>18640.45</v>
      </c>
      <c r="EQ43" s="229">
        <v>0.1062</v>
      </c>
      <c r="ER43" s="231">
        <v>124245</v>
      </c>
      <c r="ES43" s="231">
        <v>73900</v>
      </c>
      <c r="ET43" s="231">
        <v>149944</v>
      </c>
      <c r="EU43" s="231">
        <v>35530000</v>
      </c>
      <c r="EV43" s="231">
        <v>348090</v>
      </c>
      <c r="EW43" s="231">
        <v>337629</v>
      </c>
      <c r="EX43" s="231">
        <v>10461</v>
      </c>
      <c r="EY43" s="229">
        <v>3.1E-2</v>
      </c>
      <c r="EZ43" s="229">
        <v>0.61270000000000002</v>
      </c>
      <c r="FA43" s="227" t="s">
        <v>555</v>
      </c>
      <c r="FB43" s="161">
        <f t="shared" si="0"/>
        <v>1365625</v>
      </c>
    </row>
    <row r="44" spans="1:158" ht="17.25" hidden="1" thickBot="1" x14ac:dyDescent="0.3">
      <c r="A44" s="226">
        <v>45889</v>
      </c>
      <c r="B44" s="227" t="s">
        <v>161</v>
      </c>
      <c r="C44" s="227" t="s">
        <v>602</v>
      </c>
      <c r="D44" s="228">
        <v>3625</v>
      </c>
      <c r="E44" s="228">
        <v>164.07</v>
      </c>
      <c r="F44" s="228">
        <v>165.34</v>
      </c>
      <c r="G44" s="228">
        <v>-1.27</v>
      </c>
      <c r="H44" s="229">
        <v>-7.7000000000000002E-3</v>
      </c>
      <c r="I44" s="228">
        <v>163.43</v>
      </c>
      <c r="J44" s="228">
        <v>164.63</v>
      </c>
      <c r="K44" s="228">
        <v>-1.2</v>
      </c>
      <c r="L44" s="229">
        <v>-7.3000000000000001E-3</v>
      </c>
      <c r="M44" s="228">
        <v>164.07</v>
      </c>
      <c r="N44" s="228">
        <v>165.34</v>
      </c>
      <c r="O44" s="228">
        <v>-1.27</v>
      </c>
      <c r="P44" s="229">
        <v>-7.7000000000000002E-3</v>
      </c>
      <c r="Q44" s="228">
        <v>0</v>
      </c>
      <c r="R44" s="228">
        <v>0</v>
      </c>
      <c r="S44" s="228">
        <v>0</v>
      </c>
      <c r="T44" s="229">
        <v>0</v>
      </c>
      <c r="U44" s="228">
        <v>0</v>
      </c>
      <c r="V44" s="228">
        <v>0</v>
      </c>
      <c r="W44" s="228">
        <v>0</v>
      </c>
      <c r="X44" s="229">
        <v>0</v>
      </c>
      <c r="Y44" s="228">
        <v>0.64</v>
      </c>
      <c r="Z44" s="228">
        <v>0.71</v>
      </c>
      <c r="AA44" s="228">
        <v>-7.0000000000000007E-2</v>
      </c>
      <c r="AB44" s="229">
        <v>3.8999999999999998E-3</v>
      </c>
      <c r="AC44" s="228">
        <v>0.64</v>
      </c>
      <c r="AD44" s="228">
        <v>0.71</v>
      </c>
      <c r="AE44" s="228">
        <v>-7.0000000000000007E-2</v>
      </c>
      <c r="AF44" s="229">
        <v>3.8999999999999998E-3</v>
      </c>
      <c r="AG44" s="228">
        <v>0</v>
      </c>
      <c r="AH44" s="228">
        <v>0</v>
      </c>
      <c r="AI44" s="228">
        <v>0</v>
      </c>
      <c r="AJ44" s="229">
        <v>0</v>
      </c>
      <c r="AK44" s="228">
        <v>0</v>
      </c>
      <c r="AL44" s="228">
        <v>0</v>
      </c>
      <c r="AM44" s="228">
        <v>0</v>
      </c>
      <c r="AN44" s="229">
        <v>0</v>
      </c>
      <c r="AO44" s="228">
        <v>164.54</v>
      </c>
      <c r="AP44" s="228">
        <v>0</v>
      </c>
      <c r="AQ44" s="228">
        <v>0</v>
      </c>
      <c r="AR44" s="230">
        <v>1330375</v>
      </c>
      <c r="AS44" s="230">
        <v>1903125</v>
      </c>
      <c r="AT44" s="230">
        <v>-572750</v>
      </c>
      <c r="AU44" s="229">
        <v>-0.30099999999999999</v>
      </c>
      <c r="AV44" s="230">
        <v>1330375</v>
      </c>
      <c r="AW44" s="230">
        <v>1903125</v>
      </c>
      <c r="AX44" s="230">
        <v>-572750</v>
      </c>
      <c r="AY44" s="229">
        <v>-0.30099999999999999</v>
      </c>
      <c r="AZ44" s="228">
        <v>0</v>
      </c>
      <c r="BA44" s="228">
        <v>0</v>
      </c>
      <c r="BB44" s="228">
        <v>0</v>
      </c>
      <c r="BC44" s="229">
        <v>0</v>
      </c>
      <c r="BD44" s="228">
        <v>0</v>
      </c>
      <c r="BE44" s="228">
        <v>0</v>
      </c>
      <c r="BF44" s="228">
        <v>0</v>
      </c>
      <c r="BG44" s="229">
        <v>0</v>
      </c>
      <c r="BH44" s="230">
        <v>4661750</v>
      </c>
      <c r="BI44" s="230">
        <v>4505875</v>
      </c>
      <c r="BJ44" s="230">
        <v>155875</v>
      </c>
      <c r="BK44" s="229">
        <v>3.4599999999999999E-2</v>
      </c>
      <c r="BL44" s="230">
        <v>1138250</v>
      </c>
      <c r="BM44" s="230">
        <v>1120125</v>
      </c>
      <c r="BN44" s="230">
        <v>18125</v>
      </c>
      <c r="BO44" s="229">
        <v>1.6199999999999999E-2</v>
      </c>
      <c r="BP44" s="230">
        <v>7130375</v>
      </c>
      <c r="BQ44" s="230">
        <v>7529125</v>
      </c>
      <c r="BR44" s="230">
        <v>-398750</v>
      </c>
      <c r="BS44" s="229">
        <v>-5.2999999999999999E-2</v>
      </c>
      <c r="BT44" s="230">
        <v>1372152</v>
      </c>
      <c r="BU44" s="230">
        <v>1939076</v>
      </c>
      <c r="BV44" s="230">
        <v>-566924</v>
      </c>
      <c r="BW44" s="229">
        <v>-0.29239999999999999</v>
      </c>
      <c r="BX44" s="230">
        <v>10824250</v>
      </c>
      <c r="BY44" s="230">
        <v>10733625</v>
      </c>
      <c r="BZ44" s="230">
        <v>90625</v>
      </c>
      <c r="CA44" s="229">
        <v>8.3999999999999995E-3</v>
      </c>
      <c r="CB44" s="230">
        <v>10824250</v>
      </c>
      <c r="CC44" s="230">
        <v>10733625</v>
      </c>
      <c r="CD44" s="230">
        <v>90625</v>
      </c>
      <c r="CE44" s="229">
        <v>8.3999999999999995E-3</v>
      </c>
      <c r="CF44" s="228">
        <v>0</v>
      </c>
      <c r="CG44" s="228">
        <v>0</v>
      </c>
      <c r="CH44" s="228">
        <v>0</v>
      </c>
      <c r="CI44" s="229">
        <v>0</v>
      </c>
      <c r="CJ44" s="228">
        <v>0</v>
      </c>
      <c r="CK44" s="228">
        <v>0</v>
      </c>
      <c r="CL44" s="228">
        <v>0</v>
      </c>
      <c r="CM44" s="229">
        <v>0</v>
      </c>
      <c r="CN44" s="230">
        <v>10846000</v>
      </c>
      <c r="CO44" s="230">
        <v>10853250</v>
      </c>
      <c r="CP44" s="230">
        <v>-7250</v>
      </c>
      <c r="CQ44" s="229">
        <v>-6.9999999999999999E-4</v>
      </c>
      <c r="CR44" s="230">
        <v>4868375</v>
      </c>
      <c r="CS44" s="230">
        <v>4814000</v>
      </c>
      <c r="CT44" s="230">
        <v>54375</v>
      </c>
      <c r="CU44" s="229">
        <v>1.1299999999999999E-2</v>
      </c>
      <c r="CV44" s="230">
        <v>26538625</v>
      </c>
      <c r="CW44" s="230">
        <v>26400875</v>
      </c>
      <c r="CX44" s="230">
        <v>137750</v>
      </c>
      <c r="CY44" s="229">
        <v>5.1999999999999998E-3</v>
      </c>
      <c r="CZ44" s="228">
        <v>32.33</v>
      </c>
      <c r="DA44" s="228">
        <v>31.63</v>
      </c>
      <c r="DB44" s="228">
        <v>0.7</v>
      </c>
      <c r="DC44" s="228">
        <v>0.7</v>
      </c>
      <c r="DD44" s="228">
        <v>42.47</v>
      </c>
      <c r="DE44" s="228">
        <v>42.57</v>
      </c>
      <c r="DF44" s="228">
        <v>-10.14</v>
      </c>
      <c r="DG44" s="228">
        <v>-0.1</v>
      </c>
      <c r="DH44" s="228">
        <v>33.340000000000003</v>
      </c>
      <c r="DI44" s="228">
        <v>32.270000000000003</v>
      </c>
      <c r="DJ44" s="228">
        <v>1.07</v>
      </c>
      <c r="DK44" s="228">
        <v>1.07</v>
      </c>
      <c r="DL44" s="228">
        <v>28.17</v>
      </c>
      <c r="DM44" s="228">
        <v>29.03</v>
      </c>
      <c r="DN44" s="228">
        <v>-0.86</v>
      </c>
      <c r="DO44" s="228">
        <v>-0.86</v>
      </c>
      <c r="DP44" s="228">
        <v>0.45</v>
      </c>
      <c r="DQ44" s="228">
        <v>0.44</v>
      </c>
      <c r="DR44" s="228">
        <v>0.01</v>
      </c>
      <c r="DS44" s="229">
        <v>2.2700000000000001E-2</v>
      </c>
      <c r="DT44" s="228">
        <v>180</v>
      </c>
      <c r="DU44" s="228">
        <v>160</v>
      </c>
      <c r="DV44" s="228">
        <v>0.24</v>
      </c>
      <c r="DW44" s="228">
        <v>0.25</v>
      </c>
      <c r="DX44" s="228">
        <v>-0.01</v>
      </c>
      <c r="DY44" s="229">
        <v>-0.04</v>
      </c>
      <c r="DZ44" s="229">
        <v>0</v>
      </c>
      <c r="EA44" s="228">
        <v>0</v>
      </c>
      <c r="EB44" s="229">
        <v>0</v>
      </c>
      <c r="EC44" s="229">
        <v>0</v>
      </c>
      <c r="ED44" s="228">
        <v>0</v>
      </c>
      <c r="EE44" s="229">
        <v>0</v>
      </c>
      <c r="EF44" s="230">
        <v>722594</v>
      </c>
      <c r="EG44" s="230">
        <v>1163472</v>
      </c>
      <c r="EH44" s="229">
        <v>-0.37890000000000001</v>
      </c>
      <c r="EI44" s="229">
        <v>0.52659999999999996</v>
      </c>
      <c r="EJ44" s="231">
        <v>8084.13</v>
      </c>
      <c r="EK44" s="231">
        <v>1885.35</v>
      </c>
      <c r="EL44" s="231">
        <v>2188.9899999999998</v>
      </c>
      <c r="EM44" s="228">
        <v>0</v>
      </c>
      <c r="EN44" s="231">
        <v>12158.47</v>
      </c>
      <c r="EO44" s="231">
        <v>12844.12</v>
      </c>
      <c r="EP44" s="228">
        <v>-685.65</v>
      </c>
      <c r="EQ44" s="229">
        <v>-5.3400000000000003E-2</v>
      </c>
      <c r="ER44" s="231">
        <v>19265</v>
      </c>
      <c r="ES44" s="231">
        <v>7867</v>
      </c>
      <c r="ET44" s="231">
        <v>17759</v>
      </c>
      <c r="EU44" s="231">
        <v>126959974</v>
      </c>
      <c r="EV44" s="231">
        <v>44891</v>
      </c>
      <c r="EW44" s="231">
        <v>44817</v>
      </c>
      <c r="EX44" s="228">
        <v>74</v>
      </c>
      <c r="EY44" s="229">
        <v>1.6999999999999999E-3</v>
      </c>
      <c r="EZ44" s="229">
        <v>0.20899999999999999</v>
      </c>
      <c r="FA44" s="227" t="s">
        <v>567</v>
      </c>
      <c r="FB44" s="161">
        <f t="shared" si="0"/>
        <v>0</v>
      </c>
    </row>
    <row r="45" spans="1:158" ht="17.25" hidden="1" thickBot="1" x14ac:dyDescent="0.3">
      <c r="A45" s="226">
        <v>45889</v>
      </c>
      <c r="B45" s="227" t="s">
        <v>161</v>
      </c>
      <c r="C45" s="227" t="s">
        <v>613</v>
      </c>
      <c r="D45" s="228">
        <v>850</v>
      </c>
      <c r="E45" s="228">
        <v>675.5</v>
      </c>
      <c r="F45" s="228">
        <v>677.5</v>
      </c>
      <c r="G45" s="228">
        <v>-2</v>
      </c>
      <c r="H45" s="229">
        <v>-3.0000000000000001E-3</v>
      </c>
      <c r="I45" s="228">
        <v>674.25</v>
      </c>
      <c r="J45" s="228">
        <v>676.8</v>
      </c>
      <c r="K45" s="228">
        <v>-2.5499999999999998</v>
      </c>
      <c r="L45" s="229">
        <v>-3.8E-3</v>
      </c>
      <c r="M45" s="228">
        <v>675.5</v>
      </c>
      <c r="N45" s="228">
        <v>677.5</v>
      </c>
      <c r="O45" s="228">
        <v>-2</v>
      </c>
      <c r="P45" s="229">
        <v>-3.0000000000000001E-3</v>
      </c>
      <c r="Q45" s="228">
        <v>679.55</v>
      </c>
      <c r="R45" s="228">
        <v>681.55</v>
      </c>
      <c r="S45" s="228">
        <v>-2</v>
      </c>
      <c r="T45" s="229">
        <v>-2.8999999999999998E-3</v>
      </c>
      <c r="U45" s="228">
        <v>682.5</v>
      </c>
      <c r="V45" s="228">
        <v>684.75</v>
      </c>
      <c r="W45" s="228">
        <v>-2.25</v>
      </c>
      <c r="X45" s="229">
        <v>-3.3E-3</v>
      </c>
      <c r="Y45" s="228">
        <v>1.25</v>
      </c>
      <c r="Z45" s="228">
        <v>0.7</v>
      </c>
      <c r="AA45" s="228">
        <v>0.55000000000000004</v>
      </c>
      <c r="AB45" s="229">
        <v>1.9E-3</v>
      </c>
      <c r="AC45" s="228">
        <v>1.25</v>
      </c>
      <c r="AD45" s="228">
        <v>0.7</v>
      </c>
      <c r="AE45" s="228">
        <v>0.55000000000000004</v>
      </c>
      <c r="AF45" s="229">
        <v>1.9E-3</v>
      </c>
      <c r="AG45" s="228">
        <v>5.3</v>
      </c>
      <c r="AH45" s="228">
        <v>4.75</v>
      </c>
      <c r="AI45" s="228">
        <v>0.55000000000000004</v>
      </c>
      <c r="AJ45" s="229">
        <v>7.9000000000000008E-3</v>
      </c>
      <c r="AK45" s="228">
        <v>8.25</v>
      </c>
      <c r="AL45" s="228">
        <v>7.95</v>
      </c>
      <c r="AM45" s="228">
        <v>0.3</v>
      </c>
      <c r="AN45" s="229">
        <v>1.2200000000000001E-2</v>
      </c>
      <c r="AO45" s="228">
        <v>678.1</v>
      </c>
      <c r="AP45" s="228">
        <v>681.8</v>
      </c>
      <c r="AQ45" s="228">
        <v>0</v>
      </c>
      <c r="AR45" s="230">
        <v>1542750</v>
      </c>
      <c r="AS45" s="230">
        <v>1467950</v>
      </c>
      <c r="AT45" s="230">
        <v>74800</v>
      </c>
      <c r="AU45" s="229">
        <v>5.0999999999999997E-2</v>
      </c>
      <c r="AV45" s="230">
        <v>1177250</v>
      </c>
      <c r="AW45" s="230">
        <v>1286050</v>
      </c>
      <c r="AX45" s="230">
        <v>-108800</v>
      </c>
      <c r="AY45" s="229">
        <v>-8.4599999999999995E-2</v>
      </c>
      <c r="AZ45" s="230">
        <v>355300</v>
      </c>
      <c r="BA45" s="230">
        <v>169150</v>
      </c>
      <c r="BB45" s="230">
        <v>186150</v>
      </c>
      <c r="BC45" s="229">
        <v>1.1005</v>
      </c>
      <c r="BD45" s="230">
        <v>10200</v>
      </c>
      <c r="BE45" s="230">
        <v>12750</v>
      </c>
      <c r="BF45" s="230">
        <v>-2550</v>
      </c>
      <c r="BG45" s="229">
        <v>-0.2</v>
      </c>
      <c r="BH45" s="230">
        <v>3137350</v>
      </c>
      <c r="BI45" s="230">
        <v>4165850</v>
      </c>
      <c r="BJ45" s="230">
        <v>-1028500</v>
      </c>
      <c r="BK45" s="229">
        <v>-0.24690000000000001</v>
      </c>
      <c r="BL45" s="230">
        <v>703800</v>
      </c>
      <c r="BM45" s="230">
        <v>1054000</v>
      </c>
      <c r="BN45" s="230">
        <v>-350200</v>
      </c>
      <c r="BO45" s="229">
        <v>-0.33229999999999998</v>
      </c>
      <c r="BP45" s="230">
        <v>5383900</v>
      </c>
      <c r="BQ45" s="230">
        <v>6687800</v>
      </c>
      <c r="BR45" s="230">
        <v>-1303900</v>
      </c>
      <c r="BS45" s="229">
        <v>-0.19500000000000001</v>
      </c>
      <c r="BT45" s="230">
        <v>1434319</v>
      </c>
      <c r="BU45" s="230">
        <v>1457888</v>
      </c>
      <c r="BV45" s="230">
        <v>-23569</v>
      </c>
      <c r="BW45" s="229">
        <v>-1.6199999999999999E-2</v>
      </c>
      <c r="BX45" s="230">
        <v>16909900</v>
      </c>
      <c r="BY45" s="230">
        <v>16812150</v>
      </c>
      <c r="BZ45" s="230">
        <v>97750</v>
      </c>
      <c r="CA45" s="229">
        <v>5.7999999999999996E-3</v>
      </c>
      <c r="CB45" s="230">
        <v>16342100</v>
      </c>
      <c r="CC45" s="230">
        <v>16452600</v>
      </c>
      <c r="CD45" s="230">
        <v>-110500</v>
      </c>
      <c r="CE45" s="229">
        <v>-6.7000000000000002E-3</v>
      </c>
      <c r="CF45" s="230">
        <v>506600</v>
      </c>
      <c r="CG45" s="230">
        <v>299200</v>
      </c>
      <c r="CH45" s="230">
        <v>207400</v>
      </c>
      <c r="CI45" s="229">
        <v>0.69320000000000004</v>
      </c>
      <c r="CJ45" s="230">
        <v>61200</v>
      </c>
      <c r="CK45" s="230">
        <v>60350</v>
      </c>
      <c r="CL45" s="228">
        <v>850</v>
      </c>
      <c r="CM45" s="229">
        <v>1.41E-2</v>
      </c>
      <c r="CN45" s="230">
        <v>4144600</v>
      </c>
      <c r="CO45" s="230">
        <v>4063000</v>
      </c>
      <c r="CP45" s="230">
        <v>81600</v>
      </c>
      <c r="CQ45" s="229">
        <v>2.01E-2</v>
      </c>
      <c r="CR45" s="230">
        <v>2356200</v>
      </c>
      <c r="CS45" s="230">
        <v>2357050</v>
      </c>
      <c r="CT45" s="228">
        <v>-850</v>
      </c>
      <c r="CU45" s="229">
        <v>-4.0000000000000002E-4</v>
      </c>
      <c r="CV45" s="230">
        <v>23410700</v>
      </c>
      <c r="CW45" s="230">
        <v>23232200</v>
      </c>
      <c r="CX45" s="230">
        <v>178500</v>
      </c>
      <c r="CY45" s="229">
        <v>7.7000000000000002E-3</v>
      </c>
      <c r="CZ45" s="228">
        <v>26.21</v>
      </c>
      <c r="DA45" s="228">
        <v>26.71</v>
      </c>
      <c r="DB45" s="228">
        <v>-0.5</v>
      </c>
      <c r="DC45" s="228">
        <v>-0.5</v>
      </c>
      <c r="DD45" s="228">
        <v>43.86</v>
      </c>
      <c r="DE45" s="228">
        <v>43.97</v>
      </c>
      <c r="DF45" s="228">
        <v>-17.649999999999999</v>
      </c>
      <c r="DG45" s="228">
        <v>-0.11</v>
      </c>
      <c r="DH45" s="228">
        <v>26.23</v>
      </c>
      <c r="DI45" s="228">
        <v>26.56</v>
      </c>
      <c r="DJ45" s="228">
        <v>-0.33</v>
      </c>
      <c r="DK45" s="228">
        <v>-0.33</v>
      </c>
      <c r="DL45" s="228">
        <v>26.12</v>
      </c>
      <c r="DM45" s="228">
        <v>27.28</v>
      </c>
      <c r="DN45" s="228">
        <v>-1.1599999999999999</v>
      </c>
      <c r="DO45" s="228">
        <v>-1.1599999999999999</v>
      </c>
      <c r="DP45" s="228">
        <v>0.56999999999999995</v>
      </c>
      <c r="DQ45" s="228">
        <v>0.57999999999999996</v>
      </c>
      <c r="DR45" s="228">
        <v>-0.01</v>
      </c>
      <c r="DS45" s="229">
        <v>-1.72E-2</v>
      </c>
      <c r="DT45" s="228">
        <v>700</v>
      </c>
      <c r="DU45" s="228">
        <v>680</v>
      </c>
      <c r="DV45" s="228">
        <v>0.22</v>
      </c>
      <c r="DW45" s="228">
        <v>0.25</v>
      </c>
      <c r="DX45" s="228">
        <v>-0.03</v>
      </c>
      <c r="DY45" s="229">
        <v>-0.12</v>
      </c>
      <c r="DZ45" s="229">
        <v>3.3599999999999998E-2</v>
      </c>
      <c r="EA45" s="230">
        <v>359550</v>
      </c>
      <c r="EB45" s="229">
        <v>6.0000000000000001E-3</v>
      </c>
      <c r="EC45" s="229">
        <v>3.3599999999999998E-2</v>
      </c>
      <c r="ED45" s="228">
        <v>3.7</v>
      </c>
      <c r="EE45" s="229">
        <v>5.4999999999999997E-3</v>
      </c>
      <c r="EF45" s="230">
        <v>797227</v>
      </c>
      <c r="EG45" s="230">
        <v>746448</v>
      </c>
      <c r="EH45" s="229">
        <v>6.8000000000000005E-2</v>
      </c>
      <c r="EI45" s="229">
        <v>0.55579999999999996</v>
      </c>
      <c r="EJ45" s="231">
        <v>21877.55</v>
      </c>
      <c r="EK45" s="231">
        <v>4716.17</v>
      </c>
      <c r="EL45" s="231">
        <v>10475.34</v>
      </c>
      <c r="EM45" s="228">
        <v>0</v>
      </c>
      <c r="EN45" s="231">
        <v>37069.06</v>
      </c>
      <c r="EO45" s="231">
        <v>45879.78</v>
      </c>
      <c r="EP45" s="231">
        <v>-8810.7199999999993</v>
      </c>
      <c r="EQ45" s="229">
        <v>-0.192</v>
      </c>
      <c r="ER45" s="231">
        <v>28724</v>
      </c>
      <c r="ES45" s="231">
        <v>15384</v>
      </c>
      <c r="ET45" s="231">
        <v>114251</v>
      </c>
      <c r="EU45" s="231">
        <v>137376663</v>
      </c>
      <c r="EV45" s="231">
        <v>158359</v>
      </c>
      <c r="EW45" s="231">
        <v>157464</v>
      </c>
      <c r="EX45" s="228">
        <v>895</v>
      </c>
      <c r="EY45" s="229">
        <v>5.7000000000000002E-3</v>
      </c>
      <c r="EZ45" s="229">
        <v>0.1704</v>
      </c>
      <c r="FA45" s="227" t="s">
        <v>567</v>
      </c>
      <c r="FB45" s="161">
        <f t="shared" si="0"/>
        <v>567800</v>
      </c>
    </row>
    <row r="46" spans="1:158" ht="17.25" hidden="1" thickBot="1" x14ac:dyDescent="0.3">
      <c r="A46" s="226">
        <v>45889</v>
      </c>
      <c r="B46" s="227" t="s">
        <v>175</v>
      </c>
      <c r="C46" s="227" t="s">
        <v>198</v>
      </c>
      <c r="D46" s="228">
        <v>625</v>
      </c>
      <c r="E46" s="231">
        <v>1522.9</v>
      </c>
      <c r="F46" s="231">
        <v>1528</v>
      </c>
      <c r="G46" s="228">
        <v>-5.0999999999999996</v>
      </c>
      <c r="H46" s="229">
        <v>-3.3E-3</v>
      </c>
      <c r="I46" s="231">
        <v>1522.9</v>
      </c>
      <c r="J46" s="231">
        <v>1527.9</v>
      </c>
      <c r="K46" s="228">
        <v>-5</v>
      </c>
      <c r="L46" s="229">
        <v>-3.3E-3</v>
      </c>
      <c r="M46" s="231">
        <v>1522.9</v>
      </c>
      <c r="N46" s="231">
        <v>1528</v>
      </c>
      <c r="O46" s="228">
        <v>-5.0999999999999996</v>
      </c>
      <c r="P46" s="229">
        <v>-3.3E-3</v>
      </c>
      <c r="Q46" s="231">
        <v>1524.9</v>
      </c>
      <c r="R46" s="231">
        <v>1531.1</v>
      </c>
      <c r="S46" s="228">
        <v>-6.2</v>
      </c>
      <c r="T46" s="229">
        <v>-4.0000000000000001E-3</v>
      </c>
      <c r="U46" s="231">
        <v>1527</v>
      </c>
      <c r="V46" s="231">
        <v>1533.2</v>
      </c>
      <c r="W46" s="228">
        <v>-6.2</v>
      </c>
      <c r="X46" s="229">
        <v>-4.0000000000000001E-3</v>
      </c>
      <c r="Y46" s="228">
        <v>0</v>
      </c>
      <c r="Z46" s="228">
        <v>0.1</v>
      </c>
      <c r="AA46" s="228">
        <v>-0.1</v>
      </c>
      <c r="AB46" s="229">
        <v>0</v>
      </c>
      <c r="AC46" s="228">
        <v>0</v>
      </c>
      <c r="AD46" s="228">
        <v>0.1</v>
      </c>
      <c r="AE46" s="228">
        <v>-0.1</v>
      </c>
      <c r="AF46" s="229">
        <v>0</v>
      </c>
      <c r="AG46" s="228">
        <v>2</v>
      </c>
      <c r="AH46" s="228">
        <v>3.2</v>
      </c>
      <c r="AI46" s="228">
        <v>-1.2</v>
      </c>
      <c r="AJ46" s="229">
        <v>1.2999999999999999E-3</v>
      </c>
      <c r="AK46" s="228">
        <v>4.0999999999999996</v>
      </c>
      <c r="AL46" s="228">
        <v>5.3</v>
      </c>
      <c r="AM46" s="228">
        <v>-1.2</v>
      </c>
      <c r="AN46" s="229">
        <v>2.7000000000000001E-3</v>
      </c>
      <c r="AO46" s="231">
        <v>1525.62</v>
      </c>
      <c r="AP46" s="231">
        <v>1528.27</v>
      </c>
      <c r="AQ46" s="228">
        <v>0</v>
      </c>
      <c r="AR46" s="230">
        <v>1821875</v>
      </c>
      <c r="AS46" s="230">
        <v>1644375</v>
      </c>
      <c r="AT46" s="230">
        <v>177500</v>
      </c>
      <c r="AU46" s="229">
        <v>0.1079</v>
      </c>
      <c r="AV46" s="230">
        <v>1355000</v>
      </c>
      <c r="AW46" s="230">
        <v>1397500</v>
      </c>
      <c r="AX46" s="230">
        <v>-42500</v>
      </c>
      <c r="AY46" s="229">
        <v>-3.04E-2</v>
      </c>
      <c r="AZ46" s="230">
        <v>461250</v>
      </c>
      <c r="BA46" s="230">
        <v>233750</v>
      </c>
      <c r="BB46" s="230">
        <v>227500</v>
      </c>
      <c r="BC46" s="229">
        <v>0.97330000000000005</v>
      </c>
      <c r="BD46" s="230">
        <v>5625</v>
      </c>
      <c r="BE46" s="230">
        <v>13125</v>
      </c>
      <c r="BF46" s="230">
        <v>-7500</v>
      </c>
      <c r="BG46" s="229">
        <v>-0.57140000000000002</v>
      </c>
      <c r="BH46" s="230">
        <v>3806250</v>
      </c>
      <c r="BI46" s="230">
        <v>3275000</v>
      </c>
      <c r="BJ46" s="230">
        <v>531250</v>
      </c>
      <c r="BK46" s="229">
        <v>0.16220000000000001</v>
      </c>
      <c r="BL46" s="230">
        <v>2895000</v>
      </c>
      <c r="BM46" s="230">
        <v>2851250</v>
      </c>
      <c r="BN46" s="230">
        <v>43750</v>
      </c>
      <c r="BO46" s="229">
        <v>1.5299999999999999E-2</v>
      </c>
      <c r="BP46" s="230">
        <v>8523125</v>
      </c>
      <c r="BQ46" s="230">
        <v>7770625</v>
      </c>
      <c r="BR46" s="230">
        <v>752500</v>
      </c>
      <c r="BS46" s="229">
        <v>9.6799999999999997E-2</v>
      </c>
      <c r="BT46" s="230">
        <v>1291721</v>
      </c>
      <c r="BU46" s="230">
        <v>965036</v>
      </c>
      <c r="BV46" s="230">
        <v>326685</v>
      </c>
      <c r="BW46" s="229">
        <v>0.33850000000000002</v>
      </c>
      <c r="BX46" s="230">
        <v>11583125</v>
      </c>
      <c r="BY46" s="230">
        <v>11510000</v>
      </c>
      <c r="BZ46" s="230">
        <v>73125</v>
      </c>
      <c r="CA46" s="229">
        <v>6.4000000000000003E-3</v>
      </c>
      <c r="CB46" s="230">
        <v>10823750</v>
      </c>
      <c r="CC46" s="230">
        <v>10955625</v>
      </c>
      <c r="CD46" s="230">
        <v>-131875</v>
      </c>
      <c r="CE46" s="229">
        <v>-1.2E-2</v>
      </c>
      <c r="CF46" s="230">
        <v>741875</v>
      </c>
      <c r="CG46" s="230">
        <v>538125</v>
      </c>
      <c r="CH46" s="230">
        <v>203750</v>
      </c>
      <c r="CI46" s="229">
        <v>0.37859999999999999</v>
      </c>
      <c r="CJ46" s="230">
        <v>17500</v>
      </c>
      <c r="CK46" s="230">
        <v>16250</v>
      </c>
      <c r="CL46" s="230">
        <v>1250</v>
      </c>
      <c r="CM46" s="229">
        <v>7.6899999999999996E-2</v>
      </c>
      <c r="CN46" s="230">
        <v>2602500</v>
      </c>
      <c r="CO46" s="230">
        <v>2566250</v>
      </c>
      <c r="CP46" s="230">
        <v>36250</v>
      </c>
      <c r="CQ46" s="229">
        <v>1.41E-2</v>
      </c>
      <c r="CR46" s="230">
        <v>2606250</v>
      </c>
      <c r="CS46" s="230">
        <v>2556250</v>
      </c>
      <c r="CT46" s="230">
        <v>50000</v>
      </c>
      <c r="CU46" s="229">
        <v>1.9599999999999999E-2</v>
      </c>
      <c r="CV46" s="230">
        <v>16791875</v>
      </c>
      <c r="CW46" s="230">
        <v>16632500</v>
      </c>
      <c r="CX46" s="230">
        <v>159375</v>
      </c>
      <c r="CY46" s="229">
        <v>9.5999999999999992E-3</v>
      </c>
      <c r="CZ46" s="228">
        <v>25.97</v>
      </c>
      <c r="DA46" s="228">
        <v>25.93</v>
      </c>
      <c r="DB46" s="228">
        <v>0.04</v>
      </c>
      <c r="DC46" s="228">
        <v>0.04</v>
      </c>
      <c r="DD46" s="228">
        <v>40.03</v>
      </c>
      <c r="DE46" s="228">
        <v>40.130000000000003</v>
      </c>
      <c r="DF46" s="228">
        <v>-14.06</v>
      </c>
      <c r="DG46" s="228">
        <v>-0.1</v>
      </c>
      <c r="DH46" s="228">
        <v>25.25</v>
      </c>
      <c r="DI46" s="228">
        <v>24.18</v>
      </c>
      <c r="DJ46" s="228">
        <v>1.07</v>
      </c>
      <c r="DK46" s="228">
        <v>1.07</v>
      </c>
      <c r="DL46" s="228">
        <v>26.91</v>
      </c>
      <c r="DM46" s="228">
        <v>27.94</v>
      </c>
      <c r="DN46" s="228">
        <v>-1.03</v>
      </c>
      <c r="DO46" s="228">
        <v>-1.03</v>
      </c>
      <c r="DP46" s="228">
        <v>1</v>
      </c>
      <c r="DQ46" s="228">
        <v>1</v>
      </c>
      <c r="DR46" s="228">
        <v>0</v>
      </c>
      <c r="DS46" s="229">
        <v>0</v>
      </c>
      <c r="DT46" s="231">
        <v>1600</v>
      </c>
      <c r="DU46" s="231">
        <v>1440</v>
      </c>
      <c r="DV46" s="228">
        <v>0.76</v>
      </c>
      <c r="DW46" s="228">
        <v>0.87</v>
      </c>
      <c r="DX46" s="228">
        <v>-0.11</v>
      </c>
      <c r="DY46" s="229">
        <v>-0.12640000000000001</v>
      </c>
      <c r="DZ46" s="229">
        <v>6.5600000000000006E-2</v>
      </c>
      <c r="EA46" s="230">
        <v>554375</v>
      </c>
      <c r="EB46" s="229">
        <v>1.2999999999999999E-3</v>
      </c>
      <c r="EC46" s="229">
        <v>6.5600000000000006E-2</v>
      </c>
      <c r="ED46" s="228">
        <v>2.65</v>
      </c>
      <c r="EE46" s="229">
        <v>1.6999999999999999E-3</v>
      </c>
      <c r="EF46" s="230">
        <v>936494</v>
      </c>
      <c r="EG46" s="230">
        <v>611717</v>
      </c>
      <c r="EH46" s="229">
        <v>0.53090000000000004</v>
      </c>
      <c r="EI46" s="229">
        <v>0.72499999999999998</v>
      </c>
      <c r="EJ46" s="231">
        <v>59621.41</v>
      </c>
      <c r="EK46" s="231">
        <v>43138.82</v>
      </c>
      <c r="EL46" s="231">
        <v>27807.4</v>
      </c>
      <c r="EM46" s="228">
        <v>0</v>
      </c>
      <c r="EN46" s="231">
        <v>130567.63</v>
      </c>
      <c r="EO46" s="231">
        <v>118474.12</v>
      </c>
      <c r="EP46" s="231">
        <v>12093.51</v>
      </c>
      <c r="EQ46" s="229">
        <v>0.1021</v>
      </c>
      <c r="ER46" s="231">
        <v>40602</v>
      </c>
      <c r="ES46" s="231">
        <v>37359</v>
      </c>
      <c r="ET46" s="231">
        <v>176415</v>
      </c>
      <c r="EU46" s="231">
        <v>84283024</v>
      </c>
      <c r="EV46" s="231">
        <v>254376</v>
      </c>
      <c r="EW46" s="231">
        <v>252534</v>
      </c>
      <c r="EX46" s="231">
        <v>1842</v>
      </c>
      <c r="EY46" s="229">
        <v>7.3000000000000001E-3</v>
      </c>
      <c r="EZ46" s="229">
        <v>0.19919999999999999</v>
      </c>
      <c r="FA46" s="227" t="s">
        <v>567</v>
      </c>
      <c r="FB46" s="161">
        <f t="shared" si="0"/>
        <v>759375</v>
      </c>
    </row>
    <row r="47" spans="1:158" ht="17.25" hidden="1" thickBot="1" x14ac:dyDescent="0.3">
      <c r="A47" s="226">
        <v>45889</v>
      </c>
      <c r="B47" s="227" t="s">
        <v>170</v>
      </c>
      <c r="C47" s="227" t="s">
        <v>199</v>
      </c>
      <c r="D47" s="228">
        <v>375</v>
      </c>
      <c r="E47" s="231">
        <v>1549.4</v>
      </c>
      <c r="F47" s="231">
        <v>1553</v>
      </c>
      <c r="G47" s="228">
        <v>-3.6</v>
      </c>
      <c r="H47" s="229">
        <v>-2.3E-3</v>
      </c>
      <c r="I47" s="231">
        <v>1546.1</v>
      </c>
      <c r="J47" s="231">
        <v>1548.9</v>
      </c>
      <c r="K47" s="228">
        <v>-2.8</v>
      </c>
      <c r="L47" s="229">
        <v>-1.8E-3</v>
      </c>
      <c r="M47" s="231">
        <v>1549.4</v>
      </c>
      <c r="N47" s="231">
        <v>1553</v>
      </c>
      <c r="O47" s="228">
        <v>-3.6</v>
      </c>
      <c r="P47" s="229">
        <v>-2.3E-3</v>
      </c>
      <c r="Q47" s="231">
        <v>1558.2</v>
      </c>
      <c r="R47" s="231">
        <v>1561.8</v>
      </c>
      <c r="S47" s="228">
        <v>-3.6</v>
      </c>
      <c r="T47" s="229">
        <v>-2.3E-3</v>
      </c>
      <c r="U47" s="231">
        <v>1565.5</v>
      </c>
      <c r="V47" s="231">
        <v>1568.9</v>
      </c>
      <c r="W47" s="228">
        <v>-3.4</v>
      </c>
      <c r="X47" s="229">
        <v>-2.2000000000000001E-3</v>
      </c>
      <c r="Y47" s="228">
        <v>3.3</v>
      </c>
      <c r="Z47" s="228">
        <v>4.0999999999999996</v>
      </c>
      <c r="AA47" s="228">
        <v>-0.8</v>
      </c>
      <c r="AB47" s="229">
        <v>2.0999999999999999E-3</v>
      </c>
      <c r="AC47" s="228">
        <v>3.3</v>
      </c>
      <c r="AD47" s="228">
        <v>4.0999999999999996</v>
      </c>
      <c r="AE47" s="228">
        <v>-0.8</v>
      </c>
      <c r="AF47" s="229">
        <v>2.0999999999999999E-3</v>
      </c>
      <c r="AG47" s="228">
        <v>12.1</v>
      </c>
      <c r="AH47" s="228">
        <v>12.9</v>
      </c>
      <c r="AI47" s="228">
        <v>-0.8</v>
      </c>
      <c r="AJ47" s="229">
        <v>7.7999999999999996E-3</v>
      </c>
      <c r="AK47" s="228">
        <v>19.399999999999999</v>
      </c>
      <c r="AL47" s="228">
        <v>20</v>
      </c>
      <c r="AM47" s="228">
        <v>-0.6</v>
      </c>
      <c r="AN47" s="229">
        <v>1.2500000000000001E-2</v>
      </c>
      <c r="AO47" s="231">
        <v>1547.03</v>
      </c>
      <c r="AP47" s="231">
        <v>1559.23</v>
      </c>
      <c r="AQ47" s="228">
        <v>0</v>
      </c>
      <c r="AR47" s="230">
        <v>1030875</v>
      </c>
      <c r="AS47" s="230">
        <v>853500</v>
      </c>
      <c r="AT47" s="230">
        <v>177375</v>
      </c>
      <c r="AU47" s="229">
        <v>0.20780000000000001</v>
      </c>
      <c r="AV47" s="230">
        <v>842625</v>
      </c>
      <c r="AW47" s="230">
        <v>724125</v>
      </c>
      <c r="AX47" s="230">
        <v>118500</v>
      </c>
      <c r="AY47" s="229">
        <v>0.1636</v>
      </c>
      <c r="AZ47" s="230">
        <v>184500</v>
      </c>
      <c r="BA47" s="230">
        <v>123375</v>
      </c>
      <c r="BB47" s="230">
        <v>61125</v>
      </c>
      <c r="BC47" s="229">
        <v>0.49540000000000001</v>
      </c>
      <c r="BD47" s="230">
        <v>3750</v>
      </c>
      <c r="BE47" s="230">
        <v>6000</v>
      </c>
      <c r="BF47" s="230">
        <v>-2250</v>
      </c>
      <c r="BG47" s="229">
        <v>-0.375</v>
      </c>
      <c r="BH47" s="230">
        <v>4141500</v>
      </c>
      <c r="BI47" s="230">
        <v>2633250</v>
      </c>
      <c r="BJ47" s="230">
        <v>1508250</v>
      </c>
      <c r="BK47" s="229">
        <v>0.57279999999999998</v>
      </c>
      <c r="BL47" s="230">
        <v>3637500</v>
      </c>
      <c r="BM47" s="230">
        <v>2478750</v>
      </c>
      <c r="BN47" s="230">
        <v>1158750</v>
      </c>
      <c r="BO47" s="229">
        <v>0.46750000000000003</v>
      </c>
      <c r="BP47" s="230">
        <v>8809875</v>
      </c>
      <c r="BQ47" s="230">
        <v>5965500</v>
      </c>
      <c r="BR47" s="230">
        <v>2844375</v>
      </c>
      <c r="BS47" s="229">
        <v>0.4768</v>
      </c>
      <c r="BT47" s="230">
        <v>956060</v>
      </c>
      <c r="BU47" s="230">
        <v>952899</v>
      </c>
      <c r="BV47" s="230">
        <v>3161</v>
      </c>
      <c r="BW47" s="229">
        <v>3.3E-3</v>
      </c>
      <c r="BX47" s="230">
        <v>10809750</v>
      </c>
      <c r="BY47" s="230">
        <v>10776375</v>
      </c>
      <c r="BZ47" s="230">
        <v>33375</v>
      </c>
      <c r="CA47" s="229">
        <v>3.0999999999999999E-3</v>
      </c>
      <c r="CB47" s="230">
        <v>10316250</v>
      </c>
      <c r="CC47" s="230">
        <v>10410750</v>
      </c>
      <c r="CD47" s="230">
        <v>-94500</v>
      </c>
      <c r="CE47" s="229">
        <v>-9.1000000000000004E-3</v>
      </c>
      <c r="CF47" s="230">
        <v>480375</v>
      </c>
      <c r="CG47" s="230">
        <v>354750</v>
      </c>
      <c r="CH47" s="230">
        <v>125625</v>
      </c>
      <c r="CI47" s="229">
        <v>0.35410000000000003</v>
      </c>
      <c r="CJ47" s="230">
        <v>13125</v>
      </c>
      <c r="CK47" s="230">
        <v>10875</v>
      </c>
      <c r="CL47" s="230">
        <v>2250</v>
      </c>
      <c r="CM47" s="229">
        <v>0.2069</v>
      </c>
      <c r="CN47" s="230">
        <v>4220625</v>
      </c>
      <c r="CO47" s="230">
        <v>4279875</v>
      </c>
      <c r="CP47" s="230">
        <v>-59250</v>
      </c>
      <c r="CQ47" s="229">
        <v>-1.38E-2</v>
      </c>
      <c r="CR47" s="230">
        <v>3286125</v>
      </c>
      <c r="CS47" s="230">
        <v>3269625</v>
      </c>
      <c r="CT47" s="230">
        <v>16500</v>
      </c>
      <c r="CU47" s="229">
        <v>5.0000000000000001E-3</v>
      </c>
      <c r="CV47" s="230">
        <v>18316500</v>
      </c>
      <c r="CW47" s="230">
        <v>18325875</v>
      </c>
      <c r="CX47" s="230">
        <v>-9375</v>
      </c>
      <c r="CY47" s="229">
        <v>-5.0000000000000001E-4</v>
      </c>
      <c r="CZ47" s="228">
        <v>21.02</v>
      </c>
      <c r="DA47" s="228">
        <v>20.56</v>
      </c>
      <c r="DB47" s="228">
        <v>0.46</v>
      </c>
      <c r="DC47" s="228">
        <v>0.46</v>
      </c>
      <c r="DD47" s="228">
        <v>27.2</v>
      </c>
      <c r="DE47" s="228">
        <v>27.27</v>
      </c>
      <c r="DF47" s="228">
        <v>-6.18</v>
      </c>
      <c r="DG47" s="228">
        <v>-7.0000000000000007E-2</v>
      </c>
      <c r="DH47" s="228">
        <v>20.07</v>
      </c>
      <c r="DI47" s="228">
        <v>19.22</v>
      </c>
      <c r="DJ47" s="228">
        <v>0.85</v>
      </c>
      <c r="DK47" s="228">
        <v>0.85</v>
      </c>
      <c r="DL47" s="228">
        <v>22.11</v>
      </c>
      <c r="DM47" s="228">
        <v>21.97</v>
      </c>
      <c r="DN47" s="228">
        <v>0.14000000000000001</v>
      </c>
      <c r="DO47" s="228">
        <v>0.14000000000000001</v>
      </c>
      <c r="DP47" s="228">
        <v>0.78</v>
      </c>
      <c r="DQ47" s="228">
        <v>0.76</v>
      </c>
      <c r="DR47" s="228">
        <v>0.02</v>
      </c>
      <c r="DS47" s="229">
        <v>2.63E-2</v>
      </c>
      <c r="DT47" s="231">
        <v>1600</v>
      </c>
      <c r="DU47" s="231">
        <v>1340</v>
      </c>
      <c r="DV47" s="228">
        <v>0.88</v>
      </c>
      <c r="DW47" s="228">
        <v>0.94</v>
      </c>
      <c r="DX47" s="228">
        <v>-0.06</v>
      </c>
      <c r="DY47" s="229">
        <v>-6.3799999999999996E-2</v>
      </c>
      <c r="DZ47" s="229">
        <v>4.5699999999999998E-2</v>
      </c>
      <c r="EA47" s="230">
        <v>365625</v>
      </c>
      <c r="EB47" s="229">
        <v>5.7000000000000002E-3</v>
      </c>
      <c r="EC47" s="229">
        <v>4.5699999999999998E-2</v>
      </c>
      <c r="ED47" s="228">
        <v>12.2</v>
      </c>
      <c r="EE47" s="229">
        <v>7.9000000000000008E-3</v>
      </c>
      <c r="EF47" s="230">
        <v>448185</v>
      </c>
      <c r="EG47" s="230">
        <v>488482</v>
      </c>
      <c r="EH47" s="229">
        <v>-8.2500000000000004E-2</v>
      </c>
      <c r="EI47" s="229">
        <v>0.46879999999999999</v>
      </c>
      <c r="EJ47" s="231">
        <v>65803.77</v>
      </c>
      <c r="EK47" s="231">
        <v>55588.32</v>
      </c>
      <c r="EL47" s="231">
        <v>15971.15</v>
      </c>
      <c r="EM47" s="228">
        <v>0</v>
      </c>
      <c r="EN47" s="231">
        <v>137363.24</v>
      </c>
      <c r="EO47" s="231">
        <v>93710.22</v>
      </c>
      <c r="EP47" s="231">
        <v>43653.02</v>
      </c>
      <c r="EQ47" s="229">
        <v>0.46579999999999999</v>
      </c>
      <c r="ER47" s="231">
        <v>67762</v>
      </c>
      <c r="ES47" s="231">
        <v>47343</v>
      </c>
      <c r="ET47" s="231">
        <v>167531</v>
      </c>
      <c r="EU47" s="231">
        <v>114147881</v>
      </c>
      <c r="EV47" s="231">
        <v>282636</v>
      </c>
      <c r="EW47" s="231">
        <v>283053</v>
      </c>
      <c r="EX47" s="228">
        <v>-417</v>
      </c>
      <c r="EY47" s="229">
        <v>-1.5E-3</v>
      </c>
      <c r="EZ47" s="229">
        <v>0.1605</v>
      </c>
      <c r="FA47" s="227" t="s">
        <v>567</v>
      </c>
      <c r="FB47" s="161">
        <f t="shared" si="0"/>
        <v>493500</v>
      </c>
    </row>
    <row r="48" spans="1:158" ht="17.25" hidden="1" thickBot="1" x14ac:dyDescent="0.3">
      <c r="A48" s="226">
        <v>45889</v>
      </c>
      <c r="B48" s="227" t="s">
        <v>227</v>
      </c>
      <c r="C48" s="227" t="s">
        <v>200</v>
      </c>
      <c r="D48" s="228">
        <v>1350</v>
      </c>
      <c r="E48" s="228">
        <v>380.05</v>
      </c>
      <c r="F48" s="228">
        <v>380.75</v>
      </c>
      <c r="G48" s="228">
        <v>-0.7</v>
      </c>
      <c r="H48" s="229">
        <v>-1.8E-3</v>
      </c>
      <c r="I48" s="228">
        <v>384.7</v>
      </c>
      <c r="J48" s="228">
        <v>385.35</v>
      </c>
      <c r="K48" s="228">
        <v>-0.65</v>
      </c>
      <c r="L48" s="229">
        <v>-1.6999999999999999E-3</v>
      </c>
      <c r="M48" s="228">
        <v>380.05</v>
      </c>
      <c r="N48" s="228">
        <v>380.75</v>
      </c>
      <c r="O48" s="228">
        <v>-0.7</v>
      </c>
      <c r="P48" s="229">
        <v>-1.8E-3</v>
      </c>
      <c r="Q48" s="228">
        <v>382.25</v>
      </c>
      <c r="R48" s="228">
        <v>382.95</v>
      </c>
      <c r="S48" s="228">
        <v>-0.7</v>
      </c>
      <c r="T48" s="229">
        <v>-1.8E-3</v>
      </c>
      <c r="U48" s="228">
        <v>384.15</v>
      </c>
      <c r="V48" s="228">
        <v>385.2</v>
      </c>
      <c r="W48" s="228">
        <v>-1.05</v>
      </c>
      <c r="X48" s="229">
        <v>-2.7000000000000001E-3</v>
      </c>
      <c r="Y48" s="228">
        <v>-4.6500000000000004</v>
      </c>
      <c r="Z48" s="228">
        <v>-4.5999999999999996</v>
      </c>
      <c r="AA48" s="228">
        <v>-0.05</v>
      </c>
      <c r="AB48" s="229">
        <v>-1.21E-2</v>
      </c>
      <c r="AC48" s="228">
        <v>-4.6500000000000004</v>
      </c>
      <c r="AD48" s="228">
        <v>-4.5999999999999996</v>
      </c>
      <c r="AE48" s="228">
        <v>-0.05</v>
      </c>
      <c r="AF48" s="229">
        <v>-1.21E-2</v>
      </c>
      <c r="AG48" s="228">
        <v>-2.4500000000000002</v>
      </c>
      <c r="AH48" s="228">
        <v>-2.4</v>
      </c>
      <c r="AI48" s="228">
        <v>-0.05</v>
      </c>
      <c r="AJ48" s="229">
        <v>-6.4000000000000003E-3</v>
      </c>
      <c r="AK48" s="228">
        <v>-0.55000000000000004</v>
      </c>
      <c r="AL48" s="228">
        <v>-0.15</v>
      </c>
      <c r="AM48" s="228">
        <v>-0.4</v>
      </c>
      <c r="AN48" s="229">
        <v>-1.4E-3</v>
      </c>
      <c r="AO48" s="228">
        <v>380.13</v>
      </c>
      <c r="AP48" s="228">
        <v>382.29</v>
      </c>
      <c r="AQ48" s="228">
        <v>0</v>
      </c>
      <c r="AR48" s="230">
        <v>6286950</v>
      </c>
      <c r="AS48" s="230">
        <v>7068600</v>
      </c>
      <c r="AT48" s="230">
        <v>-781650</v>
      </c>
      <c r="AU48" s="229">
        <v>-0.1106</v>
      </c>
      <c r="AV48" s="230">
        <v>4776300</v>
      </c>
      <c r="AW48" s="230">
        <v>5871150</v>
      </c>
      <c r="AX48" s="230">
        <v>-1094850</v>
      </c>
      <c r="AY48" s="229">
        <v>-0.1865</v>
      </c>
      <c r="AZ48" s="230">
        <v>1408050</v>
      </c>
      <c r="BA48" s="230">
        <v>1093500</v>
      </c>
      <c r="BB48" s="230">
        <v>314550</v>
      </c>
      <c r="BC48" s="229">
        <v>0.28770000000000001</v>
      </c>
      <c r="BD48" s="230">
        <v>102600</v>
      </c>
      <c r="BE48" s="230">
        <v>103950</v>
      </c>
      <c r="BF48" s="230">
        <v>-1350</v>
      </c>
      <c r="BG48" s="229">
        <v>-1.2999999999999999E-2</v>
      </c>
      <c r="BH48" s="230">
        <v>18590850</v>
      </c>
      <c r="BI48" s="230">
        <v>28701000</v>
      </c>
      <c r="BJ48" s="230">
        <v>-10110150</v>
      </c>
      <c r="BK48" s="229">
        <v>-0.3523</v>
      </c>
      <c r="BL48" s="230">
        <v>8675100</v>
      </c>
      <c r="BM48" s="230">
        <v>19765350</v>
      </c>
      <c r="BN48" s="230">
        <v>-11090250</v>
      </c>
      <c r="BO48" s="229">
        <v>-0.56110000000000004</v>
      </c>
      <c r="BP48" s="230">
        <v>33552900</v>
      </c>
      <c r="BQ48" s="230">
        <v>55534950</v>
      </c>
      <c r="BR48" s="230">
        <v>-21982050</v>
      </c>
      <c r="BS48" s="229">
        <v>-0.39579999999999999</v>
      </c>
      <c r="BT48" s="230">
        <v>5518097</v>
      </c>
      <c r="BU48" s="230">
        <v>5513809</v>
      </c>
      <c r="BV48" s="230">
        <v>4288</v>
      </c>
      <c r="BW48" s="229">
        <v>8.0000000000000004E-4</v>
      </c>
      <c r="BX48" s="230">
        <v>76693500</v>
      </c>
      <c r="BY48" s="230">
        <v>75636450</v>
      </c>
      <c r="BZ48" s="230">
        <v>1057050</v>
      </c>
      <c r="CA48" s="229">
        <v>1.4E-2</v>
      </c>
      <c r="CB48" s="230">
        <v>71329950</v>
      </c>
      <c r="CC48" s="230">
        <v>71097750</v>
      </c>
      <c r="CD48" s="230">
        <v>232200</v>
      </c>
      <c r="CE48" s="229">
        <v>3.3E-3</v>
      </c>
      <c r="CF48" s="230">
        <v>5089500</v>
      </c>
      <c r="CG48" s="230">
        <v>4288950</v>
      </c>
      <c r="CH48" s="230">
        <v>800550</v>
      </c>
      <c r="CI48" s="229">
        <v>0.1867</v>
      </c>
      <c r="CJ48" s="230">
        <v>274050</v>
      </c>
      <c r="CK48" s="230">
        <v>249750</v>
      </c>
      <c r="CL48" s="230">
        <v>24300</v>
      </c>
      <c r="CM48" s="229">
        <v>9.7299999999999998E-2</v>
      </c>
      <c r="CN48" s="230">
        <v>32540400</v>
      </c>
      <c r="CO48" s="230">
        <v>31957200</v>
      </c>
      <c r="CP48" s="230">
        <v>583200</v>
      </c>
      <c r="CQ48" s="229">
        <v>1.8200000000000001E-2</v>
      </c>
      <c r="CR48" s="230">
        <v>23037750</v>
      </c>
      <c r="CS48" s="230">
        <v>22376250</v>
      </c>
      <c r="CT48" s="230">
        <v>661500</v>
      </c>
      <c r="CU48" s="229">
        <v>2.9600000000000001E-2</v>
      </c>
      <c r="CV48" s="230">
        <v>132271650</v>
      </c>
      <c r="CW48" s="230">
        <v>129969900</v>
      </c>
      <c r="CX48" s="230">
        <v>2301750</v>
      </c>
      <c r="CY48" s="229">
        <v>1.77E-2</v>
      </c>
      <c r="CZ48" s="228">
        <v>18.149999999999999</v>
      </c>
      <c r="DA48" s="228">
        <v>18.649999999999999</v>
      </c>
      <c r="DB48" s="228">
        <v>-0.5</v>
      </c>
      <c r="DC48" s="228">
        <v>-0.5</v>
      </c>
      <c r="DD48" s="228">
        <v>30.86</v>
      </c>
      <c r="DE48" s="228">
        <v>30.94</v>
      </c>
      <c r="DF48" s="228">
        <v>-12.71</v>
      </c>
      <c r="DG48" s="228">
        <v>-0.08</v>
      </c>
      <c r="DH48" s="228">
        <v>18.14</v>
      </c>
      <c r="DI48" s="228">
        <v>18.54</v>
      </c>
      <c r="DJ48" s="228">
        <v>-0.4</v>
      </c>
      <c r="DK48" s="228">
        <v>-0.4</v>
      </c>
      <c r="DL48" s="228">
        <v>18.16</v>
      </c>
      <c r="DM48" s="228">
        <v>18.809999999999999</v>
      </c>
      <c r="DN48" s="228">
        <v>-0.65</v>
      </c>
      <c r="DO48" s="228">
        <v>-0.65</v>
      </c>
      <c r="DP48" s="228">
        <v>0.71</v>
      </c>
      <c r="DQ48" s="228">
        <v>0.7</v>
      </c>
      <c r="DR48" s="228">
        <v>0.01</v>
      </c>
      <c r="DS48" s="229">
        <v>1.43E-2</v>
      </c>
      <c r="DT48" s="228">
        <v>400</v>
      </c>
      <c r="DU48" s="228">
        <v>450</v>
      </c>
      <c r="DV48" s="228">
        <v>0.47</v>
      </c>
      <c r="DW48" s="228">
        <v>0.69</v>
      </c>
      <c r="DX48" s="228">
        <v>-0.22</v>
      </c>
      <c r="DY48" s="229">
        <v>-0.31879999999999997</v>
      </c>
      <c r="DZ48" s="229">
        <v>6.9900000000000004E-2</v>
      </c>
      <c r="EA48" s="230">
        <v>4538700</v>
      </c>
      <c r="EB48" s="229">
        <v>5.7999999999999996E-3</v>
      </c>
      <c r="EC48" s="229">
        <v>6.9900000000000004E-2</v>
      </c>
      <c r="ED48" s="228">
        <v>2.16</v>
      </c>
      <c r="EE48" s="229">
        <v>5.7000000000000002E-3</v>
      </c>
      <c r="EF48" s="230">
        <v>3699168</v>
      </c>
      <c r="EG48" s="230">
        <v>3220845</v>
      </c>
      <c r="EH48" s="229">
        <v>0.14849999999999999</v>
      </c>
      <c r="EI48" s="229">
        <v>0.6704</v>
      </c>
      <c r="EJ48" s="231">
        <v>72738.080000000002</v>
      </c>
      <c r="EK48" s="231">
        <v>33113.480000000003</v>
      </c>
      <c r="EL48" s="231">
        <v>23933.040000000001</v>
      </c>
      <c r="EM48" s="228">
        <v>0</v>
      </c>
      <c r="EN48" s="231">
        <v>129784.6</v>
      </c>
      <c r="EO48" s="231">
        <v>214499.44</v>
      </c>
      <c r="EP48" s="231">
        <v>-84714.84</v>
      </c>
      <c r="EQ48" s="229">
        <v>-0.39489999999999997</v>
      </c>
      <c r="ER48" s="231">
        <v>127944</v>
      </c>
      <c r="ES48" s="231">
        <v>87158</v>
      </c>
      <c r="ET48" s="231">
        <v>291597</v>
      </c>
      <c r="EU48" s="231">
        <v>454398477</v>
      </c>
      <c r="EV48" s="231">
        <v>506699</v>
      </c>
      <c r="EW48" s="231">
        <v>498497</v>
      </c>
      <c r="EX48" s="231">
        <v>8202</v>
      </c>
      <c r="EY48" s="229">
        <v>1.6500000000000001E-2</v>
      </c>
      <c r="EZ48" s="229">
        <v>0.29110000000000003</v>
      </c>
      <c r="FA48" s="227" t="s">
        <v>567</v>
      </c>
      <c r="FB48" s="161">
        <f t="shared" si="0"/>
        <v>5363550</v>
      </c>
    </row>
    <row r="49" spans="1:158" ht="17.25" hidden="1" thickBot="1" x14ac:dyDescent="0.3">
      <c r="A49" s="226">
        <v>45889</v>
      </c>
      <c r="B49" s="227" t="s">
        <v>221</v>
      </c>
      <c r="C49" s="227" t="s">
        <v>470</v>
      </c>
      <c r="D49" s="228">
        <v>375</v>
      </c>
      <c r="E49" s="231">
        <v>1708.7</v>
      </c>
      <c r="F49" s="231">
        <v>1659.5</v>
      </c>
      <c r="G49" s="228">
        <v>49.2</v>
      </c>
      <c r="H49" s="229">
        <v>2.9600000000000001E-2</v>
      </c>
      <c r="I49" s="231">
        <v>1708.4</v>
      </c>
      <c r="J49" s="231">
        <v>1652.7</v>
      </c>
      <c r="K49" s="228">
        <v>55.7</v>
      </c>
      <c r="L49" s="229">
        <v>3.3700000000000001E-2</v>
      </c>
      <c r="M49" s="231">
        <v>1708.7</v>
      </c>
      <c r="N49" s="231">
        <v>1659.5</v>
      </c>
      <c r="O49" s="228">
        <v>49.2</v>
      </c>
      <c r="P49" s="229">
        <v>2.9600000000000001E-2</v>
      </c>
      <c r="Q49" s="231">
        <v>1717.3</v>
      </c>
      <c r="R49" s="231">
        <v>1668.2</v>
      </c>
      <c r="S49" s="228">
        <v>49.1</v>
      </c>
      <c r="T49" s="229">
        <v>2.9399999999999999E-2</v>
      </c>
      <c r="U49" s="231">
        <v>1721.8</v>
      </c>
      <c r="V49" s="231">
        <v>1673.9</v>
      </c>
      <c r="W49" s="228">
        <v>47.9</v>
      </c>
      <c r="X49" s="229">
        <v>2.86E-2</v>
      </c>
      <c r="Y49" s="228">
        <v>0.3</v>
      </c>
      <c r="Z49" s="228">
        <v>6.8</v>
      </c>
      <c r="AA49" s="228">
        <v>-6.5</v>
      </c>
      <c r="AB49" s="229">
        <v>2.0000000000000001E-4</v>
      </c>
      <c r="AC49" s="228">
        <v>0.3</v>
      </c>
      <c r="AD49" s="228">
        <v>6.8</v>
      </c>
      <c r="AE49" s="228">
        <v>-6.5</v>
      </c>
      <c r="AF49" s="229">
        <v>2.0000000000000001E-4</v>
      </c>
      <c r="AG49" s="228">
        <v>8.9</v>
      </c>
      <c r="AH49" s="228">
        <v>15.5</v>
      </c>
      <c r="AI49" s="228">
        <v>-6.6</v>
      </c>
      <c r="AJ49" s="229">
        <v>5.1999999999999998E-3</v>
      </c>
      <c r="AK49" s="228">
        <v>13.4</v>
      </c>
      <c r="AL49" s="228">
        <v>21.2</v>
      </c>
      <c r="AM49" s="228">
        <v>-7.8</v>
      </c>
      <c r="AN49" s="229">
        <v>7.7999999999999996E-3</v>
      </c>
      <c r="AO49" s="231">
        <v>1689.37</v>
      </c>
      <c r="AP49" s="231">
        <v>1694.63</v>
      </c>
      <c r="AQ49" s="228">
        <v>0</v>
      </c>
      <c r="AR49" s="230">
        <v>3828375</v>
      </c>
      <c r="AS49" s="230">
        <v>1306875</v>
      </c>
      <c r="AT49" s="230">
        <v>2521500</v>
      </c>
      <c r="AU49" s="229">
        <v>1.9294</v>
      </c>
      <c r="AV49" s="230">
        <v>3318000</v>
      </c>
      <c r="AW49" s="230">
        <v>1141875</v>
      </c>
      <c r="AX49" s="230">
        <v>2176125</v>
      </c>
      <c r="AY49" s="229">
        <v>1.9056999999999999</v>
      </c>
      <c r="AZ49" s="230">
        <v>481125</v>
      </c>
      <c r="BA49" s="230">
        <v>159750</v>
      </c>
      <c r="BB49" s="230">
        <v>321375</v>
      </c>
      <c r="BC49" s="229">
        <v>2.0116999999999998</v>
      </c>
      <c r="BD49" s="230">
        <v>29250</v>
      </c>
      <c r="BE49" s="230">
        <v>5250</v>
      </c>
      <c r="BF49" s="230">
        <v>24000</v>
      </c>
      <c r="BG49" s="229">
        <v>4.5713999999999997</v>
      </c>
      <c r="BH49" s="230">
        <v>20428125</v>
      </c>
      <c r="BI49" s="230">
        <v>3624375</v>
      </c>
      <c r="BJ49" s="230">
        <v>16803750</v>
      </c>
      <c r="BK49" s="229">
        <v>4.6363000000000003</v>
      </c>
      <c r="BL49" s="230">
        <v>7604250</v>
      </c>
      <c r="BM49" s="230">
        <v>2585625</v>
      </c>
      <c r="BN49" s="230">
        <v>5018625</v>
      </c>
      <c r="BO49" s="229">
        <v>1.9410000000000001</v>
      </c>
      <c r="BP49" s="230">
        <v>31860750</v>
      </c>
      <c r="BQ49" s="230">
        <v>7516875</v>
      </c>
      <c r="BR49" s="230">
        <v>24343875</v>
      </c>
      <c r="BS49" s="229">
        <v>3.2385999999999999</v>
      </c>
      <c r="BT49" s="230">
        <v>2268166</v>
      </c>
      <c r="BU49" s="230">
        <v>878081</v>
      </c>
      <c r="BV49" s="230">
        <v>1390085</v>
      </c>
      <c r="BW49" s="229">
        <v>1.5831</v>
      </c>
      <c r="BX49" s="230">
        <v>13129500</v>
      </c>
      <c r="BY49" s="230">
        <v>13290375</v>
      </c>
      <c r="BZ49" s="230">
        <v>-160875</v>
      </c>
      <c r="CA49" s="229">
        <v>-1.21E-2</v>
      </c>
      <c r="CB49" s="230">
        <v>12646875</v>
      </c>
      <c r="CC49" s="230">
        <v>12854625</v>
      </c>
      <c r="CD49" s="230">
        <v>-207750</v>
      </c>
      <c r="CE49" s="229">
        <v>-1.6199999999999999E-2</v>
      </c>
      <c r="CF49" s="230">
        <v>447750</v>
      </c>
      <c r="CG49" s="230">
        <v>399750</v>
      </c>
      <c r="CH49" s="230">
        <v>48000</v>
      </c>
      <c r="CI49" s="229">
        <v>0.1201</v>
      </c>
      <c r="CJ49" s="230">
        <v>34875</v>
      </c>
      <c r="CK49" s="230">
        <v>36000</v>
      </c>
      <c r="CL49" s="230">
        <v>-1125</v>
      </c>
      <c r="CM49" s="229">
        <v>-3.1300000000000001E-2</v>
      </c>
      <c r="CN49" s="230">
        <v>4759875</v>
      </c>
      <c r="CO49" s="230">
        <v>5539125</v>
      </c>
      <c r="CP49" s="230">
        <v>-779250</v>
      </c>
      <c r="CQ49" s="229">
        <v>-0.14069999999999999</v>
      </c>
      <c r="CR49" s="230">
        <v>3237000</v>
      </c>
      <c r="CS49" s="230">
        <v>3172125</v>
      </c>
      <c r="CT49" s="230">
        <v>64875</v>
      </c>
      <c r="CU49" s="229">
        <v>2.0500000000000001E-2</v>
      </c>
      <c r="CV49" s="230">
        <v>21126375</v>
      </c>
      <c r="CW49" s="230">
        <v>22001625</v>
      </c>
      <c r="CX49" s="230">
        <v>-875250</v>
      </c>
      <c r="CY49" s="229">
        <v>-3.9800000000000002E-2</v>
      </c>
      <c r="CZ49" s="228">
        <v>32.26</v>
      </c>
      <c r="DA49" s="228">
        <v>33.54</v>
      </c>
      <c r="DB49" s="228">
        <v>-1.28</v>
      </c>
      <c r="DC49" s="228">
        <v>-1.28</v>
      </c>
      <c r="DD49" s="228">
        <v>44.34</v>
      </c>
      <c r="DE49" s="228">
        <v>44.22</v>
      </c>
      <c r="DF49" s="228">
        <v>-12.08</v>
      </c>
      <c r="DG49" s="228">
        <v>0.12</v>
      </c>
      <c r="DH49" s="228">
        <v>31.87</v>
      </c>
      <c r="DI49" s="228">
        <v>33.82</v>
      </c>
      <c r="DJ49" s="228">
        <v>-1.95</v>
      </c>
      <c r="DK49" s="228">
        <v>-1.95</v>
      </c>
      <c r="DL49" s="228">
        <v>33.299999999999997</v>
      </c>
      <c r="DM49" s="228">
        <v>33.15</v>
      </c>
      <c r="DN49" s="228">
        <v>0.15</v>
      </c>
      <c r="DO49" s="228">
        <v>0.15</v>
      </c>
      <c r="DP49" s="228">
        <v>0.68</v>
      </c>
      <c r="DQ49" s="228">
        <v>0.56999999999999995</v>
      </c>
      <c r="DR49" s="228">
        <v>0.11</v>
      </c>
      <c r="DS49" s="229">
        <v>0.193</v>
      </c>
      <c r="DT49" s="231">
        <v>1800</v>
      </c>
      <c r="DU49" s="231">
        <v>1700</v>
      </c>
      <c r="DV49" s="228">
        <v>0.37</v>
      </c>
      <c r="DW49" s="228">
        <v>0.71</v>
      </c>
      <c r="DX49" s="228">
        <v>-0.34</v>
      </c>
      <c r="DY49" s="229">
        <v>-0.47889999999999999</v>
      </c>
      <c r="DZ49" s="229">
        <v>3.6799999999999999E-2</v>
      </c>
      <c r="EA49" s="230">
        <v>435750</v>
      </c>
      <c r="EB49" s="229">
        <v>5.0000000000000001E-3</v>
      </c>
      <c r="EC49" s="229">
        <v>3.6799999999999999E-2</v>
      </c>
      <c r="ED49" s="228">
        <v>5.26</v>
      </c>
      <c r="EE49" s="229">
        <v>3.0999999999999999E-3</v>
      </c>
      <c r="EF49" s="230">
        <v>796873</v>
      </c>
      <c r="EG49" s="230">
        <v>457229</v>
      </c>
      <c r="EH49" s="229">
        <v>0.74280000000000002</v>
      </c>
      <c r="EI49" s="229">
        <v>0.3513</v>
      </c>
      <c r="EJ49" s="231">
        <v>358032.38</v>
      </c>
      <c r="EK49" s="231">
        <v>126084.79</v>
      </c>
      <c r="EL49" s="231">
        <v>64704.18</v>
      </c>
      <c r="EM49" s="228">
        <v>0</v>
      </c>
      <c r="EN49" s="231">
        <v>548821.35</v>
      </c>
      <c r="EO49" s="231">
        <v>126753.39</v>
      </c>
      <c r="EP49" s="231">
        <v>422067.96</v>
      </c>
      <c r="EQ49" s="229">
        <v>3.3298000000000001</v>
      </c>
      <c r="ER49" s="231">
        <v>84745</v>
      </c>
      <c r="ES49" s="231">
        <v>52346</v>
      </c>
      <c r="ET49" s="231">
        <v>224387</v>
      </c>
      <c r="EU49" s="231">
        <v>66885199</v>
      </c>
      <c r="EV49" s="231">
        <v>361478</v>
      </c>
      <c r="EW49" s="231">
        <v>369567</v>
      </c>
      <c r="EX49" s="231">
        <v>-8089</v>
      </c>
      <c r="EY49" s="229">
        <v>-2.1899999999999999E-2</v>
      </c>
      <c r="EZ49" s="229">
        <v>0.31590000000000001</v>
      </c>
      <c r="FA49" s="227" t="s">
        <v>556</v>
      </c>
      <c r="FB49" s="161">
        <f t="shared" si="0"/>
        <v>482625</v>
      </c>
    </row>
    <row r="50" spans="1:158" ht="17.25" hidden="1" thickBot="1" x14ac:dyDescent="0.3">
      <c r="A50" s="226">
        <v>45889</v>
      </c>
      <c r="B50" s="227" t="s">
        <v>168</v>
      </c>
      <c r="C50" s="227" t="s">
        <v>201</v>
      </c>
      <c r="D50" s="228">
        <v>225</v>
      </c>
      <c r="E50" s="231">
        <v>2364.1999999999998</v>
      </c>
      <c r="F50" s="231">
        <v>2276.3000000000002</v>
      </c>
      <c r="G50" s="228">
        <v>87.9</v>
      </c>
      <c r="H50" s="229">
        <v>3.8600000000000002E-2</v>
      </c>
      <c r="I50" s="231">
        <v>2356.5</v>
      </c>
      <c r="J50" s="231">
        <v>2273.5</v>
      </c>
      <c r="K50" s="228">
        <v>83</v>
      </c>
      <c r="L50" s="229">
        <v>3.6499999999999998E-2</v>
      </c>
      <c r="M50" s="231">
        <v>2364.1999999999998</v>
      </c>
      <c r="N50" s="231">
        <v>2276.3000000000002</v>
      </c>
      <c r="O50" s="228">
        <v>87.9</v>
      </c>
      <c r="P50" s="229">
        <v>3.8600000000000002E-2</v>
      </c>
      <c r="Q50" s="231">
        <v>2376.3000000000002</v>
      </c>
      <c r="R50" s="231">
        <v>2287.5</v>
      </c>
      <c r="S50" s="228">
        <v>88.8</v>
      </c>
      <c r="T50" s="229">
        <v>3.8800000000000001E-2</v>
      </c>
      <c r="U50" s="231">
        <v>2389.6</v>
      </c>
      <c r="V50" s="231">
        <v>2300</v>
      </c>
      <c r="W50" s="228">
        <v>89.6</v>
      </c>
      <c r="X50" s="229">
        <v>3.9E-2</v>
      </c>
      <c r="Y50" s="228">
        <v>7.7</v>
      </c>
      <c r="Z50" s="228">
        <v>2.8</v>
      </c>
      <c r="AA50" s="228">
        <v>4.9000000000000004</v>
      </c>
      <c r="AB50" s="229">
        <v>3.3E-3</v>
      </c>
      <c r="AC50" s="228">
        <v>7.7</v>
      </c>
      <c r="AD50" s="228">
        <v>2.8</v>
      </c>
      <c r="AE50" s="228">
        <v>4.9000000000000004</v>
      </c>
      <c r="AF50" s="229">
        <v>3.3E-3</v>
      </c>
      <c r="AG50" s="228">
        <v>19.8</v>
      </c>
      <c r="AH50" s="228">
        <v>14</v>
      </c>
      <c r="AI50" s="228">
        <v>5.8</v>
      </c>
      <c r="AJ50" s="229">
        <v>8.3999999999999995E-3</v>
      </c>
      <c r="AK50" s="228">
        <v>33.1</v>
      </c>
      <c r="AL50" s="228">
        <v>26.5</v>
      </c>
      <c r="AM50" s="228">
        <v>6.6</v>
      </c>
      <c r="AN50" s="229">
        <v>1.4E-2</v>
      </c>
      <c r="AO50" s="231">
        <v>2340.34</v>
      </c>
      <c r="AP50" s="231">
        <v>2353.0500000000002</v>
      </c>
      <c r="AQ50" s="228">
        <v>0</v>
      </c>
      <c r="AR50" s="230">
        <v>2700000</v>
      </c>
      <c r="AS50" s="230">
        <v>1105875</v>
      </c>
      <c r="AT50" s="230">
        <v>1594125</v>
      </c>
      <c r="AU50" s="229">
        <v>1.4415</v>
      </c>
      <c r="AV50" s="230">
        <v>2200050</v>
      </c>
      <c r="AW50" s="230">
        <v>916875</v>
      </c>
      <c r="AX50" s="230">
        <v>1283175</v>
      </c>
      <c r="AY50" s="229">
        <v>1.3995</v>
      </c>
      <c r="AZ50" s="230">
        <v>446850</v>
      </c>
      <c r="BA50" s="230">
        <v>167625</v>
      </c>
      <c r="BB50" s="230">
        <v>279225</v>
      </c>
      <c r="BC50" s="229">
        <v>1.6657999999999999</v>
      </c>
      <c r="BD50" s="230">
        <v>53100</v>
      </c>
      <c r="BE50" s="230">
        <v>21375</v>
      </c>
      <c r="BF50" s="230">
        <v>31725</v>
      </c>
      <c r="BG50" s="229">
        <v>1.4842</v>
      </c>
      <c r="BH50" s="230">
        <v>13941675</v>
      </c>
      <c r="BI50" s="230">
        <v>4187475</v>
      </c>
      <c r="BJ50" s="230">
        <v>9754200</v>
      </c>
      <c r="BK50" s="229">
        <v>2.3294000000000001</v>
      </c>
      <c r="BL50" s="230">
        <v>4014000</v>
      </c>
      <c r="BM50" s="230">
        <v>1425150</v>
      </c>
      <c r="BN50" s="230">
        <v>2588850</v>
      </c>
      <c r="BO50" s="229">
        <v>1.8165</v>
      </c>
      <c r="BP50" s="230">
        <v>20655675</v>
      </c>
      <c r="BQ50" s="230">
        <v>6718500</v>
      </c>
      <c r="BR50" s="230">
        <v>13937175</v>
      </c>
      <c r="BS50" s="229">
        <v>2.0743999999999998</v>
      </c>
      <c r="BT50" s="230">
        <v>1098816</v>
      </c>
      <c r="BU50" s="230">
        <v>483831</v>
      </c>
      <c r="BV50" s="230">
        <v>614985</v>
      </c>
      <c r="BW50" s="229">
        <v>1.2710999999999999</v>
      </c>
      <c r="BX50" s="230">
        <v>5473350</v>
      </c>
      <c r="BY50" s="230">
        <v>5858550</v>
      </c>
      <c r="BZ50" s="230">
        <v>-385200</v>
      </c>
      <c r="CA50" s="229">
        <v>-6.5799999999999997E-2</v>
      </c>
      <c r="CB50" s="230">
        <v>4931325</v>
      </c>
      <c r="CC50" s="230">
        <v>5413950</v>
      </c>
      <c r="CD50" s="230">
        <v>-482625</v>
      </c>
      <c r="CE50" s="229">
        <v>-8.9099999999999999E-2</v>
      </c>
      <c r="CF50" s="230">
        <v>489150</v>
      </c>
      <c r="CG50" s="230">
        <v>393750</v>
      </c>
      <c r="CH50" s="230">
        <v>95400</v>
      </c>
      <c r="CI50" s="229">
        <v>0.24229999999999999</v>
      </c>
      <c r="CJ50" s="230">
        <v>52875</v>
      </c>
      <c r="CK50" s="230">
        <v>50850</v>
      </c>
      <c r="CL50" s="230">
        <v>2025</v>
      </c>
      <c r="CM50" s="229">
        <v>3.9800000000000002E-2</v>
      </c>
      <c r="CN50" s="230">
        <v>1655325</v>
      </c>
      <c r="CO50" s="230">
        <v>1676250</v>
      </c>
      <c r="CP50" s="230">
        <v>-20925</v>
      </c>
      <c r="CQ50" s="229">
        <v>-1.2500000000000001E-2</v>
      </c>
      <c r="CR50" s="230">
        <v>1401525</v>
      </c>
      <c r="CS50" s="230">
        <v>1136025</v>
      </c>
      <c r="CT50" s="230">
        <v>265500</v>
      </c>
      <c r="CU50" s="229">
        <v>0.23369999999999999</v>
      </c>
      <c r="CV50" s="230">
        <v>8530200</v>
      </c>
      <c r="CW50" s="230">
        <v>8670825</v>
      </c>
      <c r="CX50" s="230">
        <v>-140625</v>
      </c>
      <c r="CY50" s="229">
        <v>-1.6199999999999999E-2</v>
      </c>
      <c r="CZ50" s="228">
        <v>22.65</v>
      </c>
      <c r="DA50" s="228">
        <v>19.579999999999998</v>
      </c>
      <c r="DB50" s="228">
        <v>3.07</v>
      </c>
      <c r="DC50" s="228">
        <v>3.07</v>
      </c>
      <c r="DD50" s="228">
        <v>29.04</v>
      </c>
      <c r="DE50" s="228">
        <v>28.7</v>
      </c>
      <c r="DF50" s="228">
        <v>-6.39</v>
      </c>
      <c r="DG50" s="228">
        <v>0.34</v>
      </c>
      <c r="DH50" s="228">
        <v>22.35</v>
      </c>
      <c r="DI50" s="228">
        <v>19.13</v>
      </c>
      <c r="DJ50" s="228">
        <v>3.22</v>
      </c>
      <c r="DK50" s="228">
        <v>3.22</v>
      </c>
      <c r="DL50" s="228">
        <v>23.67</v>
      </c>
      <c r="DM50" s="228">
        <v>20.89</v>
      </c>
      <c r="DN50" s="228">
        <v>2.78</v>
      </c>
      <c r="DO50" s="228">
        <v>2.78</v>
      </c>
      <c r="DP50" s="228">
        <v>0.85</v>
      </c>
      <c r="DQ50" s="228">
        <v>0.68</v>
      </c>
      <c r="DR50" s="228">
        <v>0.17</v>
      </c>
      <c r="DS50" s="229">
        <v>0.25</v>
      </c>
      <c r="DT50" s="231">
        <v>2400</v>
      </c>
      <c r="DU50" s="231">
        <v>2300</v>
      </c>
      <c r="DV50" s="228">
        <v>0.28999999999999998</v>
      </c>
      <c r="DW50" s="228">
        <v>0.34</v>
      </c>
      <c r="DX50" s="228">
        <v>-0.05</v>
      </c>
      <c r="DY50" s="229">
        <v>-0.14710000000000001</v>
      </c>
      <c r="DZ50" s="229">
        <v>9.9000000000000005E-2</v>
      </c>
      <c r="EA50" s="230">
        <v>444600</v>
      </c>
      <c r="EB50" s="229">
        <v>5.1000000000000004E-3</v>
      </c>
      <c r="EC50" s="229">
        <v>9.9000000000000005E-2</v>
      </c>
      <c r="ED50" s="228">
        <v>12.71</v>
      </c>
      <c r="EE50" s="229">
        <v>5.4000000000000003E-3</v>
      </c>
      <c r="EF50" s="230">
        <v>398792</v>
      </c>
      <c r="EG50" s="230">
        <v>217025</v>
      </c>
      <c r="EH50" s="229">
        <v>0.83750000000000002</v>
      </c>
      <c r="EI50" s="229">
        <v>0.3629</v>
      </c>
      <c r="EJ50" s="231">
        <v>333637.78999999998</v>
      </c>
      <c r="EK50" s="231">
        <v>92968.91</v>
      </c>
      <c r="EL50" s="231">
        <v>63256.95</v>
      </c>
      <c r="EM50" s="228">
        <v>0</v>
      </c>
      <c r="EN50" s="231">
        <v>489863.65</v>
      </c>
      <c r="EO50" s="231">
        <v>153290.19</v>
      </c>
      <c r="EP50" s="231">
        <v>336573.46</v>
      </c>
      <c r="EQ50" s="229">
        <v>2.1957</v>
      </c>
      <c r="ER50" s="231">
        <v>39382</v>
      </c>
      <c r="ES50" s="231">
        <v>31670</v>
      </c>
      <c r="ET50" s="231">
        <v>129474</v>
      </c>
      <c r="EU50" s="231">
        <v>26654592</v>
      </c>
      <c r="EV50" s="231">
        <v>200526</v>
      </c>
      <c r="EW50" s="231">
        <v>198067</v>
      </c>
      <c r="EX50" s="231">
        <v>2459</v>
      </c>
      <c r="EY50" s="229">
        <v>1.24E-2</v>
      </c>
      <c r="EZ50" s="229">
        <v>0.32</v>
      </c>
      <c r="FA50" s="227" t="s">
        <v>556</v>
      </c>
      <c r="FB50" s="161">
        <f t="shared" si="0"/>
        <v>542025</v>
      </c>
    </row>
    <row r="51" spans="1:158" ht="17.25" hidden="1" thickBot="1" x14ac:dyDescent="0.3">
      <c r="A51" s="226">
        <v>45889</v>
      </c>
      <c r="B51" s="227" t="s">
        <v>215</v>
      </c>
      <c r="C51" s="227" t="s">
        <v>202</v>
      </c>
      <c r="D51" s="228">
        <v>1250</v>
      </c>
      <c r="E51" s="228">
        <v>558</v>
      </c>
      <c r="F51" s="228">
        <v>556.04999999999995</v>
      </c>
      <c r="G51" s="228">
        <v>1.95</v>
      </c>
      <c r="H51" s="229">
        <v>3.5000000000000001E-3</v>
      </c>
      <c r="I51" s="228">
        <v>557.5</v>
      </c>
      <c r="J51" s="228">
        <v>555</v>
      </c>
      <c r="K51" s="228">
        <v>2.5</v>
      </c>
      <c r="L51" s="229">
        <v>4.4999999999999997E-3</v>
      </c>
      <c r="M51" s="228">
        <v>558</v>
      </c>
      <c r="N51" s="228">
        <v>556.04999999999995</v>
      </c>
      <c r="O51" s="228">
        <v>1.95</v>
      </c>
      <c r="P51" s="229">
        <v>3.5000000000000001E-3</v>
      </c>
      <c r="Q51" s="228">
        <v>561.04999999999995</v>
      </c>
      <c r="R51" s="228">
        <v>559.04999999999995</v>
      </c>
      <c r="S51" s="228">
        <v>2</v>
      </c>
      <c r="T51" s="229">
        <v>3.5999999999999999E-3</v>
      </c>
      <c r="U51" s="228">
        <v>563.4</v>
      </c>
      <c r="V51" s="228">
        <v>561.20000000000005</v>
      </c>
      <c r="W51" s="228">
        <v>2.2000000000000002</v>
      </c>
      <c r="X51" s="229">
        <v>3.8999999999999998E-3</v>
      </c>
      <c r="Y51" s="228">
        <v>0.5</v>
      </c>
      <c r="Z51" s="228">
        <v>1.05</v>
      </c>
      <c r="AA51" s="228">
        <v>-0.55000000000000004</v>
      </c>
      <c r="AB51" s="229">
        <v>8.9999999999999998E-4</v>
      </c>
      <c r="AC51" s="228">
        <v>0.5</v>
      </c>
      <c r="AD51" s="228">
        <v>1.05</v>
      </c>
      <c r="AE51" s="228">
        <v>-0.55000000000000004</v>
      </c>
      <c r="AF51" s="229">
        <v>8.9999999999999998E-4</v>
      </c>
      <c r="AG51" s="228">
        <v>3.55</v>
      </c>
      <c r="AH51" s="228">
        <v>4.05</v>
      </c>
      <c r="AI51" s="228">
        <v>-0.5</v>
      </c>
      <c r="AJ51" s="229">
        <v>6.4000000000000003E-3</v>
      </c>
      <c r="AK51" s="228">
        <v>5.9</v>
      </c>
      <c r="AL51" s="228">
        <v>6.2</v>
      </c>
      <c r="AM51" s="228">
        <v>-0.3</v>
      </c>
      <c r="AN51" s="229">
        <v>1.06E-2</v>
      </c>
      <c r="AO51" s="228">
        <v>558.36</v>
      </c>
      <c r="AP51" s="228">
        <v>561.45000000000005</v>
      </c>
      <c r="AQ51" s="228">
        <v>0</v>
      </c>
      <c r="AR51" s="230">
        <v>2998750</v>
      </c>
      <c r="AS51" s="230">
        <v>4780000</v>
      </c>
      <c r="AT51" s="230">
        <v>-1781250</v>
      </c>
      <c r="AU51" s="229">
        <v>-0.37259999999999999</v>
      </c>
      <c r="AV51" s="230">
        <v>2142500</v>
      </c>
      <c r="AW51" s="230">
        <v>3592500</v>
      </c>
      <c r="AX51" s="230">
        <v>-1450000</v>
      </c>
      <c r="AY51" s="229">
        <v>-0.40360000000000001</v>
      </c>
      <c r="AZ51" s="230">
        <v>776250</v>
      </c>
      <c r="BA51" s="230">
        <v>992500</v>
      </c>
      <c r="BB51" s="230">
        <v>-216250</v>
      </c>
      <c r="BC51" s="229">
        <v>-0.21790000000000001</v>
      </c>
      <c r="BD51" s="230">
        <v>80000</v>
      </c>
      <c r="BE51" s="230">
        <v>195000</v>
      </c>
      <c r="BF51" s="230">
        <v>-115000</v>
      </c>
      <c r="BG51" s="229">
        <v>-0.5897</v>
      </c>
      <c r="BH51" s="230">
        <v>7825000</v>
      </c>
      <c r="BI51" s="230">
        <v>14916250</v>
      </c>
      <c r="BJ51" s="230">
        <v>-7091250</v>
      </c>
      <c r="BK51" s="229">
        <v>-0.47539999999999999</v>
      </c>
      <c r="BL51" s="230">
        <v>4255000</v>
      </c>
      <c r="BM51" s="230">
        <v>4322500</v>
      </c>
      <c r="BN51" s="230">
        <v>-67500</v>
      </c>
      <c r="BO51" s="229">
        <v>-1.5599999999999999E-2</v>
      </c>
      <c r="BP51" s="230">
        <v>15078750</v>
      </c>
      <c r="BQ51" s="230">
        <v>24018750</v>
      </c>
      <c r="BR51" s="230">
        <v>-8940000</v>
      </c>
      <c r="BS51" s="229">
        <v>-0.37219999999999998</v>
      </c>
      <c r="BT51" s="230">
        <v>700400</v>
      </c>
      <c r="BU51" s="230">
        <v>1287540</v>
      </c>
      <c r="BV51" s="230">
        <v>-587140</v>
      </c>
      <c r="BW51" s="229">
        <v>-0.45600000000000002</v>
      </c>
      <c r="BX51" s="230">
        <v>22447500</v>
      </c>
      <c r="BY51" s="230">
        <v>22103750</v>
      </c>
      <c r="BZ51" s="230">
        <v>343750</v>
      </c>
      <c r="CA51" s="229">
        <v>1.5599999999999999E-2</v>
      </c>
      <c r="CB51" s="230">
        <v>19442500</v>
      </c>
      <c r="CC51" s="230">
        <v>19418750</v>
      </c>
      <c r="CD51" s="230">
        <v>23750</v>
      </c>
      <c r="CE51" s="229">
        <v>1.1999999999999999E-3</v>
      </c>
      <c r="CF51" s="230">
        <v>2733750</v>
      </c>
      <c r="CG51" s="230">
        <v>2431250</v>
      </c>
      <c r="CH51" s="230">
        <v>302500</v>
      </c>
      <c r="CI51" s="229">
        <v>0.1244</v>
      </c>
      <c r="CJ51" s="230">
        <v>271250</v>
      </c>
      <c r="CK51" s="230">
        <v>253750</v>
      </c>
      <c r="CL51" s="230">
        <v>17500</v>
      </c>
      <c r="CM51" s="229">
        <v>6.9000000000000006E-2</v>
      </c>
      <c r="CN51" s="230">
        <v>9051250</v>
      </c>
      <c r="CO51" s="230">
        <v>9512500</v>
      </c>
      <c r="CP51" s="230">
        <v>-461250</v>
      </c>
      <c r="CQ51" s="229">
        <v>-4.8500000000000001E-2</v>
      </c>
      <c r="CR51" s="230">
        <v>6433750</v>
      </c>
      <c r="CS51" s="230">
        <v>6450000</v>
      </c>
      <c r="CT51" s="230">
        <v>-16250</v>
      </c>
      <c r="CU51" s="229">
        <v>-2.5000000000000001E-3</v>
      </c>
      <c r="CV51" s="230">
        <v>37932500</v>
      </c>
      <c r="CW51" s="230">
        <v>38066250</v>
      </c>
      <c r="CX51" s="230">
        <v>-133750</v>
      </c>
      <c r="CY51" s="229">
        <v>-3.5000000000000001E-3</v>
      </c>
      <c r="CZ51" s="228">
        <v>24.67</v>
      </c>
      <c r="DA51" s="228">
        <v>25.45</v>
      </c>
      <c r="DB51" s="228">
        <v>-0.78</v>
      </c>
      <c r="DC51" s="228">
        <v>-0.78</v>
      </c>
      <c r="DD51" s="228">
        <v>38.79</v>
      </c>
      <c r="DE51" s="228">
        <v>38.880000000000003</v>
      </c>
      <c r="DF51" s="228">
        <v>-14.12</v>
      </c>
      <c r="DG51" s="228">
        <v>-0.09</v>
      </c>
      <c r="DH51" s="228">
        <v>24.37</v>
      </c>
      <c r="DI51" s="228">
        <v>25.13</v>
      </c>
      <c r="DJ51" s="228">
        <v>-0.76</v>
      </c>
      <c r="DK51" s="228">
        <v>-0.76</v>
      </c>
      <c r="DL51" s="228">
        <v>25.23</v>
      </c>
      <c r="DM51" s="228">
        <v>26.56</v>
      </c>
      <c r="DN51" s="228">
        <v>-1.33</v>
      </c>
      <c r="DO51" s="228">
        <v>-1.33</v>
      </c>
      <c r="DP51" s="228">
        <v>0.71</v>
      </c>
      <c r="DQ51" s="228">
        <v>0.68</v>
      </c>
      <c r="DR51" s="228">
        <v>0.03</v>
      </c>
      <c r="DS51" s="229">
        <v>4.41E-2</v>
      </c>
      <c r="DT51" s="228">
        <v>600</v>
      </c>
      <c r="DU51" s="228">
        <v>600</v>
      </c>
      <c r="DV51" s="228">
        <v>0.54</v>
      </c>
      <c r="DW51" s="228">
        <v>0.28999999999999998</v>
      </c>
      <c r="DX51" s="228">
        <v>0.25</v>
      </c>
      <c r="DY51" s="229">
        <v>0.86209999999999998</v>
      </c>
      <c r="DZ51" s="229">
        <v>0.13389999999999999</v>
      </c>
      <c r="EA51" s="230">
        <v>2685000</v>
      </c>
      <c r="EB51" s="229">
        <v>5.4999999999999997E-3</v>
      </c>
      <c r="EC51" s="229">
        <v>0.13389999999999999</v>
      </c>
      <c r="ED51" s="228">
        <v>3.09</v>
      </c>
      <c r="EE51" s="229">
        <v>5.4999999999999997E-3</v>
      </c>
      <c r="EF51" s="230">
        <v>307794</v>
      </c>
      <c r="EG51" s="230">
        <v>430449</v>
      </c>
      <c r="EH51" s="229">
        <v>-0.28489999999999999</v>
      </c>
      <c r="EI51" s="229">
        <v>0.4395</v>
      </c>
      <c r="EJ51" s="231">
        <v>45072.23</v>
      </c>
      <c r="EK51" s="231">
        <v>23694.86</v>
      </c>
      <c r="EL51" s="231">
        <v>16772.080000000002</v>
      </c>
      <c r="EM51" s="228">
        <v>0</v>
      </c>
      <c r="EN51" s="231">
        <v>85539.17</v>
      </c>
      <c r="EO51" s="231">
        <v>134679.10999999999</v>
      </c>
      <c r="EP51" s="231">
        <v>-49139.94</v>
      </c>
      <c r="EQ51" s="229">
        <v>-0.3649</v>
      </c>
      <c r="ER51" s="231">
        <v>53397</v>
      </c>
      <c r="ES51" s="231">
        <v>36058</v>
      </c>
      <c r="ET51" s="231">
        <v>125355</v>
      </c>
      <c r="EU51" s="231">
        <v>68852343</v>
      </c>
      <c r="EV51" s="231">
        <v>214810</v>
      </c>
      <c r="EW51" s="231">
        <v>215174</v>
      </c>
      <c r="EX51" s="228">
        <v>-364</v>
      </c>
      <c r="EY51" s="229">
        <v>-1.6999999999999999E-3</v>
      </c>
      <c r="EZ51" s="229">
        <v>0.55089999999999995</v>
      </c>
      <c r="FA51" s="227" t="s">
        <v>555</v>
      </c>
      <c r="FB51" s="161">
        <f t="shared" si="0"/>
        <v>3005000</v>
      </c>
    </row>
    <row r="52" spans="1:158" ht="17.25" hidden="1" thickBot="1" x14ac:dyDescent="0.3">
      <c r="A52" s="226">
        <v>45889</v>
      </c>
      <c r="B52" s="227" t="s">
        <v>184</v>
      </c>
      <c r="C52" s="227" t="s">
        <v>523</v>
      </c>
      <c r="D52" s="228">
        <v>1800</v>
      </c>
      <c r="E52" s="228">
        <v>329.2</v>
      </c>
      <c r="F52" s="228">
        <v>330.9</v>
      </c>
      <c r="G52" s="228">
        <v>-1.7</v>
      </c>
      <c r="H52" s="229">
        <v>-5.1000000000000004E-3</v>
      </c>
      <c r="I52" s="228">
        <v>328.35</v>
      </c>
      <c r="J52" s="228">
        <v>329.5</v>
      </c>
      <c r="K52" s="228">
        <v>-1.1499999999999999</v>
      </c>
      <c r="L52" s="229">
        <v>-3.5000000000000001E-3</v>
      </c>
      <c r="M52" s="228">
        <v>329.2</v>
      </c>
      <c r="N52" s="228">
        <v>330.9</v>
      </c>
      <c r="O52" s="228">
        <v>-1.7</v>
      </c>
      <c r="P52" s="229">
        <v>-5.1000000000000004E-3</v>
      </c>
      <c r="Q52" s="228">
        <v>330.85</v>
      </c>
      <c r="R52" s="228">
        <v>332.5</v>
      </c>
      <c r="S52" s="228">
        <v>-1.65</v>
      </c>
      <c r="T52" s="229">
        <v>-5.0000000000000001E-3</v>
      </c>
      <c r="U52" s="228">
        <v>332.65</v>
      </c>
      <c r="V52" s="228">
        <v>334.45</v>
      </c>
      <c r="W52" s="228">
        <v>-1.8</v>
      </c>
      <c r="X52" s="229">
        <v>-5.4000000000000003E-3</v>
      </c>
      <c r="Y52" s="228">
        <v>0.85</v>
      </c>
      <c r="Z52" s="228">
        <v>1.4</v>
      </c>
      <c r="AA52" s="228">
        <v>-0.55000000000000004</v>
      </c>
      <c r="AB52" s="229">
        <v>2.5999999999999999E-3</v>
      </c>
      <c r="AC52" s="228">
        <v>0.85</v>
      </c>
      <c r="AD52" s="228">
        <v>1.4</v>
      </c>
      <c r="AE52" s="228">
        <v>-0.55000000000000004</v>
      </c>
      <c r="AF52" s="229">
        <v>2.5999999999999999E-3</v>
      </c>
      <c r="AG52" s="228">
        <v>2.5</v>
      </c>
      <c r="AH52" s="228">
        <v>3</v>
      </c>
      <c r="AI52" s="228">
        <v>-0.5</v>
      </c>
      <c r="AJ52" s="229">
        <v>7.6E-3</v>
      </c>
      <c r="AK52" s="228">
        <v>4.3</v>
      </c>
      <c r="AL52" s="228">
        <v>4.95</v>
      </c>
      <c r="AM52" s="228">
        <v>-0.65</v>
      </c>
      <c r="AN52" s="229">
        <v>1.3100000000000001E-2</v>
      </c>
      <c r="AO52" s="228">
        <v>328.4</v>
      </c>
      <c r="AP52" s="228">
        <v>330.13</v>
      </c>
      <c r="AQ52" s="228">
        <v>0</v>
      </c>
      <c r="AR52" s="230">
        <v>4150800</v>
      </c>
      <c r="AS52" s="230">
        <v>3816000</v>
      </c>
      <c r="AT52" s="230">
        <v>334800</v>
      </c>
      <c r="AU52" s="229">
        <v>8.77E-2</v>
      </c>
      <c r="AV52" s="230">
        <v>3160800</v>
      </c>
      <c r="AW52" s="230">
        <v>3079800</v>
      </c>
      <c r="AX52" s="230">
        <v>81000</v>
      </c>
      <c r="AY52" s="229">
        <v>2.63E-2</v>
      </c>
      <c r="AZ52" s="230">
        <v>927000</v>
      </c>
      <c r="BA52" s="230">
        <v>707400</v>
      </c>
      <c r="BB52" s="230">
        <v>219600</v>
      </c>
      <c r="BC52" s="229">
        <v>0.31040000000000001</v>
      </c>
      <c r="BD52" s="230">
        <v>63000</v>
      </c>
      <c r="BE52" s="230">
        <v>28800</v>
      </c>
      <c r="BF52" s="230">
        <v>34200</v>
      </c>
      <c r="BG52" s="229">
        <v>1.1875</v>
      </c>
      <c r="BH52" s="230">
        <v>3972600</v>
      </c>
      <c r="BI52" s="230">
        <v>6631200</v>
      </c>
      <c r="BJ52" s="230">
        <v>-2658600</v>
      </c>
      <c r="BK52" s="229">
        <v>-0.40089999999999998</v>
      </c>
      <c r="BL52" s="230">
        <v>1386000</v>
      </c>
      <c r="BM52" s="230">
        <v>2442600</v>
      </c>
      <c r="BN52" s="230">
        <v>-1056600</v>
      </c>
      <c r="BO52" s="229">
        <v>-0.43259999999999998</v>
      </c>
      <c r="BP52" s="230">
        <v>9509400</v>
      </c>
      <c r="BQ52" s="230">
        <v>12889800</v>
      </c>
      <c r="BR52" s="230">
        <v>-3380400</v>
      </c>
      <c r="BS52" s="229">
        <v>-0.26229999999999998</v>
      </c>
      <c r="BT52" s="230">
        <v>2306550</v>
      </c>
      <c r="BU52" s="230">
        <v>1832603</v>
      </c>
      <c r="BV52" s="230">
        <v>473947</v>
      </c>
      <c r="BW52" s="229">
        <v>0.2586</v>
      </c>
      <c r="BX52" s="230">
        <v>40797000</v>
      </c>
      <c r="BY52" s="230">
        <v>40006800</v>
      </c>
      <c r="BZ52" s="230">
        <v>790200</v>
      </c>
      <c r="CA52" s="229">
        <v>1.9800000000000002E-2</v>
      </c>
      <c r="CB52" s="230">
        <v>38856600</v>
      </c>
      <c r="CC52" s="230">
        <v>38422800</v>
      </c>
      <c r="CD52" s="230">
        <v>433800</v>
      </c>
      <c r="CE52" s="229">
        <v>1.1299999999999999E-2</v>
      </c>
      <c r="CF52" s="230">
        <v>1756800</v>
      </c>
      <c r="CG52" s="230">
        <v>1429200</v>
      </c>
      <c r="CH52" s="230">
        <v>327600</v>
      </c>
      <c r="CI52" s="229">
        <v>0.22919999999999999</v>
      </c>
      <c r="CJ52" s="230">
        <v>183600</v>
      </c>
      <c r="CK52" s="230">
        <v>154800</v>
      </c>
      <c r="CL52" s="230">
        <v>28800</v>
      </c>
      <c r="CM52" s="229">
        <v>0.186</v>
      </c>
      <c r="CN52" s="230">
        <v>5115600</v>
      </c>
      <c r="CO52" s="230">
        <v>4905000</v>
      </c>
      <c r="CP52" s="230">
        <v>210600</v>
      </c>
      <c r="CQ52" s="229">
        <v>4.2900000000000001E-2</v>
      </c>
      <c r="CR52" s="230">
        <v>4339800</v>
      </c>
      <c r="CS52" s="230">
        <v>4384800</v>
      </c>
      <c r="CT52" s="230">
        <v>-45000</v>
      </c>
      <c r="CU52" s="229">
        <v>-1.03E-2</v>
      </c>
      <c r="CV52" s="230">
        <v>50252400</v>
      </c>
      <c r="CW52" s="230">
        <v>49296600</v>
      </c>
      <c r="CX52" s="230">
        <v>955800</v>
      </c>
      <c r="CY52" s="229">
        <v>1.9400000000000001E-2</v>
      </c>
      <c r="CZ52" s="228">
        <v>25.58</v>
      </c>
      <c r="DA52" s="228">
        <v>25.32</v>
      </c>
      <c r="DB52" s="228">
        <v>0.26</v>
      </c>
      <c r="DC52" s="228">
        <v>0.26</v>
      </c>
      <c r="DD52" s="228">
        <v>34.35</v>
      </c>
      <c r="DE52" s="228">
        <v>34.43</v>
      </c>
      <c r="DF52" s="228">
        <v>-8.77</v>
      </c>
      <c r="DG52" s="228">
        <v>-0.08</v>
      </c>
      <c r="DH52" s="228">
        <v>25.11</v>
      </c>
      <c r="DI52" s="228">
        <v>24.71</v>
      </c>
      <c r="DJ52" s="228">
        <v>0.4</v>
      </c>
      <c r="DK52" s="228">
        <v>0.4</v>
      </c>
      <c r="DL52" s="228">
        <v>26.93</v>
      </c>
      <c r="DM52" s="228">
        <v>27</v>
      </c>
      <c r="DN52" s="228">
        <v>-7.0000000000000007E-2</v>
      </c>
      <c r="DO52" s="228">
        <v>-7.0000000000000007E-2</v>
      </c>
      <c r="DP52" s="228">
        <v>0.85</v>
      </c>
      <c r="DQ52" s="228">
        <v>0.89</v>
      </c>
      <c r="DR52" s="228">
        <v>-0.04</v>
      </c>
      <c r="DS52" s="229">
        <v>-4.4900000000000002E-2</v>
      </c>
      <c r="DT52" s="228">
        <v>340</v>
      </c>
      <c r="DU52" s="228">
        <v>300</v>
      </c>
      <c r="DV52" s="228">
        <v>0.35</v>
      </c>
      <c r="DW52" s="228">
        <v>0.37</v>
      </c>
      <c r="DX52" s="228">
        <v>-0.02</v>
      </c>
      <c r="DY52" s="229">
        <v>-5.4100000000000002E-2</v>
      </c>
      <c r="DZ52" s="229">
        <v>4.7600000000000003E-2</v>
      </c>
      <c r="EA52" s="230">
        <v>1584000</v>
      </c>
      <c r="EB52" s="229">
        <v>5.0000000000000001E-3</v>
      </c>
      <c r="EC52" s="229">
        <v>4.7600000000000003E-2</v>
      </c>
      <c r="ED52" s="228">
        <v>1.73</v>
      </c>
      <c r="EE52" s="229">
        <v>5.3E-3</v>
      </c>
      <c r="EF52" s="230">
        <v>1534943</v>
      </c>
      <c r="EG52" s="230">
        <v>1199869</v>
      </c>
      <c r="EH52" s="229">
        <v>0.27929999999999999</v>
      </c>
      <c r="EI52" s="229">
        <v>0.66549999999999998</v>
      </c>
      <c r="EJ52" s="231">
        <v>13450.68</v>
      </c>
      <c r="EK52" s="231">
        <v>4470.08</v>
      </c>
      <c r="EL52" s="231">
        <v>13649.36</v>
      </c>
      <c r="EM52" s="228">
        <v>0</v>
      </c>
      <c r="EN52" s="231">
        <v>31570.12</v>
      </c>
      <c r="EO52" s="231">
        <v>42928.83</v>
      </c>
      <c r="EP52" s="231">
        <v>-11358.71</v>
      </c>
      <c r="EQ52" s="229">
        <v>-0.2646</v>
      </c>
      <c r="ER52" s="231">
        <v>17367</v>
      </c>
      <c r="ES52" s="231">
        <v>13875</v>
      </c>
      <c r="ET52" s="231">
        <v>134339</v>
      </c>
      <c r="EU52" s="231">
        <v>128770582</v>
      </c>
      <c r="EV52" s="231">
        <v>165581</v>
      </c>
      <c r="EW52" s="231">
        <v>163124</v>
      </c>
      <c r="EX52" s="231">
        <v>2457</v>
      </c>
      <c r="EY52" s="229">
        <v>1.5100000000000001E-2</v>
      </c>
      <c r="EZ52" s="229">
        <v>0.39019999999999999</v>
      </c>
      <c r="FA52" s="227" t="s">
        <v>567</v>
      </c>
      <c r="FB52" s="161">
        <f t="shared" si="0"/>
        <v>1940400</v>
      </c>
    </row>
    <row r="53" spans="1:158" ht="17.25" hidden="1" thickBot="1" x14ac:dyDescent="0.3">
      <c r="A53" s="226">
        <v>45889</v>
      </c>
      <c r="B53" s="227" t="s">
        <v>184</v>
      </c>
      <c r="C53" s="227" t="s">
        <v>203</v>
      </c>
      <c r="D53" s="228">
        <v>200</v>
      </c>
      <c r="E53" s="231">
        <v>3811.3</v>
      </c>
      <c r="F53" s="231">
        <v>3760.4</v>
      </c>
      <c r="G53" s="228">
        <v>50.9</v>
      </c>
      <c r="H53" s="229">
        <v>1.35E-2</v>
      </c>
      <c r="I53" s="231">
        <v>3818.4</v>
      </c>
      <c r="J53" s="231">
        <v>3752</v>
      </c>
      <c r="K53" s="228">
        <v>66.400000000000006</v>
      </c>
      <c r="L53" s="229">
        <v>1.77E-2</v>
      </c>
      <c r="M53" s="231">
        <v>3811.3</v>
      </c>
      <c r="N53" s="231">
        <v>3760.4</v>
      </c>
      <c r="O53" s="228">
        <v>50.9</v>
      </c>
      <c r="P53" s="229">
        <v>1.35E-2</v>
      </c>
      <c r="Q53" s="231">
        <v>3836.4</v>
      </c>
      <c r="R53" s="231">
        <v>3783</v>
      </c>
      <c r="S53" s="228">
        <v>53.4</v>
      </c>
      <c r="T53" s="229">
        <v>1.41E-2</v>
      </c>
      <c r="U53" s="231">
        <v>3854.7</v>
      </c>
      <c r="V53" s="231">
        <v>3790</v>
      </c>
      <c r="W53" s="228">
        <v>64.7</v>
      </c>
      <c r="X53" s="229">
        <v>1.7100000000000001E-2</v>
      </c>
      <c r="Y53" s="228">
        <v>-7.1</v>
      </c>
      <c r="Z53" s="228">
        <v>8.4</v>
      </c>
      <c r="AA53" s="228">
        <v>-15.5</v>
      </c>
      <c r="AB53" s="229">
        <v>-1.9E-3</v>
      </c>
      <c r="AC53" s="228">
        <v>-7.1</v>
      </c>
      <c r="AD53" s="228">
        <v>8.4</v>
      </c>
      <c r="AE53" s="228">
        <v>-15.5</v>
      </c>
      <c r="AF53" s="229">
        <v>-1.9E-3</v>
      </c>
      <c r="AG53" s="228">
        <v>18</v>
      </c>
      <c r="AH53" s="228">
        <v>31</v>
      </c>
      <c r="AI53" s="228">
        <v>-13</v>
      </c>
      <c r="AJ53" s="229">
        <v>4.7000000000000002E-3</v>
      </c>
      <c r="AK53" s="228">
        <v>36.299999999999997</v>
      </c>
      <c r="AL53" s="228">
        <v>38</v>
      </c>
      <c r="AM53" s="228">
        <v>-1.7</v>
      </c>
      <c r="AN53" s="229">
        <v>9.4999999999999998E-3</v>
      </c>
      <c r="AO53" s="231">
        <v>3795.18</v>
      </c>
      <c r="AP53" s="231">
        <v>3815.13</v>
      </c>
      <c r="AQ53" s="228">
        <v>0</v>
      </c>
      <c r="AR53" s="230">
        <v>637200</v>
      </c>
      <c r="AS53" s="230">
        <v>411800</v>
      </c>
      <c r="AT53" s="230">
        <v>225400</v>
      </c>
      <c r="AU53" s="229">
        <v>0.5474</v>
      </c>
      <c r="AV53" s="230">
        <v>561800</v>
      </c>
      <c r="AW53" s="230">
        <v>378000</v>
      </c>
      <c r="AX53" s="230">
        <v>183800</v>
      </c>
      <c r="AY53" s="229">
        <v>0.48620000000000002</v>
      </c>
      <c r="AZ53" s="230">
        <v>60600</v>
      </c>
      <c r="BA53" s="230">
        <v>32400</v>
      </c>
      <c r="BB53" s="230">
        <v>28200</v>
      </c>
      <c r="BC53" s="229">
        <v>0.87039999999999995</v>
      </c>
      <c r="BD53" s="230">
        <v>14800</v>
      </c>
      <c r="BE53" s="230">
        <v>1400</v>
      </c>
      <c r="BF53" s="230">
        <v>13400</v>
      </c>
      <c r="BG53" s="229">
        <v>9.5714000000000006</v>
      </c>
      <c r="BH53" s="230">
        <v>2160400</v>
      </c>
      <c r="BI53" s="230">
        <v>879600</v>
      </c>
      <c r="BJ53" s="230">
        <v>1280800</v>
      </c>
      <c r="BK53" s="229">
        <v>1.4560999999999999</v>
      </c>
      <c r="BL53" s="230">
        <v>734200</v>
      </c>
      <c r="BM53" s="230">
        <v>591800</v>
      </c>
      <c r="BN53" s="230">
        <v>142400</v>
      </c>
      <c r="BO53" s="229">
        <v>0.24060000000000001</v>
      </c>
      <c r="BP53" s="230">
        <v>3531800</v>
      </c>
      <c r="BQ53" s="230">
        <v>1883200</v>
      </c>
      <c r="BR53" s="230">
        <v>1648600</v>
      </c>
      <c r="BS53" s="229">
        <v>0.87539999999999996</v>
      </c>
      <c r="BT53" s="230">
        <v>564389</v>
      </c>
      <c r="BU53" s="230">
        <v>440160</v>
      </c>
      <c r="BV53" s="230">
        <v>124229</v>
      </c>
      <c r="BW53" s="229">
        <v>0.28220000000000001</v>
      </c>
      <c r="BX53" s="230">
        <v>3510600</v>
      </c>
      <c r="BY53" s="230">
        <v>3471800</v>
      </c>
      <c r="BZ53" s="230">
        <v>38800</v>
      </c>
      <c r="CA53" s="229">
        <v>1.12E-2</v>
      </c>
      <c r="CB53" s="230">
        <v>3364000</v>
      </c>
      <c r="CC53" s="230">
        <v>3340400</v>
      </c>
      <c r="CD53" s="230">
        <v>23600</v>
      </c>
      <c r="CE53" s="229">
        <v>7.1000000000000004E-3</v>
      </c>
      <c r="CF53" s="230">
        <v>138000</v>
      </c>
      <c r="CG53" s="230">
        <v>122400</v>
      </c>
      <c r="CH53" s="230">
        <v>15600</v>
      </c>
      <c r="CI53" s="229">
        <v>0.1275</v>
      </c>
      <c r="CJ53" s="230">
        <v>8600</v>
      </c>
      <c r="CK53" s="230">
        <v>9000</v>
      </c>
      <c r="CL53" s="228">
        <v>-400</v>
      </c>
      <c r="CM53" s="229">
        <v>-4.4400000000000002E-2</v>
      </c>
      <c r="CN53" s="230">
        <v>1029200</v>
      </c>
      <c r="CO53" s="230">
        <v>974800</v>
      </c>
      <c r="CP53" s="230">
        <v>54400</v>
      </c>
      <c r="CQ53" s="229">
        <v>5.5800000000000002E-2</v>
      </c>
      <c r="CR53" s="230">
        <v>856000</v>
      </c>
      <c r="CS53" s="230">
        <v>851600</v>
      </c>
      <c r="CT53" s="230">
        <v>4400</v>
      </c>
      <c r="CU53" s="229">
        <v>5.1999999999999998E-3</v>
      </c>
      <c r="CV53" s="230">
        <v>5395800</v>
      </c>
      <c r="CW53" s="230">
        <v>5298200</v>
      </c>
      <c r="CX53" s="230">
        <v>97600</v>
      </c>
      <c r="CY53" s="229">
        <v>1.84E-2</v>
      </c>
      <c r="CZ53" s="228">
        <v>27.48</v>
      </c>
      <c r="DA53" s="228">
        <v>26.51</v>
      </c>
      <c r="DB53" s="228">
        <v>0.97</v>
      </c>
      <c r="DC53" s="228">
        <v>0.97</v>
      </c>
      <c r="DD53" s="228">
        <v>37.56</v>
      </c>
      <c r="DE53" s="228">
        <v>37.58</v>
      </c>
      <c r="DF53" s="228">
        <v>-10.08</v>
      </c>
      <c r="DG53" s="228">
        <v>-0.02</v>
      </c>
      <c r="DH53" s="228">
        <v>27.63</v>
      </c>
      <c r="DI53" s="228">
        <v>26.73</v>
      </c>
      <c r="DJ53" s="228">
        <v>0.9</v>
      </c>
      <c r="DK53" s="228">
        <v>0.9</v>
      </c>
      <c r="DL53" s="228">
        <v>27.02</v>
      </c>
      <c r="DM53" s="228">
        <v>26.17</v>
      </c>
      <c r="DN53" s="228">
        <v>0.85</v>
      </c>
      <c r="DO53" s="228">
        <v>0.85</v>
      </c>
      <c r="DP53" s="228">
        <v>0.83</v>
      </c>
      <c r="DQ53" s="228">
        <v>0.87</v>
      </c>
      <c r="DR53" s="228">
        <v>-0.04</v>
      </c>
      <c r="DS53" s="229">
        <v>-4.5999999999999999E-2</v>
      </c>
      <c r="DT53" s="231">
        <v>4000</v>
      </c>
      <c r="DU53" s="231">
        <v>3800</v>
      </c>
      <c r="DV53" s="228">
        <v>0.34</v>
      </c>
      <c r="DW53" s="228">
        <v>0.67</v>
      </c>
      <c r="DX53" s="228">
        <v>-0.33</v>
      </c>
      <c r="DY53" s="229">
        <v>-0.49249999999999999</v>
      </c>
      <c r="DZ53" s="229">
        <v>4.1799999999999997E-2</v>
      </c>
      <c r="EA53" s="230">
        <v>131400</v>
      </c>
      <c r="EB53" s="229">
        <v>6.6E-3</v>
      </c>
      <c r="EC53" s="229">
        <v>4.1799999999999997E-2</v>
      </c>
      <c r="ED53" s="228">
        <v>19.95</v>
      </c>
      <c r="EE53" s="229">
        <v>5.3E-3</v>
      </c>
      <c r="EF53" s="230">
        <v>387561</v>
      </c>
      <c r="EG53" s="230">
        <v>299603</v>
      </c>
      <c r="EH53" s="229">
        <v>0.29360000000000003</v>
      </c>
      <c r="EI53" s="229">
        <v>0.68669999999999998</v>
      </c>
      <c r="EJ53" s="231">
        <v>84570.73</v>
      </c>
      <c r="EK53" s="231">
        <v>27336.41</v>
      </c>
      <c r="EL53" s="231">
        <v>24201.64</v>
      </c>
      <c r="EM53" s="228">
        <v>0</v>
      </c>
      <c r="EN53" s="231">
        <v>136108.78</v>
      </c>
      <c r="EO53" s="231">
        <v>71955.960000000006</v>
      </c>
      <c r="EP53" s="231">
        <v>64152.82</v>
      </c>
      <c r="EQ53" s="229">
        <v>0.89159999999999995</v>
      </c>
      <c r="ER53" s="231">
        <v>39795</v>
      </c>
      <c r="ES53" s="231">
        <v>30700</v>
      </c>
      <c r="ET53" s="231">
        <v>133838</v>
      </c>
      <c r="EU53" s="231">
        <v>27165600</v>
      </c>
      <c r="EV53" s="231">
        <v>204333</v>
      </c>
      <c r="EW53" s="231">
        <v>198675</v>
      </c>
      <c r="EX53" s="231">
        <v>5658</v>
      </c>
      <c r="EY53" s="229">
        <v>2.8500000000000001E-2</v>
      </c>
      <c r="EZ53" s="229">
        <v>0.1986</v>
      </c>
      <c r="FA53" s="227" t="s">
        <v>555</v>
      </c>
      <c r="FB53" s="161">
        <f t="shared" si="0"/>
        <v>146600</v>
      </c>
    </row>
    <row r="54" spans="1:158" ht="17.25" hidden="1" thickBot="1" x14ac:dyDescent="0.3">
      <c r="A54" s="226">
        <v>45889</v>
      </c>
      <c r="B54" s="227" t="s">
        <v>221</v>
      </c>
      <c r="C54" s="227" t="s">
        <v>573</v>
      </c>
      <c r="D54" s="228">
        <v>425</v>
      </c>
      <c r="E54" s="231">
        <v>1234.3</v>
      </c>
      <c r="F54" s="231">
        <v>1210</v>
      </c>
      <c r="G54" s="228">
        <v>24.3</v>
      </c>
      <c r="H54" s="229">
        <v>2.01E-2</v>
      </c>
      <c r="I54" s="231">
        <v>1230.5999999999999</v>
      </c>
      <c r="J54" s="231">
        <v>1209.2</v>
      </c>
      <c r="K54" s="228">
        <v>21.4</v>
      </c>
      <c r="L54" s="229">
        <v>1.77E-2</v>
      </c>
      <c r="M54" s="231">
        <v>1234.3</v>
      </c>
      <c r="N54" s="231">
        <v>1210</v>
      </c>
      <c r="O54" s="228">
        <v>24.3</v>
      </c>
      <c r="P54" s="229">
        <v>2.01E-2</v>
      </c>
      <c r="Q54" s="231">
        <v>1241.2</v>
      </c>
      <c r="R54" s="231">
        <v>1217</v>
      </c>
      <c r="S54" s="228">
        <v>24.2</v>
      </c>
      <c r="T54" s="229">
        <v>1.9900000000000001E-2</v>
      </c>
      <c r="U54" s="231">
        <v>1245</v>
      </c>
      <c r="V54" s="231">
        <v>1220.2</v>
      </c>
      <c r="W54" s="228">
        <v>24.8</v>
      </c>
      <c r="X54" s="229">
        <v>2.0299999999999999E-2</v>
      </c>
      <c r="Y54" s="228">
        <v>3.7</v>
      </c>
      <c r="Z54" s="228">
        <v>0.8</v>
      </c>
      <c r="AA54" s="228">
        <v>2.9</v>
      </c>
      <c r="AB54" s="229">
        <v>3.0000000000000001E-3</v>
      </c>
      <c r="AC54" s="228">
        <v>3.7</v>
      </c>
      <c r="AD54" s="228">
        <v>0.8</v>
      </c>
      <c r="AE54" s="228">
        <v>2.9</v>
      </c>
      <c r="AF54" s="229">
        <v>3.0000000000000001E-3</v>
      </c>
      <c r="AG54" s="228">
        <v>10.6</v>
      </c>
      <c r="AH54" s="228">
        <v>7.8</v>
      </c>
      <c r="AI54" s="228">
        <v>2.8</v>
      </c>
      <c r="AJ54" s="229">
        <v>8.6E-3</v>
      </c>
      <c r="AK54" s="228">
        <v>14.4</v>
      </c>
      <c r="AL54" s="228">
        <v>11</v>
      </c>
      <c r="AM54" s="228">
        <v>3.4</v>
      </c>
      <c r="AN54" s="229">
        <v>1.17E-2</v>
      </c>
      <c r="AO54" s="231">
        <v>1224.81</v>
      </c>
      <c r="AP54" s="231">
        <v>1233.22</v>
      </c>
      <c r="AQ54" s="228">
        <v>0</v>
      </c>
      <c r="AR54" s="230">
        <v>714850</v>
      </c>
      <c r="AS54" s="230">
        <v>377400</v>
      </c>
      <c r="AT54" s="230">
        <v>337450</v>
      </c>
      <c r="AU54" s="229">
        <v>0.89410000000000001</v>
      </c>
      <c r="AV54" s="230">
        <v>535075</v>
      </c>
      <c r="AW54" s="230">
        <v>317050</v>
      </c>
      <c r="AX54" s="230">
        <v>218025</v>
      </c>
      <c r="AY54" s="229">
        <v>0.68769999999999998</v>
      </c>
      <c r="AZ54" s="230">
        <v>169575</v>
      </c>
      <c r="BA54" s="230">
        <v>53125</v>
      </c>
      <c r="BB54" s="230">
        <v>116450</v>
      </c>
      <c r="BC54" s="229">
        <v>2.1920000000000002</v>
      </c>
      <c r="BD54" s="230">
        <v>10200</v>
      </c>
      <c r="BE54" s="230">
        <v>7225</v>
      </c>
      <c r="BF54" s="230">
        <v>2975</v>
      </c>
      <c r="BG54" s="229">
        <v>0.4118</v>
      </c>
      <c r="BH54" s="230">
        <v>4851800</v>
      </c>
      <c r="BI54" s="230">
        <v>1358300</v>
      </c>
      <c r="BJ54" s="230">
        <v>3493500</v>
      </c>
      <c r="BK54" s="229">
        <v>2.5720000000000001</v>
      </c>
      <c r="BL54" s="230">
        <v>822800</v>
      </c>
      <c r="BM54" s="230">
        <v>289000</v>
      </c>
      <c r="BN54" s="230">
        <v>533800</v>
      </c>
      <c r="BO54" s="229">
        <v>1.8471</v>
      </c>
      <c r="BP54" s="230">
        <v>6389450</v>
      </c>
      <c r="BQ54" s="230">
        <v>2024700</v>
      </c>
      <c r="BR54" s="230">
        <v>4364750</v>
      </c>
      <c r="BS54" s="229">
        <v>2.1558000000000002</v>
      </c>
      <c r="BT54" s="230">
        <v>409969</v>
      </c>
      <c r="BU54" s="230">
        <v>290404</v>
      </c>
      <c r="BV54" s="230">
        <v>119565</v>
      </c>
      <c r="BW54" s="229">
        <v>0.41170000000000001</v>
      </c>
      <c r="BX54" s="230">
        <v>2762075</v>
      </c>
      <c r="BY54" s="230">
        <v>2783750</v>
      </c>
      <c r="BZ54" s="230">
        <v>-21675</v>
      </c>
      <c r="CA54" s="229">
        <v>-7.7999999999999996E-3</v>
      </c>
      <c r="CB54" s="230">
        <v>2562325</v>
      </c>
      <c r="CC54" s="230">
        <v>2646900</v>
      </c>
      <c r="CD54" s="230">
        <v>-84575</v>
      </c>
      <c r="CE54" s="229">
        <v>-3.2000000000000001E-2</v>
      </c>
      <c r="CF54" s="230">
        <v>184450</v>
      </c>
      <c r="CG54" s="230">
        <v>123250</v>
      </c>
      <c r="CH54" s="230">
        <v>61200</v>
      </c>
      <c r="CI54" s="229">
        <v>0.49659999999999999</v>
      </c>
      <c r="CJ54" s="230">
        <v>15300</v>
      </c>
      <c r="CK54" s="230">
        <v>13600</v>
      </c>
      <c r="CL54" s="230">
        <v>1700</v>
      </c>
      <c r="CM54" s="229">
        <v>0.125</v>
      </c>
      <c r="CN54" s="230">
        <v>1422475</v>
      </c>
      <c r="CO54" s="230">
        <v>1008525</v>
      </c>
      <c r="CP54" s="230">
        <v>413950</v>
      </c>
      <c r="CQ54" s="229">
        <v>0.41049999999999998</v>
      </c>
      <c r="CR54" s="230">
        <v>621775</v>
      </c>
      <c r="CS54" s="230">
        <v>548675</v>
      </c>
      <c r="CT54" s="230">
        <v>73100</v>
      </c>
      <c r="CU54" s="229">
        <v>0.13320000000000001</v>
      </c>
      <c r="CV54" s="230">
        <v>4806325</v>
      </c>
      <c r="CW54" s="230">
        <v>4340950</v>
      </c>
      <c r="CX54" s="230">
        <v>465375</v>
      </c>
      <c r="CY54" s="229">
        <v>0.1072</v>
      </c>
      <c r="CZ54" s="228">
        <v>30.73</v>
      </c>
      <c r="DA54" s="228">
        <v>25.84</v>
      </c>
      <c r="DB54" s="228">
        <v>4.8899999999999997</v>
      </c>
      <c r="DC54" s="228">
        <v>4.8899999999999997</v>
      </c>
      <c r="DD54" s="228">
        <v>46.31</v>
      </c>
      <c r="DE54" s="228">
        <v>46.35</v>
      </c>
      <c r="DF54" s="228">
        <v>-15.58</v>
      </c>
      <c r="DG54" s="228">
        <v>-0.04</v>
      </c>
      <c r="DH54" s="228">
        <v>31.13</v>
      </c>
      <c r="DI54" s="228">
        <v>25.46</v>
      </c>
      <c r="DJ54" s="228">
        <v>5.67</v>
      </c>
      <c r="DK54" s="228">
        <v>5.67</v>
      </c>
      <c r="DL54" s="228">
        <v>28.35</v>
      </c>
      <c r="DM54" s="228">
        <v>27.61</v>
      </c>
      <c r="DN54" s="228">
        <v>0.74</v>
      </c>
      <c r="DO54" s="228">
        <v>0.74</v>
      </c>
      <c r="DP54" s="228">
        <v>0.44</v>
      </c>
      <c r="DQ54" s="228">
        <v>0.54</v>
      </c>
      <c r="DR54" s="228">
        <v>-0.1</v>
      </c>
      <c r="DS54" s="229">
        <v>-0.1852</v>
      </c>
      <c r="DT54" s="231">
        <v>1320</v>
      </c>
      <c r="DU54" s="231">
        <v>1200</v>
      </c>
      <c r="DV54" s="228">
        <v>0.17</v>
      </c>
      <c r="DW54" s="228">
        <v>0.21</v>
      </c>
      <c r="DX54" s="228">
        <v>-0.04</v>
      </c>
      <c r="DY54" s="229">
        <v>-0.1905</v>
      </c>
      <c r="DZ54" s="229">
        <v>7.2300000000000003E-2</v>
      </c>
      <c r="EA54" s="230">
        <v>136850</v>
      </c>
      <c r="EB54" s="229">
        <v>5.5999999999999999E-3</v>
      </c>
      <c r="EC54" s="229">
        <v>7.2300000000000003E-2</v>
      </c>
      <c r="ED54" s="228">
        <v>8.41</v>
      </c>
      <c r="EE54" s="229">
        <v>6.8999999999999999E-3</v>
      </c>
      <c r="EF54" s="230">
        <v>165505</v>
      </c>
      <c r="EG54" s="230">
        <v>149813</v>
      </c>
      <c r="EH54" s="229">
        <v>0.1047</v>
      </c>
      <c r="EI54" s="229">
        <v>0.4037</v>
      </c>
      <c r="EJ54" s="231">
        <v>62086.92</v>
      </c>
      <c r="EK54" s="231">
        <v>9853.9</v>
      </c>
      <c r="EL54" s="231">
        <v>8770.68</v>
      </c>
      <c r="EM54" s="228">
        <v>0</v>
      </c>
      <c r="EN54" s="231">
        <v>80711.5</v>
      </c>
      <c r="EO54" s="231">
        <v>24645.64</v>
      </c>
      <c r="EP54" s="231">
        <v>56065.86</v>
      </c>
      <c r="EQ54" s="229">
        <v>2.2749000000000001</v>
      </c>
      <c r="ER54" s="231">
        <v>18308</v>
      </c>
      <c r="ES54" s="231">
        <v>7370</v>
      </c>
      <c r="ET54" s="231">
        <v>34107</v>
      </c>
      <c r="EU54" s="231">
        <v>16888762</v>
      </c>
      <c r="EV54" s="231">
        <v>59784</v>
      </c>
      <c r="EW54" s="231">
        <v>52917</v>
      </c>
      <c r="EX54" s="231">
        <v>6867</v>
      </c>
      <c r="EY54" s="229">
        <v>0.1298</v>
      </c>
      <c r="EZ54" s="229">
        <v>0.28460000000000002</v>
      </c>
      <c r="FA54" s="227" t="s">
        <v>556</v>
      </c>
      <c r="FB54" s="161">
        <f t="shared" si="0"/>
        <v>199750</v>
      </c>
    </row>
    <row r="55" spans="1:158" ht="17.25" hidden="1" thickBot="1" x14ac:dyDescent="0.3">
      <c r="A55" s="226">
        <v>45889</v>
      </c>
      <c r="B55" s="227" t="s">
        <v>168</v>
      </c>
      <c r="C55" s="227" t="s">
        <v>204</v>
      </c>
      <c r="D55" s="228">
        <v>1250</v>
      </c>
      <c r="E55" s="228">
        <v>536.85</v>
      </c>
      <c r="F55" s="228">
        <v>523.6</v>
      </c>
      <c r="G55" s="228">
        <v>13.25</v>
      </c>
      <c r="H55" s="229">
        <v>2.53E-2</v>
      </c>
      <c r="I55" s="228">
        <v>535</v>
      </c>
      <c r="J55" s="228">
        <v>522.04999999999995</v>
      </c>
      <c r="K55" s="228">
        <v>12.95</v>
      </c>
      <c r="L55" s="229">
        <v>2.4799999999999999E-2</v>
      </c>
      <c r="M55" s="228">
        <v>536.85</v>
      </c>
      <c r="N55" s="228">
        <v>523.6</v>
      </c>
      <c r="O55" s="228">
        <v>13.25</v>
      </c>
      <c r="P55" s="229">
        <v>2.53E-2</v>
      </c>
      <c r="Q55" s="228">
        <v>539.1</v>
      </c>
      <c r="R55" s="228">
        <v>525.95000000000005</v>
      </c>
      <c r="S55" s="228">
        <v>13.15</v>
      </c>
      <c r="T55" s="229">
        <v>2.5000000000000001E-2</v>
      </c>
      <c r="U55" s="228">
        <v>541.4</v>
      </c>
      <c r="V55" s="228">
        <v>527.9</v>
      </c>
      <c r="W55" s="228">
        <v>13.5</v>
      </c>
      <c r="X55" s="229">
        <v>2.5600000000000001E-2</v>
      </c>
      <c r="Y55" s="228">
        <v>1.85</v>
      </c>
      <c r="Z55" s="228">
        <v>1.55</v>
      </c>
      <c r="AA55" s="228">
        <v>0.3</v>
      </c>
      <c r="AB55" s="229">
        <v>3.5000000000000001E-3</v>
      </c>
      <c r="AC55" s="228">
        <v>1.85</v>
      </c>
      <c r="AD55" s="228">
        <v>1.55</v>
      </c>
      <c r="AE55" s="228">
        <v>0.3</v>
      </c>
      <c r="AF55" s="229">
        <v>3.5000000000000001E-3</v>
      </c>
      <c r="AG55" s="228">
        <v>4.0999999999999996</v>
      </c>
      <c r="AH55" s="228">
        <v>3.9</v>
      </c>
      <c r="AI55" s="228">
        <v>0.2</v>
      </c>
      <c r="AJ55" s="229">
        <v>7.7000000000000002E-3</v>
      </c>
      <c r="AK55" s="228">
        <v>6.4</v>
      </c>
      <c r="AL55" s="228">
        <v>5.85</v>
      </c>
      <c r="AM55" s="228">
        <v>0.55000000000000004</v>
      </c>
      <c r="AN55" s="229">
        <v>1.2E-2</v>
      </c>
      <c r="AO55" s="228">
        <v>531.4</v>
      </c>
      <c r="AP55" s="228">
        <v>533.20000000000005</v>
      </c>
      <c r="AQ55" s="228">
        <v>0</v>
      </c>
      <c r="AR55" s="230">
        <v>12710000</v>
      </c>
      <c r="AS55" s="230">
        <v>2975000</v>
      </c>
      <c r="AT55" s="230">
        <v>9735000</v>
      </c>
      <c r="AU55" s="229">
        <v>3.2723</v>
      </c>
      <c r="AV55" s="230">
        <v>11002500</v>
      </c>
      <c r="AW55" s="230">
        <v>2492500</v>
      </c>
      <c r="AX55" s="230">
        <v>8510000</v>
      </c>
      <c r="AY55" s="229">
        <v>3.4142000000000001</v>
      </c>
      <c r="AZ55" s="230">
        <v>1638750</v>
      </c>
      <c r="BA55" s="230">
        <v>453750</v>
      </c>
      <c r="BB55" s="230">
        <v>1185000</v>
      </c>
      <c r="BC55" s="229">
        <v>2.6116000000000001</v>
      </c>
      <c r="BD55" s="230">
        <v>68750</v>
      </c>
      <c r="BE55" s="230">
        <v>28750</v>
      </c>
      <c r="BF55" s="230">
        <v>40000</v>
      </c>
      <c r="BG55" s="229">
        <v>1.3913</v>
      </c>
      <c r="BH55" s="230">
        <v>46090000</v>
      </c>
      <c r="BI55" s="230">
        <v>9532500</v>
      </c>
      <c r="BJ55" s="230">
        <v>36557500</v>
      </c>
      <c r="BK55" s="229">
        <v>3.835</v>
      </c>
      <c r="BL55" s="230">
        <v>13111250</v>
      </c>
      <c r="BM55" s="230">
        <v>4161250</v>
      </c>
      <c r="BN55" s="230">
        <v>8950000</v>
      </c>
      <c r="BO55" s="229">
        <v>2.1507999999999998</v>
      </c>
      <c r="BP55" s="230">
        <v>71911250</v>
      </c>
      <c r="BQ55" s="230">
        <v>16668750</v>
      </c>
      <c r="BR55" s="230">
        <v>55242500</v>
      </c>
      <c r="BS55" s="229">
        <v>3.3140999999999998</v>
      </c>
      <c r="BT55" s="230">
        <v>12440027</v>
      </c>
      <c r="BU55" s="230">
        <v>660153</v>
      </c>
      <c r="BV55" s="230">
        <v>11779874</v>
      </c>
      <c r="BW55" s="229">
        <v>17.844200000000001</v>
      </c>
      <c r="BX55" s="230">
        <v>19607500</v>
      </c>
      <c r="BY55" s="230">
        <v>16121250</v>
      </c>
      <c r="BZ55" s="230">
        <v>3486250</v>
      </c>
      <c r="CA55" s="229">
        <v>0.21629999999999999</v>
      </c>
      <c r="CB55" s="230">
        <v>17921250</v>
      </c>
      <c r="CC55" s="230">
        <v>15067500</v>
      </c>
      <c r="CD55" s="230">
        <v>2853750</v>
      </c>
      <c r="CE55" s="229">
        <v>0.18940000000000001</v>
      </c>
      <c r="CF55" s="230">
        <v>1625000</v>
      </c>
      <c r="CG55" s="230">
        <v>1010000</v>
      </c>
      <c r="CH55" s="230">
        <v>615000</v>
      </c>
      <c r="CI55" s="229">
        <v>0.6089</v>
      </c>
      <c r="CJ55" s="230">
        <v>61250</v>
      </c>
      <c r="CK55" s="230">
        <v>43750</v>
      </c>
      <c r="CL55" s="230">
        <v>17500</v>
      </c>
      <c r="CM55" s="229">
        <v>0.4</v>
      </c>
      <c r="CN55" s="230">
        <v>11157500</v>
      </c>
      <c r="CO55" s="230">
        <v>11270000</v>
      </c>
      <c r="CP55" s="230">
        <v>-112500</v>
      </c>
      <c r="CQ55" s="229">
        <v>-0.01</v>
      </c>
      <c r="CR55" s="230">
        <v>5881250</v>
      </c>
      <c r="CS55" s="230">
        <v>5362500</v>
      </c>
      <c r="CT55" s="230">
        <v>518750</v>
      </c>
      <c r="CU55" s="229">
        <v>9.6699999999999994E-2</v>
      </c>
      <c r="CV55" s="230">
        <v>36646250</v>
      </c>
      <c r="CW55" s="230">
        <v>32753750</v>
      </c>
      <c r="CX55" s="230">
        <v>3892500</v>
      </c>
      <c r="CY55" s="229">
        <v>0.1188</v>
      </c>
      <c r="CZ55" s="228">
        <v>23.3</v>
      </c>
      <c r="DA55" s="228">
        <v>20.09</v>
      </c>
      <c r="DB55" s="228">
        <v>3.21</v>
      </c>
      <c r="DC55" s="228">
        <v>3.21</v>
      </c>
      <c r="DD55" s="228">
        <v>25.47</v>
      </c>
      <c r="DE55" s="228">
        <v>25.31</v>
      </c>
      <c r="DF55" s="228">
        <v>-2.17</v>
      </c>
      <c r="DG55" s="228">
        <v>0.16</v>
      </c>
      <c r="DH55" s="228">
        <v>23.27</v>
      </c>
      <c r="DI55" s="228">
        <v>19.8</v>
      </c>
      <c r="DJ55" s="228">
        <v>3.47</v>
      </c>
      <c r="DK55" s="228">
        <v>3.47</v>
      </c>
      <c r="DL55" s="228">
        <v>23.4</v>
      </c>
      <c r="DM55" s="228">
        <v>20.75</v>
      </c>
      <c r="DN55" s="228">
        <v>2.65</v>
      </c>
      <c r="DO55" s="228">
        <v>2.65</v>
      </c>
      <c r="DP55" s="228">
        <v>0.53</v>
      </c>
      <c r="DQ55" s="228">
        <v>0.48</v>
      </c>
      <c r="DR55" s="228">
        <v>0.05</v>
      </c>
      <c r="DS55" s="229">
        <v>0.1042</v>
      </c>
      <c r="DT55" s="228">
        <v>540</v>
      </c>
      <c r="DU55" s="228">
        <v>500</v>
      </c>
      <c r="DV55" s="228">
        <v>0.28000000000000003</v>
      </c>
      <c r="DW55" s="228">
        <v>0.44</v>
      </c>
      <c r="DX55" s="228">
        <v>-0.16</v>
      </c>
      <c r="DY55" s="229">
        <v>-0.36359999999999998</v>
      </c>
      <c r="DZ55" s="229">
        <v>8.5999999999999993E-2</v>
      </c>
      <c r="EA55" s="230">
        <v>1053750</v>
      </c>
      <c r="EB55" s="229">
        <v>4.1999999999999997E-3</v>
      </c>
      <c r="EC55" s="229">
        <v>8.5999999999999993E-2</v>
      </c>
      <c r="ED55" s="228">
        <v>1.8</v>
      </c>
      <c r="EE55" s="229">
        <v>3.3999999999999998E-3</v>
      </c>
      <c r="EF55" s="230">
        <v>8980541</v>
      </c>
      <c r="EG55" s="230">
        <v>281340</v>
      </c>
      <c r="EH55" s="229">
        <v>30.9206</v>
      </c>
      <c r="EI55" s="229">
        <v>0.72189999999999999</v>
      </c>
      <c r="EJ55" s="231">
        <v>250991.73</v>
      </c>
      <c r="EK55" s="231">
        <v>68860.73</v>
      </c>
      <c r="EL55" s="231">
        <v>67571.95</v>
      </c>
      <c r="EM55" s="228">
        <v>0</v>
      </c>
      <c r="EN55" s="231">
        <v>387424.41</v>
      </c>
      <c r="EO55" s="231">
        <v>87937.55</v>
      </c>
      <c r="EP55" s="231">
        <v>299486.86</v>
      </c>
      <c r="EQ55" s="229">
        <v>3.4056999999999999</v>
      </c>
      <c r="ER55" s="231">
        <v>61077</v>
      </c>
      <c r="ES55" s="231">
        <v>30021</v>
      </c>
      <c r="ET55" s="231">
        <v>105302</v>
      </c>
      <c r="EU55" s="231">
        <v>119831037</v>
      </c>
      <c r="EV55" s="231">
        <v>196401</v>
      </c>
      <c r="EW55" s="231">
        <v>172846</v>
      </c>
      <c r="EX55" s="231">
        <v>23555</v>
      </c>
      <c r="EY55" s="229">
        <v>0.1363</v>
      </c>
      <c r="EZ55" s="229">
        <v>0.30580000000000002</v>
      </c>
      <c r="FA55" s="227" t="s">
        <v>555</v>
      </c>
      <c r="FB55" s="161">
        <f t="shared" si="0"/>
        <v>1686250</v>
      </c>
    </row>
    <row r="56" spans="1:158" ht="17.25" hidden="1" thickBot="1" x14ac:dyDescent="0.3">
      <c r="A56" s="226">
        <v>45889</v>
      </c>
      <c r="B56" s="227" t="s">
        <v>157</v>
      </c>
      <c r="C56" s="227" t="s">
        <v>524</v>
      </c>
      <c r="D56" s="228">
        <v>325</v>
      </c>
      <c r="E56" s="231">
        <v>2349.9</v>
      </c>
      <c r="F56" s="231">
        <v>2347.5</v>
      </c>
      <c r="G56" s="228">
        <v>2.4</v>
      </c>
      <c r="H56" s="229">
        <v>1E-3</v>
      </c>
      <c r="I56" s="231">
        <v>2344.4</v>
      </c>
      <c r="J56" s="231">
        <v>2346.5</v>
      </c>
      <c r="K56" s="228">
        <v>-2.1</v>
      </c>
      <c r="L56" s="229">
        <v>-8.9999999999999998E-4</v>
      </c>
      <c r="M56" s="231">
        <v>2349.9</v>
      </c>
      <c r="N56" s="231">
        <v>2347.5</v>
      </c>
      <c r="O56" s="228">
        <v>2.4</v>
      </c>
      <c r="P56" s="229">
        <v>1E-3</v>
      </c>
      <c r="Q56" s="231">
        <v>2363.3000000000002</v>
      </c>
      <c r="R56" s="231">
        <v>2356.6999999999998</v>
      </c>
      <c r="S56" s="228">
        <v>6.6</v>
      </c>
      <c r="T56" s="229">
        <v>2.8E-3</v>
      </c>
      <c r="U56" s="231">
        <v>2367.6</v>
      </c>
      <c r="V56" s="231">
        <v>2357.3000000000002</v>
      </c>
      <c r="W56" s="228">
        <v>10.3</v>
      </c>
      <c r="X56" s="229">
        <v>4.4000000000000003E-3</v>
      </c>
      <c r="Y56" s="228">
        <v>5.5</v>
      </c>
      <c r="Z56" s="228">
        <v>1</v>
      </c>
      <c r="AA56" s="228">
        <v>4.5</v>
      </c>
      <c r="AB56" s="229">
        <v>2.3E-3</v>
      </c>
      <c r="AC56" s="228">
        <v>5.5</v>
      </c>
      <c r="AD56" s="228">
        <v>1</v>
      </c>
      <c r="AE56" s="228">
        <v>4.5</v>
      </c>
      <c r="AF56" s="229">
        <v>2.3E-3</v>
      </c>
      <c r="AG56" s="228">
        <v>18.899999999999999</v>
      </c>
      <c r="AH56" s="228">
        <v>10.199999999999999</v>
      </c>
      <c r="AI56" s="228">
        <v>8.6999999999999993</v>
      </c>
      <c r="AJ56" s="229">
        <v>8.0999999999999996E-3</v>
      </c>
      <c r="AK56" s="228">
        <v>23.2</v>
      </c>
      <c r="AL56" s="228">
        <v>10.8</v>
      </c>
      <c r="AM56" s="228">
        <v>12.4</v>
      </c>
      <c r="AN56" s="229">
        <v>9.9000000000000008E-3</v>
      </c>
      <c r="AO56" s="231">
        <v>2348.31</v>
      </c>
      <c r="AP56" s="231">
        <v>2363.11</v>
      </c>
      <c r="AQ56" s="228">
        <v>0</v>
      </c>
      <c r="AR56" s="230">
        <v>197600</v>
      </c>
      <c r="AS56" s="230">
        <v>343200</v>
      </c>
      <c r="AT56" s="230">
        <v>-145600</v>
      </c>
      <c r="AU56" s="229">
        <v>-0.42420000000000002</v>
      </c>
      <c r="AV56" s="230">
        <v>160550</v>
      </c>
      <c r="AW56" s="230">
        <v>307125</v>
      </c>
      <c r="AX56" s="230">
        <v>-146575</v>
      </c>
      <c r="AY56" s="229">
        <v>-0.47720000000000001</v>
      </c>
      <c r="AZ56" s="230">
        <v>35425</v>
      </c>
      <c r="BA56" s="230">
        <v>35425</v>
      </c>
      <c r="BB56" s="228">
        <v>0</v>
      </c>
      <c r="BC56" s="229">
        <v>0</v>
      </c>
      <c r="BD56" s="230">
        <v>1625</v>
      </c>
      <c r="BE56" s="228">
        <v>650</v>
      </c>
      <c r="BF56" s="228">
        <v>975</v>
      </c>
      <c r="BG56" s="229">
        <v>1.5</v>
      </c>
      <c r="BH56" s="230">
        <v>253175</v>
      </c>
      <c r="BI56" s="230">
        <v>516425</v>
      </c>
      <c r="BJ56" s="230">
        <v>-263250</v>
      </c>
      <c r="BK56" s="229">
        <v>-0.50980000000000003</v>
      </c>
      <c r="BL56" s="230">
        <v>123175</v>
      </c>
      <c r="BM56" s="230">
        <v>180700</v>
      </c>
      <c r="BN56" s="230">
        <v>-57525</v>
      </c>
      <c r="BO56" s="229">
        <v>-0.31830000000000003</v>
      </c>
      <c r="BP56" s="230">
        <v>573950</v>
      </c>
      <c r="BQ56" s="230">
        <v>1040325</v>
      </c>
      <c r="BR56" s="230">
        <v>-466375</v>
      </c>
      <c r="BS56" s="229">
        <v>-0.44829999999999998</v>
      </c>
      <c r="BT56" s="230">
        <v>70216</v>
      </c>
      <c r="BU56" s="230">
        <v>217915</v>
      </c>
      <c r="BV56" s="230">
        <v>-147699</v>
      </c>
      <c r="BW56" s="229">
        <v>-0.67779999999999996</v>
      </c>
      <c r="BX56" s="230">
        <v>2980900</v>
      </c>
      <c r="BY56" s="230">
        <v>2980900</v>
      </c>
      <c r="BZ56" s="228">
        <v>0</v>
      </c>
      <c r="CA56" s="229">
        <v>0</v>
      </c>
      <c r="CB56" s="230">
        <v>2912975</v>
      </c>
      <c r="CC56" s="230">
        <v>2930525</v>
      </c>
      <c r="CD56" s="230">
        <v>-17550</v>
      </c>
      <c r="CE56" s="229">
        <v>-6.0000000000000001E-3</v>
      </c>
      <c r="CF56" s="230">
        <v>61750</v>
      </c>
      <c r="CG56" s="230">
        <v>44525</v>
      </c>
      <c r="CH56" s="230">
        <v>17225</v>
      </c>
      <c r="CI56" s="229">
        <v>0.38690000000000002</v>
      </c>
      <c r="CJ56" s="230">
        <v>6175</v>
      </c>
      <c r="CK56" s="230">
        <v>5850</v>
      </c>
      <c r="CL56" s="228">
        <v>325</v>
      </c>
      <c r="CM56" s="229">
        <v>5.5599999999999997E-2</v>
      </c>
      <c r="CN56" s="230">
        <v>461825</v>
      </c>
      <c r="CO56" s="230">
        <v>468000</v>
      </c>
      <c r="CP56" s="230">
        <v>-6175</v>
      </c>
      <c r="CQ56" s="229">
        <v>-1.32E-2</v>
      </c>
      <c r="CR56" s="230">
        <v>291200</v>
      </c>
      <c r="CS56" s="230">
        <v>302575</v>
      </c>
      <c r="CT56" s="230">
        <v>-11375</v>
      </c>
      <c r="CU56" s="229">
        <v>-3.7600000000000001E-2</v>
      </c>
      <c r="CV56" s="230">
        <v>3733925</v>
      </c>
      <c r="CW56" s="230">
        <v>3751475</v>
      </c>
      <c r="CX56" s="230">
        <v>-17550</v>
      </c>
      <c r="CY56" s="229">
        <v>-4.7000000000000002E-3</v>
      </c>
      <c r="CZ56" s="228">
        <v>24.31</v>
      </c>
      <c r="DA56" s="228">
        <v>24.35</v>
      </c>
      <c r="DB56" s="228">
        <v>-0.04</v>
      </c>
      <c r="DC56" s="228">
        <v>-0.04</v>
      </c>
      <c r="DD56" s="228">
        <v>32.1</v>
      </c>
      <c r="DE56" s="228">
        <v>32.18</v>
      </c>
      <c r="DF56" s="228">
        <v>-7.79</v>
      </c>
      <c r="DG56" s="228">
        <v>-0.08</v>
      </c>
      <c r="DH56" s="228">
        <v>22.55</v>
      </c>
      <c r="DI56" s="228">
        <v>23.85</v>
      </c>
      <c r="DJ56" s="228">
        <v>-1.3</v>
      </c>
      <c r="DK56" s="228">
        <v>-1.3</v>
      </c>
      <c r="DL56" s="228">
        <v>27.92</v>
      </c>
      <c r="DM56" s="228">
        <v>25.78</v>
      </c>
      <c r="DN56" s="228">
        <v>2.14</v>
      </c>
      <c r="DO56" s="228">
        <v>2.14</v>
      </c>
      <c r="DP56" s="228">
        <v>0.63</v>
      </c>
      <c r="DQ56" s="228">
        <v>0.65</v>
      </c>
      <c r="DR56" s="228">
        <v>-0.02</v>
      </c>
      <c r="DS56" s="229">
        <v>-3.0800000000000001E-2</v>
      </c>
      <c r="DT56" s="231">
        <v>2300</v>
      </c>
      <c r="DU56" s="231">
        <v>2200</v>
      </c>
      <c r="DV56" s="228">
        <v>0.49</v>
      </c>
      <c r="DW56" s="228">
        <v>0.35</v>
      </c>
      <c r="DX56" s="228">
        <v>0.14000000000000001</v>
      </c>
      <c r="DY56" s="229">
        <v>0.4</v>
      </c>
      <c r="DZ56" s="229">
        <v>2.2800000000000001E-2</v>
      </c>
      <c r="EA56" s="230">
        <v>50375</v>
      </c>
      <c r="EB56" s="229">
        <v>5.7000000000000002E-3</v>
      </c>
      <c r="EC56" s="229">
        <v>2.2800000000000001E-2</v>
      </c>
      <c r="ED56" s="228">
        <v>14.8</v>
      </c>
      <c r="EE56" s="229">
        <v>6.3E-3</v>
      </c>
      <c r="EF56" s="230">
        <v>34408</v>
      </c>
      <c r="EG56" s="230">
        <v>148141</v>
      </c>
      <c r="EH56" s="229">
        <v>-0.76770000000000005</v>
      </c>
      <c r="EI56" s="229">
        <v>0.49</v>
      </c>
      <c r="EJ56" s="231">
        <v>6080.34</v>
      </c>
      <c r="EK56" s="231">
        <v>2727.78</v>
      </c>
      <c r="EL56" s="231">
        <v>4645.88</v>
      </c>
      <c r="EM56" s="228">
        <v>0</v>
      </c>
      <c r="EN56" s="231">
        <v>13454</v>
      </c>
      <c r="EO56" s="231">
        <v>24596.94</v>
      </c>
      <c r="EP56" s="231">
        <v>-11142.94</v>
      </c>
      <c r="EQ56" s="229">
        <v>-0.45300000000000001</v>
      </c>
      <c r="ER56" s="231">
        <v>10866</v>
      </c>
      <c r="ES56" s="231">
        <v>6380</v>
      </c>
      <c r="ET56" s="231">
        <v>70058</v>
      </c>
      <c r="EU56" s="231">
        <v>16566722</v>
      </c>
      <c r="EV56" s="231">
        <v>87304</v>
      </c>
      <c r="EW56" s="231">
        <v>87575</v>
      </c>
      <c r="EX56" s="228">
        <v>-271</v>
      </c>
      <c r="EY56" s="229">
        <v>-3.0999999999999999E-3</v>
      </c>
      <c r="EZ56" s="229">
        <v>0.22539999999999999</v>
      </c>
      <c r="FA56" s="227" t="s">
        <v>237</v>
      </c>
      <c r="FB56" s="161">
        <f t="shared" si="0"/>
        <v>67925</v>
      </c>
    </row>
    <row r="57" spans="1:158" ht="17.25" hidden="1" thickBot="1" x14ac:dyDescent="0.3">
      <c r="A57" s="226">
        <v>45889</v>
      </c>
      <c r="B57" s="227" t="s">
        <v>616</v>
      </c>
      <c r="C57" s="227" t="s">
        <v>601</v>
      </c>
      <c r="D57" s="228">
        <v>2075</v>
      </c>
      <c r="E57" s="228">
        <v>472.05</v>
      </c>
      <c r="F57" s="228">
        <v>473.1</v>
      </c>
      <c r="G57" s="228">
        <v>-1.05</v>
      </c>
      <c r="H57" s="229">
        <v>-2.2000000000000001E-3</v>
      </c>
      <c r="I57" s="228">
        <v>471.1</v>
      </c>
      <c r="J57" s="228">
        <v>471.7</v>
      </c>
      <c r="K57" s="228">
        <v>-0.6</v>
      </c>
      <c r="L57" s="229">
        <v>-1.2999999999999999E-3</v>
      </c>
      <c r="M57" s="228">
        <v>472.05</v>
      </c>
      <c r="N57" s="228">
        <v>473.1</v>
      </c>
      <c r="O57" s="228">
        <v>-1.05</v>
      </c>
      <c r="P57" s="229">
        <v>-2.2000000000000001E-3</v>
      </c>
      <c r="Q57" s="228">
        <v>473.9</v>
      </c>
      <c r="R57" s="228">
        <v>474.9</v>
      </c>
      <c r="S57" s="228">
        <v>-1</v>
      </c>
      <c r="T57" s="229">
        <v>-2.0999999999999999E-3</v>
      </c>
      <c r="U57" s="228">
        <v>474.5</v>
      </c>
      <c r="V57" s="228">
        <v>475</v>
      </c>
      <c r="W57" s="228">
        <v>-0.5</v>
      </c>
      <c r="X57" s="229">
        <v>-1.1000000000000001E-3</v>
      </c>
      <c r="Y57" s="228">
        <v>0.95</v>
      </c>
      <c r="Z57" s="228">
        <v>1.4</v>
      </c>
      <c r="AA57" s="228">
        <v>-0.45</v>
      </c>
      <c r="AB57" s="229">
        <v>2E-3</v>
      </c>
      <c r="AC57" s="228">
        <v>0.95</v>
      </c>
      <c r="AD57" s="228">
        <v>1.4</v>
      </c>
      <c r="AE57" s="228">
        <v>-0.45</v>
      </c>
      <c r="AF57" s="229">
        <v>2E-3</v>
      </c>
      <c r="AG57" s="228">
        <v>2.8</v>
      </c>
      <c r="AH57" s="228">
        <v>3.2</v>
      </c>
      <c r="AI57" s="228">
        <v>-0.4</v>
      </c>
      <c r="AJ57" s="229">
        <v>5.8999999999999999E-3</v>
      </c>
      <c r="AK57" s="228">
        <v>3.4</v>
      </c>
      <c r="AL57" s="228">
        <v>3.3</v>
      </c>
      <c r="AM57" s="228">
        <v>0.1</v>
      </c>
      <c r="AN57" s="229">
        <v>7.1999999999999998E-3</v>
      </c>
      <c r="AO57" s="228">
        <v>474.57</v>
      </c>
      <c r="AP57" s="228">
        <v>476.13</v>
      </c>
      <c r="AQ57" s="228">
        <v>0</v>
      </c>
      <c r="AR57" s="230">
        <v>3919675</v>
      </c>
      <c r="AS57" s="230">
        <v>4699875</v>
      </c>
      <c r="AT57" s="230">
        <v>-780200</v>
      </c>
      <c r="AU57" s="229">
        <v>-0.16600000000000001</v>
      </c>
      <c r="AV57" s="230">
        <v>3251525</v>
      </c>
      <c r="AW57" s="230">
        <v>3855350</v>
      </c>
      <c r="AX57" s="230">
        <v>-603825</v>
      </c>
      <c r="AY57" s="229">
        <v>-0.15659999999999999</v>
      </c>
      <c r="AZ57" s="230">
        <v>630800</v>
      </c>
      <c r="BA57" s="230">
        <v>813400</v>
      </c>
      <c r="BB57" s="230">
        <v>-182600</v>
      </c>
      <c r="BC57" s="229">
        <v>-0.22450000000000001</v>
      </c>
      <c r="BD57" s="230">
        <v>37350</v>
      </c>
      <c r="BE57" s="230">
        <v>31125</v>
      </c>
      <c r="BF57" s="230">
        <v>6225</v>
      </c>
      <c r="BG57" s="229">
        <v>0.2</v>
      </c>
      <c r="BH57" s="230">
        <v>17079325</v>
      </c>
      <c r="BI57" s="230">
        <v>23957950</v>
      </c>
      <c r="BJ57" s="230">
        <v>-6878625</v>
      </c>
      <c r="BK57" s="229">
        <v>-0.28710000000000002</v>
      </c>
      <c r="BL57" s="230">
        <v>8883075</v>
      </c>
      <c r="BM57" s="230">
        <v>7071600</v>
      </c>
      <c r="BN57" s="230">
        <v>1811475</v>
      </c>
      <c r="BO57" s="229">
        <v>0.25619999999999998</v>
      </c>
      <c r="BP57" s="230">
        <v>29882075</v>
      </c>
      <c r="BQ57" s="230">
        <v>35729425</v>
      </c>
      <c r="BR57" s="230">
        <v>-5847350</v>
      </c>
      <c r="BS57" s="229">
        <v>-0.16370000000000001</v>
      </c>
      <c r="BT57" s="230">
        <v>2058819</v>
      </c>
      <c r="BU57" s="230">
        <v>2521292</v>
      </c>
      <c r="BV57" s="230">
        <v>-462473</v>
      </c>
      <c r="BW57" s="229">
        <v>-0.18340000000000001</v>
      </c>
      <c r="BX57" s="230">
        <v>15386125</v>
      </c>
      <c r="BY57" s="230">
        <v>15390275</v>
      </c>
      <c r="BZ57" s="230">
        <v>-4150</v>
      </c>
      <c r="CA57" s="229">
        <v>-2.9999999999999997E-4</v>
      </c>
      <c r="CB57" s="230">
        <v>13871375</v>
      </c>
      <c r="CC57" s="230">
        <v>14085100</v>
      </c>
      <c r="CD57" s="230">
        <v>-213725</v>
      </c>
      <c r="CE57" s="229">
        <v>-1.52E-2</v>
      </c>
      <c r="CF57" s="230">
        <v>1408925</v>
      </c>
      <c r="CG57" s="230">
        <v>1222175</v>
      </c>
      <c r="CH57" s="230">
        <v>186750</v>
      </c>
      <c r="CI57" s="229">
        <v>0.15279999999999999</v>
      </c>
      <c r="CJ57" s="230">
        <v>105825</v>
      </c>
      <c r="CK57" s="230">
        <v>83000</v>
      </c>
      <c r="CL57" s="230">
        <v>22825</v>
      </c>
      <c r="CM57" s="229">
        <v>0.27500000000000002</v>
      </c>
      <c r="CN57" s="230">
        <v>11400050</v>
      </c>
      <c r="CO57" s="230">
        <v>11974825</v>
      </c>
      <c r="CP57" s="230">
        <v>-574775</v>
      </c>
      <c r="CQ57" s="229">
        <v>-4.8000000000000001E-2</v>
      </c>
      <c r="CR57" s="230">
        <v>9648750</v>
      </c>
      <c r="CS57" s="230">
        <v>9700625</v>
      </c>
      <c r="CT57" s="230">
        <v>-51875</v>
      </c>
      <c r="CU57" s="229">
        <v>-5.3E-3</v>
      </c>
      <c r="CV57" s="230">
        <v>36434925</v>
      </c>
      <c r="CW57" s="230">
        <v>37065725</v>
      </c>
      <c r="CX57" s="230">
        <v>-630800</v>
      </c>
      <c r="CY57" s="229">
        <v>-1.7000000000000001E-2</v>
      </c>
      <c r="CZ57" s="228">
        <v>29.61</v>
      </c>
      <c r="DA57" s="228">
        <v>31.24</v>
      </c>
      <c r="DB57" s="228">
        <v>-1.63</v>
      </c>
      <c r="DC57" s="228">
        <v>-1.63</v>
      </c>
      <c r="DD57" s="228">
        <v>42.32</v>
      </c>
      <c r="DE57" s="228">
        <v>42.43</v>
      </c>
      <c r="DF57" s="228">
        <v>-12.71</v>
      </c>
      <c r="DG57" s="228">
        <v>-0.11</v>
      </c>
      <c r="DH57" s="228">
        <v>29.3</v>
      </c>
      <c r="DI57" s="228">
        <v>30.95</v>
      </c>
      <c r="DJ57" s="228">
        <v>-1.65</v>
      </c>
      <c r="DK57" s="228">
        <v>-1.65</v>
      </c>
      <c r="DL57" s="228">
        <v>30.21</v>
      </c>
      <c r="DM57" s="228">
        <v>32.24</v>
      </c>
      <c r="DN57" s="228">
        <v>-2.0299999999999998</v>
      </c>
      <c r="DO57" s="228">
        <v>-2.0299999999999998</v>
      </c>
      <c r="DP57" s="228">
        <v>0.85</v>
      </c>
      <c r="DQ57" s="228">
        <v>0.81</v>
      </c>
      <c r="DR57" s="228">
        <v>0.04</v>
      </c>
      <c r="DS57" s="229">
        <v>4.9399999999999999E-2</v>
      </c>
      <c r="DT57" s="228">
        <v>500</v>
      </c>
      <c r="DU57" s="228">
        <v>460</v>
      </c>
      <c r="DV57" s="228">
        <v>0.52</v>
      </c>
      <c r="DW57" s="228">
        <v>0.3</v>
      </c>
      <c r="DX57" s="228">
        <v>0.22</v>
      </c>
      <c r="DY57" s="229">
        <v>0.73329999999999995</v>
      </c>
      <c r="DZ57" s="229">
        <v>9.8400000000000001E-2</v>
      </c>
      <c r="EA57" s="230">
        <v>1305175</v>
      </c>
      <c r="EB57" s="229">
        <v>3.8999999999999998E-3</v>
      </c>
      <c r="EC57" s="229">
        <v>9.8400000000000001E-2</v>
      </c>
      <c r="ED57" s="228">
        <v>1.56</v>
      </c>
      <c r="EE57" s="229">
        <v>3.3E-3</v>
      </c>
      <c r="EF57" s="230">
        <v>974447</v>
      </c>
      <c r="EG57" s="230">
        <v>1235194</v>
      </c>
      <c r="EH57" s="229">
        <v>-0.21110000000000001</v>
      </c>
      <c r="EI57" s="229">
        <v>0.4733</v>
      </c>
      <c r="EJ57" s="231">
        <v>83376.89</v>
      </c>
      <c r="EK57" s="231">
        <v>41052.99</v>
      </c>
      <c r="EL57" s="231">
        <v>18612.53</v>
      </c>
      <c r="EM57" s="228">
        <v>0</v>
      </c>
      <c r="EN57" s="231">
        <v>143042.41</v>
      </c>
      <c r="EO57" s="231">
        <v>171870.35</v>
      </c>
      <c r="EP57" s="231">
        <v>-28827.94</v>
      </c>
      <c r="EQ57" s="229">
        <v>-0.16769999999999999</v>
      </c>
      <c r="ER57" s="231">
        <v>53981</v>
      </c>
      <c r="ES57" s="231">
        <v>42147</v>
      </c>
      <c r="ET57" s="231">
        <v>72659</v>
      </c>
      <c r="EU57" s="231">
        <v>149256689</v>
      </c>
      <c r="EV57" s="231">
        <v>168787</v>
      </c>
      <c r="EW57" s="231">
        <v>171697</v>
      </c>
      <c r="EX57" s="231">
        <v>-2910</v>
      </c>
      <c r="EY57" s="229">
        <v>-1.6899999999999998E-2</v>
      </c>
      <c r="EZ57" s="229">
        <v>0.24410000000000001</v>
      </c>
      <c r="FA57" s="227" t="s">
        <v>568</v>
      </c>
      <c r="FB57" s="161">
        <f t="shared" si="0"/>
        <v>1514750</v>
      </c>
    </row>
    <row r="58" spans="1:158" ht="17.25" hidden="1" thickBot="1" x14ac:dyDescent="0.3">
      <c r="A58" s="226">
        <v>45889</v>
      </c>
      <c r="B58" s="227" t="s">
        <v>170</v>
      </c>
      <c r="C58" s="227" t="s">
        <v>205</v>
      </c>
      <c r="D58" s="228">
        <v>100</v>
      </c>
      <c r="E58" s="231">
        <v>6024</v>
      </c>
      <c r="F58" s="231">
        <v>6100</v>
      </c>
      <c r="G58" s="228">
        <v>-76</v>
      </c>
      <c r="H58" s="229">
        <v>-1.2500000000000001E-2</v>
      </c>
      <c r="I58" s="231">
        <v>6005</v>
      </c>
      <c r="J58" s="231">
        <v>6079.5</v>
      </c>
      <c r="K58" s="228">
        <v>-74.5</v>
      </c>
      <c r="L58" s="229">
        <v>-1.23E-2</v>
      </c>
      <c r="M58" s="231">
        <v>6024</v>
      </c>
      <c r="N58" s="231">
        <v>6100</v>
      </c>
      <c r="O58" s="228">
        <v>-76</v>
      </c>
      <c r="P58" s="229">
        <v>-1.2500000000000001E-2</v>
      </c>
      <c r="Q58" s="231">
        <v>6055.5</v>
      </c>
      <c r="R58" s="231">
        <v>6134</v>
      </c>
      <c r="S58" s="228">
        <v>-78.5</v>
      </c>
      <c r="T58" s="229">
        <v>-1.2800000000000001E-2</v>
      </c>
      <c r="U58" s="231">
        <v>6095.5</v>
      </c>
      <c r="V58" s="231">
        <v>6168</v>
      </c>
      <c r="W58" s="228">
        <v>-72.5</v>
      </c>
      <c r="X58" s="229">
        <v>-1.18E-2</v>
      </c>
      <c r="Y58" s="228">
        <v>19</v>
      </c>
      <c r="Z58" s="228">
        <v>20.5</v>
      </c>
      <c r="AA58" s="228">
        <v>-1.5</v>
      </c>
      <c r="AB58" s="229">
        <v>3.2000000000000002E-3</v>
      </c>
      <c r="AC58" s="228">
        <v>19</v>
      </c>
      <c r="AD58" s="228">
        <v>20.5</v>
      </c>
      <c r="AE58" s="228">
        <v>-1.5</v>
      </c>
      <c r="AF58" s="229">
        <v>3.2000000000000002E-3</v>
      </c>
      <c r="AG58" s="228">
        <v>50.5</v>
      </c>
      <c r="AH58" s="228">
        <v>54.5</v>
      </c>
      <c r="AI58" s="228">
        <v>-4</v>
      </c>
      <c r="AJ58" s="229">
        <v>8.3999999999999995E-3</v>
      </c>
      <c r="AK58" s="228">
        <v>90.5</v>
      </c>
      <c r="AL58" s="228">
        <v>88.5</v>
      </c>
      <c r="AM58" s="228">
        <v>2</v>
      </c>
      <c r="AN58" s="229">
        <v>1.5100000000000001E-2</v>
      </c>
      <c r="AO58" s="231">
        <v>6020.23</v>
      </c>
      <c r="AP58" s="231">
        <v>6054.82</v>
      </c>
      <c r="AQ58" s="228">
        <v>0</v>
      </c>
      <c r="AR58" s="230">
        <v>533600</v>
      </c>
      <c r="AS58" s="230">
        <v>245900</v>
      </c>
      <c r="AT58" s="230">
        <v>287700</v>
      </c>
      <c r="AU58" s="229">
        <v>1.17</v>
      </c>
      <c r="AV58" s="230">
        <v>368200</v>
      </c>
      <c r="AW58" s="230">
        <v>187600</v>
      </c>
      <c r="AX58" s="230">
        <v>180600</v>
      </c>
      <c r="AY58" s="229">
        <v>0.9627</v>
      </c>
      <c r="AZ58" s="230">
        <v>158900</v>
      </c>
      <c r="BA58" s="230">
        <v>55100</v>
      </c>
      <c r="BB58" s="230">
        <v>103800</v>
      </c>
      <c r="BC58" s="229">
        <v>1.8837999999999999</v>
      </c>
      <c r="BD58" s="230">
        <v>6500</v>
      </c>
      <c r="BE58" s="230">
        <v>3200</v>
      </c>
      <c r="BF58" s="230">
        <v>3300</v>
      </c>
      <c r="BG58" s="229">
        <v>1.0313000000000001</v>
      </c>
      <c r="BH58" s="230">
        <v>2632100</v>
      </c>
      <c r="BI58" s="230">
        <v>1216500</v>
      </c>
      <c r="BJ58" s="230">
        <v>1415600</v>
      </c>
      <c r="BK58" s="229">
        <v>1.1637</v>
      </c>
      <c r="BL58" s="230">
        <v>2078700</v>
      </c>
      <c r="BM58" s="230">
        <v>504900</v>
      </c>
      <c r="BN58" s="230">
        <v>1573800</v>
      </c>
      <c r="BO58" s="229">
        <v>3.1171000000000002</v>
      </c>
      <c r="BP58" s="230">
        <v>5244400</v>
      </c>
      <c r="BQ58" s="230">
        <v>1967300</v>
      </c>
      <c r="BR58" s="230">
        <v>3277100</v>
      </c>
      <c r="BS58" s="229">
        <v>1.6657999999999999</v>
      </c>
      <c r="BT58" s="230">
        <v>573231</v>
      </c>
      <c r="BU58" s="230">
        <v>250181</v>
      </c>
      <c r="BV58" s="230">
        <v>323050</v>
      </c>
      <c r="BW58" s="229">
        <v>1.2912999999999999</v>
      </c>
      <c r="BX58" s="230">
        <v>2975800</v>
      </c>
      <c r="BY58" s="230">
        <v>2872200</v>
      </c>
      <c r="BZ58" s="230">
        <v>103600</v>
      </c>
      <c r="CA58" s="229">
        <v>3.61E-2</v>
      </c>
      <c r="CB58" s="230">
        <v>2730100</v>
      </c>
      <c r="CC58" s="230">
        <v>2726400</v>
      </c>
      <c r="CD58" s="230">
        <v>3700</v>
      </c>
      <c r="CE58" s="229">
        <v>1.4E-3</v>
      </c>
      <c r="CF58" s="230">
        <v>226000</v>
      </c>
      <c r="CG58" s="230">
        <v>128900</v>
      </c>
      <c r="CH58" s="230">
        <v>97100</v>
      </c>
      <c r="CI58" s="229">
        <v>0.75329999999999997</v>
      </c>
      <c r="CJ58" s="230">
        <v>19700</v>
      </c>
      <c r="CK58" s="230">
        <v>16900</v>
      </c>
      <c r="CL58" s="230">
        <v>2800</v>
      </c>
      <c r="CM58" s="229">
        <v>0.16569999999999999</v>
      </c>
      <c r="CN58" s="230">
        <v>1589500</v>
      </c>
      <c r="CO58" s="230">
        <v>1530500</v>
      </c>
      <c r="CP58" s="230">
        <v>59000</v>
      </c>
      <c r="CQ58" s="229">
        <v>3.85E-2</v>
      </c>
      <c r="CR58" s="230">
        <v>1002200</v>
      </c>
      <c r="CS58" s="230">
        <v>936500</v>
      </c>
      <c r="CT58" s="230">
        <v>65700</v>
      </c>
      <c r="CU58" s="229">
        <v>7.0199999999999999E-2</v>
      </c>
      <c r="CV58" s="230">
        <v>5567500</v>
      </c>
      <c r="CW58" s="230">
        <v>5339200</v>
      </c>
      <c r="CX58" s="230">
        <v>228300</v>
      </c>
      <c r="CY58" s="229">
        <v>4.2799999999999998E-2</v>
      </c>
      <c r="CZ58" s="228">
        <v>28.13</v>
      </c>
      <c r="DA58" s="228">
        <v>27.34</v>
      </c>
      <c r="DB58" s="228">
        <v>0.79</v>
      </c>
      <c r="DC58" s="228">
        <v>0.79</v>
      </c>
      <c r="DD58" s="228">
        <v>32.4</v>
      </c>
      <c r="DE58" s="228">
        <v>32.44</v>
      </c>
      <c r="DF58" s="228">
        <v>-4.2699999999999996</v>
      </c>
      <c r="DG58" s="228">
        <v>-0.04</v>
      </c>
      <c r="DH58" s="228">
        <v>29.77</v>
      </c>
      <c r="DI58" s="228">
        <v>28.33</v>
      </c>
      <c r="DJ58" s="228">
        <v>1.44</v>
      </c>
      <c r="DK58" s="228">
        <v>1.44</v>
      </c>
      <c r="DL58" s="228">
        <v>26.06</v>
      </c>
      <c r="DM58" s="228">
        <v>24.95</v>
      </c>
      <c r="DN58" s="228">
        <v>1.1100000000000001</v>
      </c>
      <c r="DO58" s="228">
        <v>1.1100000000000001</v>
      </c>
      <c r="DP58" s="228">
        <v>0.63</v>
      </c>
      <c r="DQ58" s="228">
        <v>0.61</v>
      </c>
      <c r="DR58" s="228">
        <v>0.02</v>
      </c>
      <c r="DS58" s="229">
        <v>3.2800000000000003E-2</v>
      </c>
      <c r="DT58" s="231">
        <v>7000</v>
      </c>
      <c r="DU58" s="231">
        <v>5800</v>
      </c>
      <c r="DV58" s="228">
        <v>0.79</v>
      </c>
      <c r="DW58" s="228">
        <v>0.42</v>
      </c>
      <c r="DX58" s="228">
        <v>0.37</v>
      </c>
      <c r="DY58" s="229">
        <v>0.88100000000000001</v>
      </c>
      <c r="DZ58" s="229">
        <v>8.2600000000000007E-2</v>
      </c>
      <c r="EA58" s="230">
        <v>145800</v>
      </c>
      <c r="EB58" s="229">
        <v>5.1999999999999998E-3</v>
      </c>
      <c r="EC58" s="229">
        <v>8.2600000000000007E-2</v>
      </c>
      <c r="ED58" s="228">
        <v>34.590000000000003</v>
      </c>
      <c r="EE58" s="229">
        <v>5.7000000000000002E-3</v>
      </c>
      <c r="EF58" s="230">
        <v>386147</v>
      </c>
      <c r="EG58" s="230">
        <v>175012</v>
      </c>
      <c r="EH58" s="229">
        <v>1.2063999999999999</v>
      </c>
      <c r="EI58" s="229">
        <v>0.67359999999999998</v>
      </c>
      <c r="EJ58" s="231">
        <v>166443.37</v>
      </c>
      <c r="EK58" s="231">
        <v>124449.81</v>
      </c>
      <c r="EL58" s="231">
        <v>32183.13</v>
      </c>
      <c r="EM58" s="228">
        <v>0</v>
      </c>
      <c r="EN58" s="231">
        <v>323076.31</v>
      </c>
      <c r="EO58" s="231">
        <v>123852.67</v>
      </c>
      <c r="EP58" s="231">
        <v>199223.64</v>
      </c>
      <c r="EQ58" s="229">
        <v>1.6086</v>
      </c>
      <c r="ER58" s="231">
        <v>104200</v>
      </c>
      <c r="ES58" s="231">
        <v>59000</v>
      </c>
      <c r="ET58" s="231">
        <v>179347</v>
      </c>
      <c r="EU58" s="231">
        <v>25544698</v>
      </c>
      <c r="EV58" s="231">
        <v>342547</v>
      </c>
      <c r="EW58" s="231">
        <v>331580</v>
      </c>
      <c r="EX58" s="231">
        <v>10967</v>
      </c>
      <c r="EY58" s="229">
        <v>3.3099999999999997E-2</v>
      </c>
      <c r="EZ58" s="229">
        <v>0.218</v>
      </c>
      <c r="FA58" s="227" t="s">
        <v>567</v>
      </c>
      <c r="FB58" s="161">
        <f t="shared" si="0"/>
        <v>245700</v>
      </c>
    </row>
    <row r="59" spans="1:158" ht="17.25" hidden="1" thickBot="1" x14ac:dyDescent="0.3">
      <c r="A59" s="226">
        <v>45889</v>
      </c>
      <c r="B59" s="227" t="s">
        <v>184</v>
      </c>
      <c r="C59" s="227" t="s">
        <v>512</v>
      </c>
      <c r="D59" s="228">
        <v>50</v>
      </c>
      <c r="E59" s="231">
        <v>16917</v>
      </c>
      <c r="F59" s="231">
        <v>16971</v>
      </c>
      <c r="G59" s="228">
        <v>-54</v>
      </c>
      <c r="H59" s="229">
        <v>-3.2000000000000002E-3</v>
      </c>
      <c r="I59" s="231">
        <v>16876</v>
      </c>
      <c r="J59" s="231">
        <v>16905</v>
      </c>
      <c r="K59" s="228">
        <v>-29</v>
      </c>
      <c r="L59" s="229">
        <v>-1.6999999999999999E-3</v>
      </c>
      <c r="M59" s="231">
        <v>16917</v>
      </c>
      <c r="N59" s="231">
        <v>16971</v>
      </c>
      <c r="O59" s="228">
        <v>-54</v>
      </c>
      <c r="P59" s="229">
        <v>-3.2000000000000002E-3</v>
      </c>
      <c r="Q59" s="231">
        <v>17007</v>
      </c>
      <c r="R59" s="231">
        <v>17052</v>
      </c>
      <c r="S59" s="228">
        <v>-45</v>
      </c>
      <c r="T59" s="229">
        <v>-2.5999999999999999E-3</v>
      </c>
      <c r="U59" s="231">
        <v>17092</v>
      </c>
      <c r="V59" s="231">
        <v>17133</v>
      </c>
      <c r="W59" s="228">
        <v>-41</v>
      </c>
      <c r="X59" s="229">
        <v>-2.3999999999999998E-3</v>
      </c>
      <c r="Y59" s="228">
        <v>41</v>
      </c>
      <c r="Z59" s="228">
        <v>66</v>
      </c>
      <c r="AA59" s="228">
        <v>-25</v>
      </c>
      <c r="AB59" s="229">
        <v>2.3999999999999998E-3</v>
      </c>
      <c r="AC59" s="228">
        <v>41</v>
      </c>
      <c r="AD59" s="228">
        <v>66</v>
      </c>
      <c r="AE59" s="228">
        <v>-25</v>
      </c>
      <c r="AF59" s="229">
        <v>2.3999999999999998E-3</v>
      </c>
      <c r="AG59" s="228">
        <v>131</v>
      </c>
      <c r="AH59" s="228">
        <v>147</v>
      </c>
      <c r="AI59" s="228">
        <v>-16</v>
      </c>
      <c r="AJ59" s="229">
        <v>7.7999999999999996E-3</v>
      </c>
      <c r="AK59" s="228">
        <v>216</v>
      </c>
      <c r="AL59" s="228">
        <v>228</v>
      </c>
      <c r="AM59" s="228">
        <v>-12</v>
      </c>
      <c r="AN59" s="229">
        <v>1.2800000000000001E-2</v>
      </c>
      <c r="AO59" s="231">
        <v>17018.71</v>
      </c>
      <c r="AP59" s="231">
        <v>17108.37</v>
      </c>
      <c r="AQ59" s="228">
        <v>0</v>
      </c>
      <c r="AR59" s="230">
        <v>326400</v>
      </c>
      <c r="AS59" s="230">
        <v>359550</v>
      </c>
      <c r="AT59" s="230">
        <v>-33150</v>
      </c>
      <c r="AU59" s="229">
        <v>-9.2200000000000004E-2</v>
      </c>
      <c r="AV59" s="230">
        <v>258650</v>
      </c>
      <c r="AW59" s="230">
        <v>277850</v>
      </c>
      <c r="AX59" s="230">
        <v>-19200</v>
      </c>
      <c r="AY59" s="229">
        <v>-6.9099999999999995E-2</v>
      </c>
      <c r="AZ59" s="230">
        <v>63100</v>
      </c>
      <c r="BA59" s="230">
        <v>77500</v>
      </c>
      <c r="BB59" s="230">
        <v>-14400</v>
      </c>
      <c r="BC59" s="229">
        <v>-0.18579999999999999</v>
      </c>
      <c r="BD59" s="230">
        <v>4650</v>
      </c>
      <c r="BE59" s="230">
        <v>4200</v>
      </c>
      <c r="BF59" s="228">
        <v>450</v>
      </c>
      <c r="BG59" s="229">
        <v>0.1071</v>
      </c>
      <c r="BH59" s="230">
        <v>2924450</v>
      </c>
      <c r="BI59" s="230">
        <v>2085750</v>
      </c>
      <c r="BJ59" s="230">
        <v>838700</v>
      </c>
      <c r="BK59" s="229">
        <v>0.40210000000000001</v>
      </c>
      <c r="BL59" s="230">
        <v>1297300</v>
      </c>
      <c r="BM59" s="230">
        <v>1159000</v>
      </c>
      <c r="BN59" s="230">
        <v>138300</v>
      </c>
      <c r="BO59" s="229">
        <v>0.1193</v>
      </c>
      <c r="BP59" s="230">
        <v>4548150</v>
      </c>
      <c r="BQ59" s="230">
        <v>3604300</v>
      </c>
      <c r="BR59" s="230">
        <v>943850</v>
      </c>
      <c r="BS59" s="229">
        <v>0.26190000000000002</v>
      </c>
      <c r="BT59" s="230">
        <v>249555</v>
      </c>
      <c r="BU59" s="230">
        <v>213396</v>
      </c>
      <c r="BV59" s="230">
        <v>36159</v>
      </c>
      <c r="BW59" s="229">
        <v>0.1694</v>
      </c>
      <c r="BX59" s="230">
        <v>1511100</v>
      </c>
      <c r="BY59" s="230">
        <v>1508450</v>
      </c>
      <c r="BZ59" s="230">
        <v>2650</v>
      </c>
      <c r="CA59" s="229">
        <v>1.8E-3</v>
      </c>
      <c r="CB59" s="230">
        <v>1383550</v>
      </c>
      <c r="CC59" s="230">
        <v>1407000</v>
      </c>
      <c r="CD59" s="230">
        <v>-23450</v>
      </c>
      <c r="CE59" s="229">
        <v>-1.67E-2</v>
      </c>
      <c r="CF59" s="230">
        <v>115450</v>
      </c>
      <c r="CG59" s="230">
        <v>90750</v>
      </c>
      <c r="CH59" s="230">
        <v>24700</v>
      </c>
      <c r="CI59" s="229">
        <v>0.2722</v>
      </c>
      <c r="CJ59" s="230">
        <v>12100</v>
      </c>
      <c r="CK59" s="230">
        <v>10700</v>
      </c>
      <c r="CL59" s="230">
        <v>1400</v>
      </c>
      <c r="CM59" s="229">
        <v>0.1308</v>
      </c>
      <c r="CN59" s="230">
        <v>1134950</v>
      </c>
      <c r="CO59" s="230">
        <v>1000500</v>
      </c>
      <c r="CP59" s="230">
        <v>134450</v>
      </c>
      <c r="CQ59" s="229">
        <v>0.13439999999999999</v>
      </c>
      <c r="CR59" s="230">
        <v>796800</v>
      </c>
      <c r="CS59" s="230">
        <v>768500</v>
      </c>
      <c r="CT59" s="230">
        <v>28300</v>
      </c>
      <c r="CU59" s="229">
        <v>3.6799999999999999E-2</v>
      </c>
      <c r="CV59" s="230">
        <v>3442850</v>
      </c>
      <c r="CW59" s="230">
        <v>3277450</v>
      </c>
      <c r="CX59" s="230">
        <v>165400</v>
      </c>
      <c r="CY59" s="229">
        <v>5.0500000000000003E-2</v>
      </c>
      <c r="CZ59" s="228">
        <v>33.08</v>
      </c>
      <c r="DA59" s="228">
        <v>32.61</v>
      </c>
      <c r="DB59" s="228">
        <v>0.47</v>
      </c>
      <c r="DC59" s="228">
        <v>0.47</v>
      </c>
      <c r="DD59" s="228">
        <v>47.23</v>
      </c>
      <c r="DE59" s="228">
        <v>47.35</v>
      </c>
      <c r="DF59" s="228">
        <v>-14.15</v>
      </c>
      <c r="DG59" s="228">
        <v>-0.12</v>
      </c>
      <c r="DH59" s="228">
        <v>32.619999999999997</v>
      </c>
      <c r="DI59" s="228">
        <v>31.45</v>
      </c>
      <c r="DJ59" s="228">
        <v>1.17</v>
      </c>
      <c r="DK59" s="228">
        <v>1.17</v>
      </c>
      <c r="DL59" s="228">
        <v>34.11</v>
      </c>
      <c r="DM59" s="228">
        <v>34.68</v>
      </c>
      <c r="DN59" s="228">
        <v>-0.56999999999999995</v>
      </c>
      <c r="DO59" s="228">
        <v>-0.56999999999999995</v>
      </c>
      <c r="DP59" s="228">
        <v>0.7</v>
      </c>
      <c r="DQ59" s="228">
        <v>0.77</v>
      </c>
      <c r="DR59" s="228">
        <v>-7.0000000000000007E-2</v>
      </c>
      <c r="DS59" s="229">
        <v>-9.0899999999999995E-2</v>
      </c>
      <c r="DT59" s="231">
        <v>17000</v>
      </c>
      <c r="DU59" s="231">
        <v>15000</v>
      </c>
      <c r="DV59" s="228">
        <v>0.44</v>
      </c>
      <c r="DW59" s="228">
        <v>0.56000000000000005</v>
      </c>
      <c r="DX59" s="228">
        <v>-0.12</v>
      </c>
      <c r="DY59" s="229">
        <v>-0.21429999999999999</v>
      </c>
      <c r="DZ59" s="229">
        <v>8.4400000000000003E-2</v>
      </c>
      <c r="EA59" s="230">
        <v>101450</v>
      </c>
      <c r="EB59" s="229">
        <v>5.3E-3</v>
      </c>
      <c r="EC59" s="229">
        <v>8.4400000000000003E-2</v>
      </c>
      <c r="ED59" s="228">
        <v>89.66</v>
      </c>
      <c r="EE59" s="229">
        <v>5.3E-3</v>
      </c>
      <c r="EF59" s="230">
        <v>100825</v>
      </c>
      <c r="EG59" s="230">
        <v>67724</v>
      </c>
      <c r="EH59" s="229">
        <v>0.48880000000000001</v>
      </c>
      <c r="EI59" s="229">
        <v>0.40400000000000003</v>
      </c>
      <c r="EJ59" s="231">
        <v>517240.95</v>
      </c>
      <c r="EK59" s="231">
        <v>213835.56</v>
      </c>
      <c r="EL59" s="231">
        <v>55613.5</v>
      </c>
      <c r="EM59" s="228">
        <v>0</v>
      </c>
      <c r="EN59" s="231">
        <v>786690.01</v>
      </c>
      <c r="EO59" s="231">
        <v>617595.89</v>
      </c>
      <c r="EP59" s="231">
        <v>169094.12</v>
      </c>
      <c r="EQ59" s="229">
        <v>0.27379999999999999</v>
      </c>
      <c r="ER59" s="231">
        <v>197342</v>
      </c>
      <c r="ES59" s="231">
        <v>125458</v>
      </c>
      <c r="ET59" s="231">
        <v>255758</v>
      </c>
      <c r="EU59" s="231">
        <v>8593923</v>
      </c>
      <c r="EV59" s="231">
        <v>578558</v>
      </c>
      <c r="EW59" s="231">
        <v>550647</v>
      </c>
      <c r="EX59" s="231">
        <v>27911</v>
      </c>
      <c r="EY59" s="229">
        <v>5.0700000000000002E-2</v>
      </c>
      <c r="EZ59" s="229">
        <v>0.40060000000000001</v>
      </c>
      <c r="FA59" s="227" t="s">
        <v>567</v>
      </c>
      <c r="FB59" s="161">
        <f t="shared" si="0"/>
        <v>127550</v>
      </c>
    </row>
    <row r="60" spans="1:158" ht="17.25" hidden="1" thickBot="1" x14ac:dyDescent="0.3">
      <c r="A60" s="226">
        <v>45889</v>
      </c>
      <c r="B60" s="227" t="s">
        <v>206</v>
      </c>
      <c r="C60" s="227" t="s">
        <v>207</v>
      </c>
      <c r="D60" s="228">
        <v>825</v>
      </c>
      <c r="E60" s="228">
        <v>772.25</v>
      </c>
      <c r="F60" s="228">
        <v>777.85</v>
      </c>
      <c r="G60" s="228">
        <v>-5.6</v>
      </c>
      <c r="H60" s="229">
        <v>-7.1999999999999998E-3</v>
      </c>
      <c r="I60" s="228">
        <v>770.5</v>
      </c>
      <c r="J60" s="228">
        <v>776.1</v>
      </c>
      <c r="K60" s="228">
        <v>-5.6</v>
      </c>
      <c r="L60" s="229">
        <v>-7.1999999999999998E-3</v>
      </c>
      <c r="M60" s="228">
        <v>772.25</v>
      </c>
      <c r="N60" s="228">
        <v>777.85</v>
      </c>
      <c r="O60" s="228">
        <v>-5.6</v>
      </c>
      <c r="P60" s="229">
        <v>-7.1999999999999998E-3</v>
      </c>
      <c r="Q60" s="228">
        <v>776.65</v>
      </c>
      <c r="R60" s="228">
        <v>782.45</v>
      </c>
      <c r="S60" s="228">
        <v>-5.8</v>
      </c>
      <c r="T60" s="229">
        <v>-7.4000000000000003E-3</v>
      </c>
      <c r="U60" s="228">
        <v>780.5</v>
      </c>
      <c r="V60" s="228">
        <v>786.3</v>
      </c>
      <c r="W60" s="228">
        <v>-5.8</v>
      </c>
      <c r="X60" s="229">
        <v>-7.4000000000000003E-3</v>
      </c>
      <c r="Y60" s="228">
        <v>1.75</v>
      </c>
      <c r="Z60" s="228">
        <v>1.75</v>
      </c>
      <c r="AA60" s="228">
        <v>0</v>
      </c>
      <c r="AB60" s="229">
        <v>2.3E-3</v>
      </c>
      <c r="AC60" s="228">
        <v>1.75</v>
      </c>
      <c r="AD60" s="228">
        <v>1.75</v>
      </c>
      <c r="AE60" s="228">
        <v>0</v>
      </c>
      <c r="AF60" s="229">
        <v>2.3E-3</v>
      </c>
      <c r="AG60" s="228">
        <v>6.15</v>
      </c>
      <c r="AH60" s="228">
        <v>6.35</v>
      </c>
      <c r="AI60" s="228">
        <v>-0.2</v>
      </c>
      <c r="AJ60" s="229">
        <v>8.0000000000000002E-3</v>
      </c>
      <c r="AK60" s="228">
        <v>10</v>
      </c>
      <c r="AL60" s="228">
        <v>10.199999999999999</v>
      </c>
      <c r="AM60" s="228">
        <v>-0.2</v>
      </c>
      <c r="AN60" s="229">
        <v>1.2999999999999999E-2</v>
      </c>
      <c r="AO60" s="228">
        <v>775.23</v>
      </c>
      <c r="AP60" s="228">
        <v>779.6</v>
      </c>
      <c r="AQ60" s="228">
        <v>0</v>
      </c>
      <c r="AR60" s="230">
        <v>6042300</v>
      </c>
      <c r="AS60" s="230">
        <v>5694150</v>
      </c>
      <c r="AT60" s="230">
        <v>348150</v>
      </c>
      <c r="AU60" s="229">
        <v>6.1100000000000002E-2</v>
      </c>
      <c r="AV60" s="230">
        <v>4788300</v>
      </c>
      <c r="AW60" s="230">
        <v>4847700</v>
      </c>
      <c r="AX60" s="230">
        <v>-59400</v>
      </c>
      <c r="AY60" s="229">
        <v>-1.23E-2</v>
      </c>
      <c r="AZ60" s="230">
        <v>1188825</v>
      </c>
      <c r="BA60" s="230">
        <v>779625</v>
      </c>
      <c r="BB60" s="230">
        <v>409200</v>
      </c>
      <c r="BC60" s="229">
        <v>0.52490000000000003</v>
      </c>
      <c r="BD60" s="230">
        <v>65175</v>
      </c>
      <c r="BE60" s="230">
        <v>66825</v>
      </c>
      <c r="BF60" s="230">
        <v>-1650</v>
      </c>
      <c r="BG60" s="229">
        <v>-2.47E-2</v>
      </c>
      <c r="BH60" s="230">
        <v>18052650</v>
      </c>
      <c r="BI60" s="230">
        <v>20798250</v>
      </c>
      <c r="BJ60" s="230">
        <v>-2745600</v>
      </c>
      <c r="BK60" s="229">
        <v>-0.13200000000000001</v>
      </c>
      <c r="BL60" s="230">
        <v>8075100</v>
      </c>
      <c r="BM60" s="230">
        <v>8110575</v>
      </c>
      <c r="BN60" s="230">
        <v>-35475</v>
      </c>
      <c r="BO60" s="229">
        <v>-4.4000000000000003E-3</v>
      </c>
      <c r="BP60" s="230">
        <v>32170050</v>
      </c>
      <c r="BQ60" s="230">
        <v>34602975</v>
      </c>
      <c r="BR60" s="230">
        <v>-2432925</v>
      </c>
      <c r="BS60" s="229">
        <v>-7.0300000000000001E-2</v>
      </c>
      <c r="BT60" s="230">
        <v>1780573</v>
      </c>
      <c r="BU60" s="230">
        <v>1943508</v>
      </c>
      <c r="BV60" s="230">
        <v>-162935</v>
      </c>
      <c r="BW60" s="229">
        <v>-8.3799999999999999E-2</v>
      </c>
      <c r="BX60" s="230">
        <v>38668575</v>
      </c>
      <c r="BY60" s="230">
        <v>38325375</v>
      </c>
      <c r="BZ60" s="230">
        <v>343200</v>
      </c>
      <c r="CA60" s="229">
        <v>8.9999999999999993E-3</v>
      </c>
      <c r="CB60" s="230">
        <v>35871000</v>
      </c>
      <c r="CC60" s="230">
        <v>36181200</v>
      </c>
      <c r="CD60" s="230">
        <v>-310200</v>
      </c>
      <c r="CE60" s="229">
        <v>-8.6E-3</v>
      </c>
      <c r="CF60" s="230">
        <v>2602875</v>
      </c>
      <c r="CG60" s="230">
        <v>1970100</v>
      </c>
      <c r="CH60" s="230">
        <v>632775</v>
      </c>
      <c r="CI60" s="229">
        <v>0.32119999999999999</v>
      </c>
      <c r="CJ60" s="230">
        <v>194700</v>
      </c>
      <c r="CK60" s="230">
        <v>174075</v>
      </c>
      <c r="CL60" s="230">
        <v>20625</v>
      </c>
      <c r="CM60" s="229">
        <v>0.11849999999999999</v>
      </c>
      <c r="CN60" s="230">
        <v>18089775</v>
      </c>
      <c r="CO60" s="230">
        <v>17683050</v>
      </c>
      <c r="CP60" s="230">
        <v>406725</v>
      </c>
      <c r="CQ60" s="229">
        <v>2.3E-2</v>
      </c>
      <c r="CR60" s="230">
        <v>10032000</v>
      </c>
      <c r="CS60" s="230">
        <v>9870300</v>
      </c>
      <c r="CT60" s="230">
        <v>161700</v>
      </c>
      <c r="CU60" s="229">
        <v>1.6400000000000001E-2</v>
      </c>
      <c r="CV60" s="230">
        <v>66790350</v>
      </c>
      <c r="CW60" s="230">
        <v>65878725</v>
      </c>
      <c r="CX60" s="230">
        <v>911625</v>
      </c>
      <c r="CY60" s="229">
        <v>1.38E-2</v>
      </c>
      <c r="CZ60" s="228">
        <v>28.92</v>
      </c>
      <c r="DA60" s="228">
        <v>27.57</v>
      </c>
      <c r="DB60" s="228">
        <v>1.35</v>
      </c>
      <c r="DC60" s="228">
        <v>1.35</v>
      </c>
      <c r="DD60" s="228">
        <v>39.200000000000003</v>
      </c>
      <c r="DE60" s="228">
        <v>39.29</v>
      </c>
      <c r="DF60" s="228">
        <v>-10.28</v>
      </c>
      <c r="DG60" s="228">
        <v>-0.09</v>
      </c>
      <c r="DH60" s="228">
        <v>29.43</v>
      </c>
      <c r="DI60" s="228">
        <v>27.46</v>
      </c>
      <c r="DJ60" s="228">
        <v>1.97</v>
      </c>
      <c r="DK60" s="228">
        <v>1.97</v>
      </c>
      <c r="DL60" s="228">
        <v>27.77</v>
      </c>
      <c r="DM60" s="228">
        <v>27.85</v>
      </c>
      <c r="DN60" s="228">
        <v>-0.08</v>
      </c>
      <c r="DO60" s="228">
        <v>-0.08</v>
      </c>
      <c r="DP60" s="228">
        <v>0.55000000000000004</v>
      </c>
      <c r="DQ60" s="228">
        <v>0.56000000000000005</v>
      </c>
      <c r="DR60" s="228">
        <v>-0.01</v>
      </c>
      <c r="DS60" s="229">
        <v>-1.7899999999999999E-2</v>
      </c>
      <c r="DT60" s="228">
        <v>800</v>
      </c>
      <c r="DU60" s="228">
        <v>760</v>
      </c>
      <c r="DV60" s="228">
        <v>0.45</v>
      </c>
      <c r="DW60" s="228">
        <v>0.39</v>
      </c>
      <c r="DX60" s="228">
        <v>0.06</v>
      </c>
      <c r="DY60" s="229">
        <v>0.15379999999999999</v>
      </c>
      <c r="DZ60" s="229">
        <v>7.2300000000000003E-2</v>
      </c>
      <c r="EA60" s="230">
        <v>2144175</v>
      </c>
      <c r="EB60" s="229">
        <v>5.7000000000000002E-3</v>
      </c>
      <c r="EC60" s="229">
        <v>7.2300000000000003E-2</v>
      </c>
      <c r="ED60" s="228">
        <v>4.37</v>
      </c>
      <c r="EE60" s="229">
        <v>5.5999999999999999E-3</v>
      </c>
      <c r="EF60" s="230">
        <v>814235</v>
      </c>
      <c r="EG60" s="230">
        <v>845285</v>
      </c>
      <c r="EH60" s="229">
        <v>-3.6700000000000003E-2</v>
      </c>
      <c r="EI60" s="229">
        <v>0.45729999999999998</v>
      </c>
      <c r="EJ60" s="231">
        <v>144915.54</v>
      </c>
      <c r="EK60" s="231">
        <v>62235.65</v>
      </c>
      <c r="EL60" s="231">
        <v>46898.99</v>
      </c>
      <c r="EM60" s="228">
        <v>0</v>
      </c>
      <c r="EN60" s="231">
        <v>254050.18</v>
      </c>
      <c r="EO60" s="231">
        <v>272694.11</v>
      </c>
      <c r="EP60" s="231">
        <v>-18643.93</v>
      </c>
      <c r="EQ60" s="229">
        <v>-6.8400000000000002E-2</v>
      </c>
      <c r="ER60" s="231">
        <v>146852</v>
      </c>
      <c r="ES60" s="231">
        <v>77325</v>
      </c>
      <c r="ET60" s="231">
        <v>298749</v>
      </c>
      <c r="EU60" s="231">
        <v>128335064</v>
      </c>
      <c r="EV60" s="231">
        <v>522926</v>
      </c>
      <c r="EW60" s="231">
        <v>517992</v>
      </c>
      <c r="EX60" s="231">
        <v>4934</v>
      </c>
      <c r="EY60" s="229">
        <v>9.4999999999999998E-3</v>
      </c>
      <c r="EZ60" s="229">
        <v>0.52039999999999997</v>
      </c>
      <c r="FA60" s="227" t="s">
        <v>567</v>
      </c>
      <c r="FB60" s="161">
        <f t="shared" si="0"/>
        <v>2797575</v>
      </c>
    </row>
    <row r="61" spans="1:158" ht="17.25" hidden="1" thickBot="1" x14ac:dyDescent="0.3">
      <c r="A61" s="226">
        <v>45889</v>
      </c>
      <c r="B61" s="227" t="s">
        <v>616</v>
      </c>
      <c r="C61" s="227" t="s">
        <v>584</v>
      </c>
      <c r="D61" s="228">
        <v>150</v>
      </c>
      <c r="E61" s="231">
        <v>4708.7</v>
      </c>
      <c r="F61" s="231">
        <v>4630.8</v>
      </c>
      <c r="G61" s="228">
        <v>77.900000000000006</v>
      </c>
      <c r="H61" s="229">
        <v>1.6799999999999999E-2</v>
      </c>
      <c r="I61" s="231">
        <v>4737.8999999999996</v>
      </c>
      <c r="J61" s="231">
        <v>4653.2</v>
      </c>
      <c r="K61" s="228">
        <v>84.7</v>
      </c>
      <c r="L61" s="229">
        <v>1.8200000000000001E-2</v>
      </c>
      <c r="M61" s="231">
        <v>4708.7</v>
      </c>
      <c r="N61" s="231">
        <v>4630.8</v>
      </c>
      <c r="O61" s="228">
        <v>77.900000000000006</v>
      </c>
      <c r="P61" s="229">
        <v>1.6799999999999999E-2</v>
      </c>
      <c r="Q61" s="231">
        <v>4678.1000000000004</v>
      </c>
      <c r="R61" s="231">
        <v>4608.8999999999996</v>
      </c>
      <c r="S61" s="228">
        <v>69.2</v>
      </c>
      <c r="T61" s="229">
        <v>1.4999999999999999E-2</v>
      </c>
      <c r="U61" s="231">
        <v>4659.6000000000004</v>
      </c>
      <c r="V61" s="231">
        <v>4592.7</v>
      </c>
      <c r="W61" s="228">
        <v>66.900000000000006</v>
      </c>
      <c r="X61" s="229">
        <v>1.46E-2</v>
      </c>
      <c r="Y61" s="228">
        <v>-29.2</v>
      </c>
      <c r="Z61" s="228">
        <v>-22.4</v>
      </c>
      <c r="AA61" s="228">
        <v>-6.8</v>
      </c>
      <c r="AB61" s="229">
        <v>-6.1999999999999998E-3</v>
      </c>
      <c r="AC61" s="228">
        <v>-29.2</v>
      </c>
      <c r="AD61" s="228">
        <v>-22.4</v>
      </c>
      <c r="AE61" s="228">
        <v>-6.8</v>
      </c>
      <c r="AF61" s="229">
        <v>-6.1999999999999998E-3</v>
      </c>
      <c r="AG61" s="228">
        <v>-59.8</v>
      </c>
      <c r="AH61" s="228">
        <v>-44.3</v>
      </c>
      <c r="AI61" s="228">
        <v>-15.5</v>
      </c>
      <c r="AJ61" s="229">
        <v>-1.26E-2</v>
      </c>
      <c r="AK61" s="228">
        <v>-78.3</v>
      </c>
      <c r="AL61" s="228">
        <v>-60.5</v>
      </c>
      <c r="AM61" s="228">
        <v>-17.8</v>
      </c>
      <c r="AN61" s="229">
        <v>-1.6500000000000001E-2</v>
      </c>
      <c r="AO61" s="231">
        <v>4699.34</v>
      </c>
      <c r="AP61" s="231">
        <v>4672.9399999999996</v>
      </c>
      <c r="AQ61" s="228">
        <v>0</v>
      </c>
      <c r="AR61" s="230">
        <v>1277850</v>
      </c>
      <c r="AS61" s="230">
        <v>1533150</v>
      </c>
      <c r="AT61" s="230">
        <v>-255300</v>
      </c>
      <c r="AU61" s="229">
        <v>-0.16650000000000001</v>
      </c>
      <c r="AV61" s="230">
        <v>994950</v>
      </c>
      <c r="AW61" s="230">
        <v>1254150</v>
      </c>
      <c r="AX61" s="230">
        <v>-259200</v>
      </c>
      <c r="AY61" s="229">
        <v>-0.20669999999999999</v>
      </c>
      <c r="AZ61" s="230">
        <v>271050</v>
      </c>
      <c r="BA61" s="230">
        <v>270300</v>
      </c>
      <c r="BB61" s="228">
        <v>750</v>
      </c>
      <c r="BC61" s="229">
        <v>2.8E-3</v>
      </c>
      <c r="BD61" s="230">
        <v>11850</v>
      </c>
      <c r="BE61" s="230">
        <v>8700</v>
      </c>
      <c r="BF61" s="230">
        <v>3150</v>
      </c>
      <c r="BG61" s="229">
        <v>0.36209999999999998</v>
      </c>
      <c r="BH61" s="230">
        <v>10421850</v>
      </c>
      <c r="BI61" s="230">
        <v>11843400</v>
      </c>
      <c r="BJ61" s="230">
        <v>-1421550</v>
      </c>
      <c r="BK61" s="229">
        <v>-0.12</v>
      </c>
      <c r="BL61" s="230">
        <v>3629250</v>
      </c>
      <c r="BM61" s="230">
        <v>3973350</v>
      </c>
      <c r="BN61" s="230">
        <v>-344100</v>
      </c>
      <c r="BO61" s="229">
        <v>-8.6599999999999996E-2</v>
      </c>
      <c r="BP61" s="230">
        <v>15328950</v>
      </c>
      <c r="BQ61" s="230">
        <v>17349900</v>
      </c>
      <c r="BR61" s="230">
        <v>-2020950</v>
      </c>
      <c r="BS61" s="229">
        <v>-0.11650000000000001</v>
      </c>
      <c r="BT61" s="230">
        <v>1346292</v>
      </c>
      <c r="BU61" s="230">
        <v>908470</v>
      </c>
      <c r="BV61" s="230">
        <v>437822</v>
      </c>
      <c r="BW61" s="229">
        <v>0.4819</v>
      </c>
      <c r="BX61" s="230">
        <v>5842350</v>
      </c>
      <c r="BY61" s="230">
        <v>5715450</v>
      </c>
      <c r="BZ61" s="230">
        <v>126900</v>
      </c>
      <c r="CA61" s="229">
        <v>2.2200000000000001E-2</v>
      </c>
      <c r="CB61" s="230">
        <v>5023200</v>
      </c>
      <c r="CC61" s="230">
        <v>4977300</v>
      </c>
      <c r="CD61" s="230">
        <v>45900</v>
      </c>
      <c r="CE61" s="229">
        <v>9.1999999999999998E-3</v>
      </c>
      <c r="CF61" s="230">
        <v>805500</v>
      </c>
      <c r="CG61" s="230">
        <v>726150</v>
      </c>
      <c r="CH61" s="230">
        <v>79350</v>
      </c>
      <c r="CI61" s="229">
        <v>0.10929999999999999</v>
      </c>
      <c r="CJ61" s="230">
        <v>13650</v>
      </c>
      <c r="CK61" s="230">
        <v>12000</v>
      </c>
      <c r="CL61" s="230">
        <v>1650</v>
      </c>
      <c r="CM61" s="229">
        <v>0.13750000000000001</v>
      </c>
      <c r="CN61" s="230">
        <v>1642800</v>
      </c>
      <c r="CO61" s="230">
        <v>1623750</v>
      </c>
      <c r="CP61" s="230">
        <v>19050</v>
      </c>
      <c r="CQ61" s="229">
        <v>1.17E-2</v>
      </c>
      <c r="CR61" s="230">
        <v>1493850</v>
      </c>
      <c r="CS61" s="230">
        <v>1298250</v>
      </c>
      <c r="CT61" s="230">
        <v>195600</v>
      </c>
      <c r="CU61" s="229">
        <v>0.1507</v>
      </c>
      <c r="CV61" s="230">
        <v>8979000</v>
      </c>
      <c r="CW61" s="230">
        <v>8637450</v>
      </c>
      <c r="CX61" s="230">
        <v>341550</v>
      </c>
      <c r="CY61" s="229">
        <v>3.95E-2</v>
      </c>
      <c r="CZ61" s="228">
        <v>28.37</v>
      </c>
      <c r="DA61" s="228">
        <v>27.67</v>
      </c>
      <c r="DB61" s="228">
        <v>0.7</v>
      </c>
      <c r="DC61" s="228">
        <v>0.7</v>
      </c>
      <c r="DD61" s="228">
        <v>34.630000000000003</v>
      </c>
      <c r="DE61" s="228">
        <v>34.630000000000003</v>
      </c>
      <c r="DF61" s="228">
        <v>-6.26</v>
      </c>
      <c r="DG61" s="228">
        <v>0</v>
      </c>
      <c r="DH61" s="228">
        <v>27.6</v>
      </c>
      <c r="DI61" s="228">
        <v>27.2</v>
      </c>
      <c r="DJ61" s="228">
        <v>0.4</v>
      </c>
      <c r="DK61" s="228">
        <v>0.4</v>
      </c>
      <c r="DL61" s="228">
        <v>30.58</v>
      </c>
      <c r="DM61" s="228">
        <v>29.06</v>
      </c>
      <c r="DN61" s="228">
        <v>1.52</v>
      </c>
      <c r="DO61" s="228">
        <v>1.52</v>
      </c>
      <c r="DP61" s="228">
        <v>0.91</v>
      </c>
      <c r="DQ61" s="228">
        <v>0.8</v>
      </c>
      <c r="DR61" s="228">
        <v>0.11</v>
      </c>
      <c r="DS61" s="229">
        <v>0.13750000000000001</v>
      </c>
      <c r="DT61" s="231">
        <v>4600</v>
      </c>
      <c r="DU61" s="231">
        <v>4500</v>
      </c>
      <c r="DV61" s="228">
        <v>0.35</v>
      </c>
      <c r="DW61" s="228">
        <v>0.34</v>
      </c>
      <c r="DX61" s="228">
        <v>0.01</v>
      </c>
      <c r="DY61" s="229">
        <v>2.9399999999999999E-2</v>
      </c>
      <c r="DZ61" s="229">
        <v>0.14019999999999999</v>
      </c>
      <c r="EA61" s="230">
        <v>738150</v>
      </c>
      <c r="EB61" s="229">
        <v>-6.4999999999999997E-3</v>
      </c>
      <c r="EC61" s="229">
        <v>0.14019999999999999</v>
      </c>
      <c r="ED61" s="228">
        <v>-26.4</v>
      </c>
      <c r="EE61" s="229">
        <v>-5.5999999999999999E-3</v>
      </c>
      <c r="EF61" s="230">
        <v>827988</v>
      </c>
      <c r="EG61" s="230">
        <v>374773</v>
      </c>
      <c r="EH61" s="229">
        <v>1.2093</v>
      </c>
      <c r="EI61" s="229">
        <v>0.61499999999999999</v>
      </c>
      <c r="EJ61" s="231">
        <v>504761.71</v>
      </c>
      <c r="EK61" s="231">
        <v>165534.03</v>
      </c>
      <c r="EL61" s="231">
        <v>59973.68</v>
      </c>
      <c r="EM61" s="228">
        <v>0</v>
      </c>
      <c r="EN61" s="231">
        <v>730269.42</v>
      </c>
      <c r="EO61" s="231">
        <v>810503.86</v>
      </c>
      <c r="EP61" s="231">
        <v>-80234.44</v>
      </c>
      <c r="EQ61" s="229">
        <v>-9.9000000000000005E-2</v>
      </c>
      <c r="ER61" s="231">
        <v>76984</v>
      </c>
      <c r="ES61" s="231">
        <v>64119</v>
      </c>
      <c r="ET61" s="231">
        <v>274846</v>
      </c>
      <c r="EU61" s="231">
        <v>32987182</v>
      </c>
      <c r="EV61" s="231">
        <v>415949</v>
      </c>
      <c r="EW61" s="231">
        <v>394775</v>
      </c>
      <c r="EX61" s="231">
        <v>21174</v>
      </c>
      <c r="EY61" s="229">
        <v>5.3600000000000002E-2</v>
      </c>
      <c r="EZ61" s="229">
        <v>0.2722</v>
      </c>
      <c r="FA61" s="227" t="s">
        <v>555</v>
      </c>
      <c r="FB61" s="161">
        <f t="shared" si="0"/>
        <v>819150</v>
      </c>
    </row>
    <row r="62" spans="1:158" ht="17.25" hidden="1" thickBot="1" x14ac:dyDescent="0.3">
      <c r="A62" s="226">
        <v>45889</v>
      </c>
      <c r="B62" s="227" t="s">
        <v>170</v>
      </c>
      <c r="C62" s="227" t="s">
        <v>208</v>
      </c>
      <c r="D62" s="228">
        <v>625</v>
      </c>
      <c r="E62" s="231">
        <v>1241.2</v>
      </c>
      <c r="F62" s="231">
        <v>1244.5999999999999</v>
      </c>
      <c r="G62" s="228">
        <v>-3.4</v>
      </c>
      <c r="H62" s="229">
        <v>-2.7000000000000001E-3</v>
      </c>
      <c r="I62" s="231">
        <v>1245.4000000000001</v>
      </c>
      <c r="J62" s="231">
        <v>1244.2</v>
      </c>
      <c r="K62" s="228">
        <v>1.2</v>
      </c>
      <c r="L62" s="229">
        <v>1E-3</v>
      </c>
      <c r="M62" s="231">
        <v>1241.2</v>
      </c>
      <c r="N62" s="231">
        <v>1244.5999999999999</v>
      </c>
      <c r="O62" s="228">
        <v>-3.4</v>
      </c>
      <c r="P62" s="229">
        <v>-2.7000000000000001E-3</v>
      </c>
      <c r="Q62" s="231">
        <v>1242.5</v>
      </c>
      <c r="R62" s="231">
        <v>1246</v>
      </c>
      <c r="S62" s="228">
        <v>-3.5</v>
      </c>
      <c r="T62" s="229">
        <v>-2.8E-3</v>
      </c>
      <c r="U62" s="231">
        <v>1245.9000000000001</v>
      </c>
      <c r="V62" s="231">
        <v>1248.5</v>
      </c>
      <c r="W62" s="228">
        <v>-2.6</v>
      </c>
      <c r="X62" s="229">
        <v>-2.0999999999999999E-3</v>
      </c>
      <c r="Y62" s="228">
        <v>-4.2</v>
      </c>
      <c r="Z62" s="228">
        <v>0.4</v>
      </c>
      <c r="AA62" s="228">
        <v>-4.5999999999999996</v>
      </c>
      <c r="AB62" s="229">
        <v>-3.3999999999999998E-3</v>
      </c>
      <c r="AC62" s="228">
        <v>-4.2</v>
      </c>
      <c r="AD62" s="228">
        <v>0.4</v>
      </c>
      <c r="AE62" s="228">
        <v>-4.5999999999999996</v>
      </c>
      <c r="AF62" s="229">
        <v>-3.3999999999999998E-3</v>
      </c>
      <c r="AG62" s="228">
        <v>-2.9</v>
      </c>
      <c r="AH62" s="228">
        <v>1.8</v>
      </c>
      <c r="AI62" s="228">
        <v>-4.7</v>
      </c>
      <c r="AJ62" s="229">
        <v>-2.3E-3</v>
      </c>
      <c r="AK62" s="228">
        <v>0.5</v>
      </c>
      <c r="AL62" s="228">
        <v>4.3</v>
      </c>
      <c r="AM62" s="228">
        <v>-3.8</v>
      </c>
      <c r="AN62" s="229">
        <v>4.0000000000000002E-4</v>
      </c>
      <c r="AO62" s="231">
        <v>1242.92</v>
      </c>
      <c r="AP62" s="231">
        <v>1245.82</v>
      </c>
      <c r="AQ62" s="228">
        <v>0</v>
      </c>
      <c r="AR62" s="230">
        <v>1796250</v>
      </c>
      <c r="AS62" s="230">
        <v>1836250</v>
      </c>
      <c r="AT62" s="230">
        <v>-40000</v>
      </c>
      <c r="AU62" s="229">
        <v>-2.18E-2</v>
      </c>
      <c r="AV62" s="230">
        <v>1372500</v>
      </c>
      <c r="AW62" s="230">
        <v>1473125</v>
      </c>
      <c r="AX62" s="230">
        <v>-100625</v>
      </c>
      <c r="AY62" s="229">
        <v>-6.83E-2</v>
      </c>
      <c r="AZ62" s="230">
        <v>415625</v>
      </c>
      <c r="BA62" s="230">
        <v>355000</v>
      </c>
      <c r="BB62" s="230">
        <v>60625</v>
      </c>
      <c r="BC62" s="229">
        <v>0.17080000000000001</v>
      </c>
      <c r="BD62" s="230">
        <v>8125</v>
      </c>
      <c r="BE62" s="230">
        <v>8125</v>
      </c>
      <c r="BF62" s="228">
        <v>0</v>
      </c>
      <c r="BG62" s="229">
        <v>0</v>
      </c>
      <c r="BH62" s="230">
        <v>3733750</v>
      </c>
      <c r="BI62" s="230">
        <v>3850625</v>
      </c>
      <c r="BJ62" s="230">
        <v>-116875</v>
      </c>
      <c r="BK62" s="229">
        <v>-3.04E-2</v>
      </c>
      <c r="BL62" s="230">
        <v>2482500</v>
      </c>
      <c r="BM62" s="230">
        <v>3288125</v>
      </c>
      <c r="BN62" s="230">
        <v>-805625</v>
      </c>
      <c r="BO62" s="229">
        <v>-0.245</v>
      </c>
      <c r="BP62" s="230">
        <v>8012500</v>
      </c>
      <c r="BQ62" s="230">
        <v>8975000</v>
      </c>
      <c r="BR62" s="230">
        <v>-962500</v>
      </c>
      <c r="BS62" s="229">
        <v>-0.1072</v>
      </c>
      <c r="BT62" s="230">
        <v>750398</v>
      </c>
      <c r="BU62" s="230">
        <v>1091699</v>
      </c>
      <c r="BV62" s="230">
        <v>-341301</v>
      </c>
      <c r="BW62" s="229">
        <v>-0.31259999999999999</v>
      </c>
      <c r="BX62" s="230">
        <v>13430625</v>
      </c>
      <c r="BY62" s="230">
        <v>13306250</v>
      </c>
      <c r="BZ62" s="230">
        <v>124375</v>
      </c>
      <c r="CA62" s="229">
        <v>9.2999999999999992E-3</v>
      </c>
      <c r="CB62" s="230">
        <v>11991250</v>
      </c>
      <c r="CC62" s="230">
        <v>12118125</v>
      </c>
      <c r="CD62" s="230">
        <v>-126875</v>
      </c>
      <c r="CE62" s="229">
        <v>-1.0500000000000001E-2</v>
      </c>
      <c r="CF62" s="230">
        <v>1403125</v>
      </c>
      <c r="CG62" s="230">
        <v>1157500</v>
      </c>
      <c r="CH62" s="230">
        <v>245625</v>
      </c>
      <c r="CI62" s="229">
        <v>0.2122</v>
      </c>
      <c r="CJ62" s="230">
        <v>36250</v>
      </c>
      <c r="CK62" s="230">
        <v>30625</v>
      </c>
      <c r="CL62" s="230">
        <v>5625</v>
      </c>
      <c r="CM62" s="229">
        <v>0.1837</v>
      </c>
      <c r="CN62" s="230">
        <v>6592500</v>
      </c>
      <c r="CO62" s="230">
        <v>6602500</v>
      </c>
      <c r="CP62" s="230">
        <v>-10000</v>
      </c>
      <c r="CQ62" s="229">
        <v>-1.5E-3</v>
      </c>
      <c r="CR62" s="230">
        <v>5259375</v>
      </c>
      <c r="CS62" s="230">
        <v>5145000</v>
      </c>
      <c r="CT62" s="230">
        <v>114375</v>
      </c>
      <c r="CU62" s="229">
        <v>2.2200000000000001E-2</v>
      </c>
      <c r="CV62" s="230">
        <v>25282500</v>
      </c>
      <c r="CW62" s="230">
        <v>25053750</v>
      </c>
      <c r="CX62" s="230">
        <v>228750</v>
      </c>
      <c r="CY62" s="229">
        <v>9.1000000000000004E-3</v>
      </c>
      <c r="CZ62" s="228">
        <v>22.69</v>
      </c>
      <c r="DA62" s="228">
        <v>22.97</v>
      </c>
      <c r="DB62" s="228">
        <v>-0.28000000000000003</v>
      </c>
      <c r="DC62" s="228">
        <v>-0.28000000000000003</v>
      </c>
      <c r="DD62" s="228">
        <v>25.41</v>
      </c>
      <c r="DE62" s="228">
        <v>25.48</v>
      </c>
      <c r="DF62" s="228">
        <v>-2.72</v>
      </c>
      <c r="DG62" s="228">
        <v>-7.0000000000000007E-2</v>
      </c>
      <c r="DH62" s="228">
        <v>21.82</v>
      </c>
      <c r="DI62" s="228">
        <v>22.18</v>
      </c>
      <c r="DJ62" s="228">
        <v>-0.36</v>
      </c>
      <c r="DK62" s="228">
        <v>-0.36</v>
      </c>
      <c r="DL62" s="228">
        <v>24.01</v>
      </c>
      <c r="DM62" s="228">
        <v>23.89</v>
      </c>
      <c r="DN62" s="228">
        <v>0.12</v>
      </c>
      <c r="DO62" s="228">
        <v>0.12</v>
      </c>
      <c r="DP62" s="228">
        <v>0.8</v>
      </c>
      <c r="DQ62" s="228">
        <v>0.78</v>
      </c>
      <c r="DR62" s="228">
        <v>0.02</v>
      </c>
      <c r="DS62" s="229">
        <v>2.5600000000000001E-2</v>
      </c>
      <c r="DT62" s="231">
        <v>1300</v>
      </c>
      <c r="DU62" s="231">
        <v>1200</v>
      </c>
      <c r="DV62" s="228">
        <v>0.66</v>
      </c>
      <c r="DW62" s="228">
        <v>0.85</v>
      </c>
      <c r="DX62" s="228">
        <v>-0.19</v>
      </c>
      <c r="DY62" s="229">
        <v>-0.2235</v>
      </c>
      <c r="DZ62" s="229">
        <v>0.1072</v>
      </c>
      <c r="EA62" s="230">
        <v>1188125</v>
      </c>
      <c r="EB62" s="229">
        <v>1E-3</v>
      </c>
      <c r="EC62" s="229">
        <v>0.1072</v>
      </c>
      <c r="ED62" s="228">
        <v>2.9</v>
      </c>
      <c r="EE62" s="229">
        <v>2.3E-3</v>
      </c>
      <c r="EF62" s="230">
        <v>389059</v>
      </c>
      <c r="EG62" s="230">
        <v>539900</v>
      </c>
      <c r="EH62" s="229">
        <v>-0.27939999999999998</v>
      </c>
      <c r="EI62" s="229">
        <v>0.51849999999999996</v>
      </c>
      <c r="EJ62" s="231">
        <v>47873.06</v>
      </c>
      <c r="EK62" s="231">
        <v>30380.080000000002</v>
      </c>
      <c r="EL62" s="231">
        <v>22338.32</v>
      </c>
      <c r="EM62" s="228">
        <v>0</v>
      </c>
      <c r="EN62" s="231">
        <v>100591.46</v>
      </c>
      <c r="EO62" s="231">
        <v>112073.82</v>
      </c>
      <c r="EP62" s="231">
        <v>-11482.36</v>
      </c>
      <c r="EQ62" s="229">
        <v>-0.10249999999999999</v>
      </c>
      <c r="ER62" s="231">
        <v>85512</v>
      </c>
      <c r="ES62" s="231">
        <v>61407</v>
      </c>
      <c r="ET62" s="231">
        <v>166721</v>
      </c>
      <c r="EU62" s="231">
        <v>122013042</v>
      </c>
      <c r="EV62" s="231">
        <v>313639</v>
      </c>
      <c r="EW62" s="231">
        <v>311231</v>
      </c>
      <c r="EX62" s="231">
        <v>2408</v>
      </c>
      <c r="EY62" s="229">
        <v>7.7000000000000002E-3</v>
      </c>
      <c r="EZ62" s="229">
        <v>0.2072</v>
      </c>
      <c r="FA62" s="227" t="s">
        <v>567</v>
      </c>
      <c r="FB62" s="161">
        <f t="shared" si="0"/>
        <v>1439375</v>
      </c>
    </row>
    <row r="63" spans="1:158" ht="17.25" hidden="1" thickBot="1" x14ac:dyDescent="0.3">
      <c r="A63" s="226">
        <v>45889</v>
      </c>
      <c r="B63" s="227" t="s">
        <v>162</v>
      </c>
      <c r="C63" s="227" t="s">
        <v>209</v>
      </c>
      <c r="D63" s="228">
        <v>175</v>
      </c>
      <c r="E63" s="231">
        <v>5948.5</v>
      </c>
      <c r="F63" s="231">
        <v>5958.5</v>
      </c>
      <c r="G63" s="228">
        <v>-10</v>
      </c>
      <c r="H63" s="229">
        <v>-1.6999999999999999E-3</v>
      </c>
      <c r="I63" s="231">
        <v>5937.5</v>
      </c>
      <c r="J63" s="231">
        <v>5938.5</v>
      </c>
      <c r="K63" s="228">
        <v>-1</v>
      </c>
      <c r="L63" s="229">
        <v>-2.0000000000000001E-4</v>
      </c>
      <c r="M63" s="231">
        <v>5948.5</v>
      </c>
      <c r="N63" s="231">
        <v>5958.5</v>
      </c>
      <c r="O63" s="228">
        <v>-10</v>
      </c>
      <c r="P63" s="229">
        <v>-1.6999999999999999E-3</v>
      </c>
      <c r="Q63" s="231">
        <v>5983</v>
      </c>
      <c r="R63" s="231">
        <v>5992.5</v>
      </c>
      <c r="S63" s="228">
        <v>-9.5</v>
      </c>
      <c r="T63" s="229">
        <v>-1.6000000000000001E-3</v>
      </c>
      <c r="U63" s="231">
        <v>6020</v>
      </c>
      <c r="V63" s="231">
        <v>6030</v>
      </c>
      <c r="W63" s="228">
        <v>-10</v>
      </c>
      <c r="X63" s="229">
        <v>-1.6999999999999999E-3</v>
      </c>
      <c r="Y63" s="228">
        <v>11</v>
      </c>
      <c r="Z63" s="228">
        <v>20</v>
      </c>
      <c r="AA63" s="228">
        <v>-9</v>
      </c>
      <c r="AB63" s="229">
        <v>1.9E-3</v>
      </c>
      <c r="AC63" s="228">
        <v>11</v>
      </c>
      <c r="AD63" s="228">
        <v>20</v>
      </c>
      <c r="AE63" s="228">
        <v>-9</v>
      </c>
      <c r="AF63" s="229">
        <v>1.9E-3</v>
      </c>
      <c r="AG63" s="228">
        <v>45.5</v>
      </c>
      <c r="AH63" s="228">
        <v>54</v>
      </c>
      <c r="AI63" s="228">
        <v>-8.5</v>
      </c>
      <c r="AJ63" s="229">
        <v>7.7000000000000002E-3</v>
      </c>
      <c r="AK63" s="228">
        <v>82.5</v>
      </c>
      <c r="AL63" s="228">
        <v>91.5</v>
      </c>
      <c r="AM63" s="228">
        <v>-9</v>
      </c>
      <c r="AN63" s="229">
        <v>1.3899999999999999E-2</v>
      </c>
      <c r="AO63" s="231">
        <v>5941.34</v>
      </c>
      <c r="AP63" s="231">
        <v>5977.49</v>
      </c>
      <c r="AQ63" s="228">
        <v>0</v>
      </c>
      <c r="AR63" s="230">
        <v>438375</v>
      </c>
      <c r="AS63" s="230">
        <v>904575</v>
      </c>
      <c r="AT63" s="230">
        <v>-466200</v>
      </c>
      <c r="AU63" s="229">
        <v>-0.51539999999999997</v>
      </c>
      <c r="AV63" s="230">
        <v>379925</v>
      </c>
      <c r="AW63" s="230">
        <v>764225</v>
      </c>
      <c r="AX63" s="230">
        <v>-384300</v>
      </c>
      <c r="AY63" s="229">
        <v>-0.50290000000000001</v>
      </c>
      <c r="AZ63" s="230">
        <v>55475</v>
      </c>
      <c r="BA63" s="230">
        <v>136675</v>
      </c>
      <c r="BB63" s="230">
        <v>-81200</v>
      </c>
      <c r="BC63" s="229">
        <v>-0.59409999999999996</v>
      </c>
      <c r="BD63" s="230">
        <v>2975</v>
      </c>
      <c r="BE63" s="230">
        <v>3675</v>
      </c>
      <c r="BF63" s="228">
        <v>-700</v>
      </c>
      <c r="BG63" s="229">
        <v>-0.1905</v>
      </c>
      <c r="BH63" s="230">
        <v>2272200</v>
      </c>
      <c r="BI63" s="230">
        <v>5518100</v>
      </c>
      <c r="BJ63" s="230">
        <v>-3245900</v>
      </c>
      <c r="BK63" s="229">
        <v>-0.58819999999999995</v>
      </c>
      <c r="BL63" s="230">
        <v>1376550</v>
      </c>
      <c r="BM63" s="230">
        <v>2665600</v>
      </c>
      <c r="BN63" s="230">
        <v>-1289050</v>
      </c>
      <c r="BO63" s="229">
        <v>-0.48359999999999997</v>
      </c>
      <c r="BP63" s="230">
        <v>4087125</v>
      </c>
      <c r="BQ63" s="230">
        <v>9088275</v>
      </c>
      <c r="BR63" s="230">
        <v>-5001150</v>
      </c>
      <c r="BS63" s="229">
        <v>-0.55030000000000001</v>
      </c>
      <c r="BT63" s="230">
        <v>518522</v>
      </c>
      <c r="BU63" s="230">
        <v>857243</v>
      </c>
      <c r="BV63" s="230">
        <v>-338721</v>
      </c>
      <c r="BW63" s="229">
        <v>-0.39510000000000001</v>
      </c>
      <c r="BX63" s="230">
        <v>4167625</v>
      </c>
      <c r="BY63" s="230">
        <v>4126150</v>
      </c>
      <c r="BZ63" s="230">
        <v>41475</v>
      </c>
      <c r="CA63" s="229">
        <v>1.01E-2</v>
      </c>
      <c r="CB63" s="230">
        <v>3754450</v>
      </c>
      <c r="CC63" s="230">
        <v>3734150</v>
      </c>
      <c r="CD63" s="230">
        <v>20300</v>
      </c>
      <c r="CE63" s="229">
        <v>5.4000000000000003E-3</v>
      </c>
      <c r="CF63" s="230">
        <v>220675</v>
      </c>
      <c r="CG63" s="230">
        <v>200200</v>
      </c>
      <c r="CH63" s="230">
        <v>20475</v>
      </c>
      <c r="CI63" s="229">
        <v>0.1023</v>
      </c>
      <c r="CJ63" s="230">
        <v>192500</v>
      </c>
      <c r="CK63" s="230">
        <v>191800</v>
      </c>
      <c r="CL63" s="228">
        <v>700</v>
      </c>
      <c r="CM63" s="229">
        <v>3.5999999999999999E-3</v>
      </c>
      <c r="CN63" s="230">
        <v>2314725</v>
      </c>
      <c r="CO63" s="230">
        <v>2348325</v>
      </c>
      <c r="CP63" s="230">
        <v>-33600</v>
      </c>
      <c r="CQ63" s="229">
        <v>-1.43E-2</v>
      </c>
      <c r="CR63" s="230">
        <v>1718675</v>
      </c>
      <c r="CS63" s="230">
        <v>1787800</v>
      </c>
      <c r="CT63" s="230">
        <v>-69125</v>
      </c>
      <c r="CU63" s="229">
        <v>-3.8699999999999998E-2</v>
      </c>
      <c r="CV63" s="230">
        <v>8201025</v>
      </c>
      <c r="CW63" s="230">
        <v>8262275</v>
      </c>
      <c r="CX63" s="230">
        <v>-61250</v>
      </c>
      <c r="CY63" s="229">
        <v>-7.4000000000000003E-3</v>
      </c>
      <c r="CZ63" s="228">
        <v>20.48</v>
      </c>
      <c r="DA63" s="228">
        <v>20.56</v>
      </c>
      <c r="DB63" s="228">
        <v>-0.08</v>
      </c>
      <c r="DC63" s="228">
        <v>-0.08</v>
      </c>
      <c r="DD63" s="228">
        <v>28.97</v>
      </c>
      <c r="DE63" s="228">
        <v>29.04</v>
      </c>
      <c r="DF63" s="228">
        <v>-8.49</v>
      </c>
      <c r="DG63" s="228">
        <v>-7.0000000000000007E-2</v>
      </c>
      <c r="DH63" s="228">
        <v>20.09</v>
      </c>
      <c r="DI63" s="228">
        <v>20.25</v>
      </c>
      <c r="DJ63" s="228">
        <v>-0.16</v>
      </c>
      <c r="DK63" s="228">
        <v>-0.16</v>
      </c>
      <c r="DL63" s="228">
        <v>21.13</v>
      </c>
      <c r="DM63" s="228">
        <v>21.22</v>
      </c>
      <c r="DN63" s="228">
        <v>-0.09</v>
      </c>
      <c r="DO63" s="228">
        <v>-0.09</v>
      </c>
      <c r="DP63" s="228">
        <v>0.74</v>
      </c>
      <c r="DQ63" s="228">
        <v>0.76</v>
      </c>
      <c r="DR63" s="228">
        <v>-0.02</v>
      </c>
      <c r="DS63" s="229">
        <v>-2.63E-2</v>
      </c>
      <c r="DT63" s="231">
        <v>6000</v>
      </c>
      <c r="DU63" s="231">
        <v>5600</v>
      </c>
      <c r="DV63" s="228">
        <v>0.61</v>
      </c>
      <c r="DW63" s="228">
        <v>0.48</v>
      </c>
      <c r="DX63" s="228">
        <v>0.13</v>
      </c>
      <c r="DY63" s="229">
        <v>0.27079999999999999</v>
      </c>
      <c r="DZ63" s="229">
        <v>9.9099999999999994E-2</v>
      </c>
      <c r="EA63" s="230">
        <v>392000</v>
      </c>
      <c r="EB63" s="229">
        <v>5.7999999999999996E-3</v>
      </c>
      <c r="EC63" s="229">
        <v>9.9099999999999994E-2</v>
      </c>
      <c r="ED63" s="228">
        <v>36.15</v>
      </c>
      <c r="EE63" s="229">
        <v>6.1000000000000004E-3</v>
      </c>
      <c r="EF63" s="230">
        <v>374421</v>
      </c>
      <c r="EG63" s="230">
        <v>543147</v>
      </c>
      <c r="EH63" s="229">
        <v>-0.31059999999999999</v>
      </c>
      <c r="EI63" s="229">
        <v>0.72209999999999996</v>
      </c>
      <c r="EJ63" s="231">
        <v>138649.32</v>
      </c>
      <c r="EK63" s="231">
        <v>79790.720000000001</v>
      </c>
      <c r="EL63" s="231">
        <v>26067.439999999999</v>
      </c>
      <c r="EM63" s="228">
        <v>0</v>
      </c>
      <c r="EN63" s="231">
        <v>244507.48</v>
      </c>
      <c r="EO63" s="231">
        <v>547594.01</v>
      </c>
      <c r="EP63" s="231">
        <v>-303086.53000000003</v>
      </c>
      <c r="EQ63" s="229">
        <v>-0.55349999999999999</v>
      </c>
      <c r="ER63" s="231">
        <v>138253</v>
      </c>
      <c r="ES63" s="231">
        <v>96543</v>
      </c>
      <c r="ET63" s="231">
        <v>248125</v>
      </c>
      <c r="EU63" s="231">
        <v>27937459</v>
      </c>
      <c r="EV63" s="231">
        <v>482921</v>
      </c>
      <c r="EW63" s="231">
        <v>486848</v>
      </c>
      <c r="EX63" s="231">
        <v>-3927</v>
      </c>
      <c r="EY63" s="229">
        <v>-8.0999999999999996E-3</v>
      </c>
      <c r="EZ63" s="229">
        <v>0.29349999999999998</v>
      </c>
      <c r="FA63" s="227" t="s">
        <v>567</v>
      </c>
      <c r="FB63" s="161">
        <f t="shared" si="0"/>
        <v>413175</v>
      </c>
    </row>
    <row r="64" spans="1:158" ht="17.25" hidden="1" thickBot="1" x14ac:dyDescent="0.3">
      <c r="A64" s="226">
        <v>45889</v>
      </c>
      <c r="B64" s="227" t="s">
        <v>616</v>
      </c>
      <c r="C64" s="227" t="s">
        <v>669</v>
      </c>
      <c r="D64" s="228">
        <v>2425</v>
      </c>
      <c r="E64" s="228">
        <v>326.3</v>
      </c>
      <c r="F64" s="228">
        <v>321.7</v>
      </c>
      <c r="G64" s="228">
        <v>4.5999999999999996</v>
      </c>
      <c r="H64" s="229">
        <v>1.43E-2</v>
      </c>
      <c r="I64" s="228">
        <v>326.55</v>
      </c>
      <c r="J64" s="228">
        <v>321.45</v>
      </c>
      <c r="K64" s="228">
        <v>5.0999999999999996</v>
      </c>
      <c r="L64" s="229">
        <v>1.5900000000000001E-2</v>
      </c>
      <c r="M64" s="228">
        <v>326.3</v>
      </c>
      <c r="N64" s="228">
        <v>321.7</v>
      </c>
      <c r="O64" s="228">
        <v>4.5999999999999996</v>
      </c>
      <c r="P64" s="229">
        <v>1.43E-2</v>
      </c>
      <c r="Q64" s="228">
        <v>328.1</v>
      </c>
      <c r="R64" s="228">
        <v>323.64999999999998</v>
      </c>
      <c r="S64" s="228">
        <v>4.45</v>
      </c>
      <c r="T64" s="229">
        <v>1.37E-2</v>
      </c>
      <c r="U64" s="228">
        <v>329.75</v>
      </c>
      <c r="V64" s="228">
        <v>325</v>
      </c>
      <c r="W64" s="228">
        <v>4.75</v>
      </c>
      <c r="X64" s="229">
        <v>1.46E-2</v>
      </c>
      <c r="Y64" s="228">
        <v>-0.25</v>
      </c>
      <c r="Z64" s="228">
        <v>0.25</v>
      </c>
      <c r="AA64" s="228">
        <v>-0.5</v>
      </c>
      <c r="AB64" s="229">
        <v>-8.0000000000000004E-4</v>
      </c>
      <c r="AC64" s="228">
        <v>-0.25</v>
      </c>
      <c r="AD64" s="228">
        <v>0.25</v>
      </c>
      <c r="AE64" s="228">
        <v>-0.5</v>
      </c>
      <c r="AF64" s="229">
        <v>-8.0000000000000004E-4</v>
      </c>
      <c r="AG64" s="228">
        <v>1.55</v>
      </c>
      <c r="AH64" s="228">
        <v>2.2000000000000002</v>
      </c>
      <c r="AI64" s="228">
        <v>-0.65</v>
      </c>
      <c r="AJ64" s="229">
        <v>4.7000000000000002E-3</v>
      </c>
      <c r="AK64" s="228">
        <v>3.2</v>
      </c>
      <c r="AL64" s="228">
        <v>3.55</v>
      </c>
      <c r="AM64" s="228">
        <v>-0.35</v>
      </c>
      <c r="AN64" s="229">
        <v>9.7999999999999997E-3</v>
      </c>
      <c r="AO64" s="228">
        <v>327.06</v>
      </c>
      <c r="AP64" s="228">
        <v>329.15</v>
      </c>
      <c r="AQ64" s="228">
        <v>0</v>
      </c>
      <c r="AR64" s="230">
        <v>67060950</v>
      </c>
      <c r="AS64" s="230">
        <v>49474850</v>
      </c>
      <c r="AT64" s="230">
        <v>17586100</v>
      </c>
      <c r="AU64" s="229">
        <v>0.35549999999999998</v>
      </c>
      <c r="AV64" s="230">
        <v>57375500</v>
      </c>
      <c r="AW64" s="230">
        <v>39384425</v>
      </c>
      <c r="AX64" s="230">
        <v>17991075</v>
      </c>
      <c r="AY64" s="229">
        <v>0.45679999999999998</v>
      </c>
      <c r="AZ64" s="230">
        <v>8955525</v>
      </c>
      <c r="BA64" s="230">
        <v>9406575</v>
      </c>
      <c r="BB64" s="230">
        <v>-451050</v>
      </c>
      <c r="BC64" s="229">
        <v>-4.8000000000000001E-2</v>
      </c>
      <c r="BD64" s="230">
        <v>729925</v>
      </c>
      <c r="BE64" s="230">
        <v>683850</v>
      </c>
      <c r="BF64" s="230">
        <v>46075</v>
      </c>
      <c r="BG64" s="229">
        <v>6.7400000000000002E-2</v>
      </c>
      <c r="BH64" s="230">
        <v>272824625</v>
      </c>
      <c r="BI64" s="230">
        <v>147699475</v>
      </c>
      <c r="BJ64" s="230">
        <v>125125150</v>
      </c>
      <c r="BK64" s="229">
        <v>0.84719999999999995</v>
      </c>
      <c r="BL64" s="230">
        <v>126825075</v>
      </c>
      <c r="BM64" s="230">
        <v>81011975</v>
      </c>
      <c r="BN64" s="230">
        <v>45813100</v>
      </c>
      <c r="BO64" s="229">
        <v>0.5655</v>
      </c>
      <c r="BP64" s="230">
        <v>466710650</v>
      </c>
      <c r="BQ64" s="230">
        <v>278186300</v>
      </c>
      <c r="BR64" s="230">
        <v>188524350</v>
      </c>
      <c r="BS64" s="229">
        <v>0.67769999999999997</v>
      </c>
      <c r="BT64" s="230">
        <v>58189898</v>
      </c>
      <c r="BU64" s="230">
        <v>37527865</v>
      </c>
      <c r="BV64" s="230">
        <v>20662033</v>
      </c>
      <c r="BW64" s="229">
        <v>0.55059999999999998</v>
      </c>
      <c r="BX64" s="230">
        <v>234245300</v>
      </c>
      <c r="BY64" s="230">
        <v>239633650</v>
      </c>
      <c r="BZ64" s="230">
        <v>-5388350</v>
      </c>
      <c r="CA64" s="229">
        <v>-2.2499999999999999E-2</v>
      </c>
      <c r="CB64" s="230">
        <v>221181825</v>
      </c>
      <c r="CC64" s="230">
        <v>229101875</v>
      </c>
      <c r="CD64" s="230">
        <v>-7920050</v>
      </c>
      <c r="CE64" s="229">
        <v>-3.4599999999999999E-2</v>
      </c>
      <c r="CF64" s="230">
        <v>11865525</v>
      </c>
      <c r="CG64" s="230">
        <v>9404150</v>
      </c>
      <c r="CH64" s="230">
        <v>2461375</v>
      </c>
      <c r="CI64" s="229">
        <v>0.26169999999999999</v>
      </c>
      <c r="CJ64" s="230">
        <v>1197950</v>
      </c>
      <c r="CK64" s="230">
        <v>1127625</v>
      </c>
      <c r="CL64" s="230">
        <v>70325</v>
      </c>
      <c r="CM64" s="229">
        <v>6.2399999999999997E-2</v>
      </c>
      <c r="CN64" s="230">
        <v>72616625</v>
      </c>
      <c r="CO64" s="230">
        <v>62225500</v>
      </c>
      <c r="CP64" s="230">
        <v>10391125</v>
      </c>
      <c r="CQ64" s="229">
        <v>0.16700000000000001</v>
      </c>
      <c r="CR64" s="230">
        <v>58765025</v>
      </c>
      <c r="CS64" s="230">
        <v>54072650</v>
      </c>
      <c r="CT64" s="230">
        <v>4692375</v>
      </c>
      <c r="CU64" s="229">
        <v>8.6800000000000002E-2</v>
      </c>
      <c r="CV64" s="230">
        <v>365626950</v>
      </c>
      <c r="CW64" s="230">
        <v>355931800</v>
      </c>
      <c r="CX64" s="230">
        <v>9695150</v>
      </c>
      <c r="CY64" s="229">
        <v>2.7199999999999998E-2</v>
      </c>
      <c r="CZ64" s="228">
        <v>34.35</v>
      </c>
      <c r="DA64" s="228">
        <v>32.21</v>
      </c>
      <c r="DB64" s="228">
        <v>2.14</v>
      </c>
      <c r="DC64" s="228">
        <v>2.14</v>
      </c>
      <c r="DD64" s="228">
        <v>49.1</v>
      </c>
      <c r="DE64" s="228">
        <v>49.17</v>
      </c>
      <c r="DF64" s="228">
        <v>-14.75</v>
      </c>
      <c r="DG64" s="228">
        <v>-7.0000000000000007E-2</v>
      </c>
      <c r="DH64" s="228">
        <v>33.659999999999997</v>
      </c>
      <c r="DI64" s="228">
        <v>30.63</v>
      </c>
      <c r="DJ64" s="228">
        <v>3.03</v>
      </c>
      <c r="DK64" s="228">
        <v>3.03</v>
      </c>
      <c r="DL64" s="228">
        <v>35.83</v>
      </c>
      <c r="DM64" s="228">
        <v>35.07</v>
      </c>
      <c r="DN64" s="228">
        <v>0.76</v>
      </c>
      <c r="DO64" s="228">
        <v>0.76</v>
      </c>
      <c r="DP64" s="228">
        <v>0.81</v>
      </c>
      <c r="DQ64" s="228">
        <v>0.87</v>
      </c>
      <c r="DR64" s="228">
        <v>-0.06</v>
      </c>
      <c r="DS64" s="229">
        <v>-6.9000000000000006E-2</v>
      </c>
      <c r="DT64" s="228">
        <v>320</v>
      </c>
      <c r="DU64" s="228">
        <v>300</v>
      </c>
      <c r="DV64" s="228">
        <v>0.46</v>
      </c>
      <c r="DW64" s="228">
        <v>0.55000000000000004</v>
      </c>
      <c r="DX64" s="228">
        <v>-0.09</v>
      </c>
      <c r="DY64" s="229">
        <v>-0.1636</v>
      </c>
      <c r="DZ64" s="229">
        <v>5.5800000000000002E-2</v>
      </c>
      <c r="EA64" s="230">
        <v>10531775</v>
      </c>
      <c r="EB64" s="229">
        <v>5.4999999999999997E-3</v>
      </c>
      <c r="EC64" s="229">
        <v>5.5800000000000002E-2</v>
      </c>
      <c r="ED64" s="228">
        <v>2.09</v>
      </c>
      <c r="EE64" s="229">
        <v>6.4000000000000003E-3</v>
      </c>
      <c r="EF64" s="230">
        <v>31742582</v>
      </c>
      <c r="EG64" s="230">
        <v>21729789</v>
      </c>
      <c r="EH64" s="229">
        <v>0.46079999999999999</v>
      </c>
      <c r="EI64" s="229">
        <v>0.54549999999999998</v>
      </c>
      <c r="EJ64" s="231">
        <v>921259.37</v>
      </c>
      <c r="EK64" s="231">
        <v>404612.79</v>
      </c>
      <c r="EL64" s="231">
        <v>219542.8</v>
      </c>
      <c r="EM64" s="228">
        <v>0</v>
      </c>
      <c r="EN64" s="231">
        <v>1545414.96</v>
      </c>
      <c r="EO64" s="231">
        <v>895217.83</v>
      </c>
      <c r="EP64" s="231">
        <v>650197.13</v>
      </c>
      <c r="EQ64" s="229">
        <v>0.72629999999999995</v>
      </c>
      <c r="ER64" s="231">
        <v>233750</v>
      </c>
      <c r="ES64" s="231">
        <v>175006</v>
      </c>
      <c r="ET64" s="231">
        <v>764597</v>
      </c>
      <c r="EU64" s="231">
        <v>1815984389</v>
      </c>
      <c r="EV64" s="231">
        <v>1173353</v>
      </c>
      <c r="EW64" s="231">
        <v>1127543</v>
      </c>
      <c r="EX64" s="231">
        <v>45810</v>
      </c>
      <c r="EY64" s="229">
        <v>4.0599999999999997E-2</v>
      </c>
      <c r="EZ64" s="229">
        <v>0.20130000000000001</v>
      </c>
      <c r="FA64" s="227" t="s">
        <v>556</v>
      </c>
      <c r="FB64" s="161">
        <f t="shared" si="0"/>
        <v>13063475</v>
      </c>
    </row>
    <row r="65" spans="1:158" ht="17.25" hidden="1" thickBot="1" x14ac:dyDescent="0.3">
      <c r="A65" s="226">
        <v>45889</v>
      </c>
      <c r="B65" s="227" t="s">
        <v>162</v>
      </c>
      <c r="C65" s="227" t="s">
        <v>211</v>
      </c>
      <c r="D65" s="228">
        <v>1800</v>
      </c>
      <c r="E65" s="228">
        <v>397.3</v>
      </c>
      <c r="F65" s="228">
        <v>394.6</v>
      </c>
      <c r="G65" s="228">
        <v>2.7</v>
      </c>
      <c r="H65" s="229">
        <v>6.7999999999999996E-3</v>
      </c>
      <c r="I65" s="228">
        <v>396.3</v>
      </c>
      <c r="J65" s="228">
        <v>392.8</v>
      </c>
      <c r="K65" s="228">
        <v>3.5</v>
      </c>
      <c r="L65" s="229">
        <v>8.8999999999999999E-3</v>
      </c>
      <c r="M65" s="228">
        <v>397.3</v>
      </c>
      <c r="N65" s="228">
        <v>394.6</v>
      </c>
      <c r="O65" s="228">
        <v>2.7</v>
      </c>
      <c r="P65" s="229">
        <v>6.7999999999999996E-3</v>
      </c>
      <c r="Q65" s="228">
        <v>399.15</v>
      </c>
      <c r="R65" s="228">
        <v>396.45</v>
      </c>
      <c r="S65" s="228">
        <v>2.7</v>
      </c>
      <c r="T65" s="229">
        <v>6.7999999999999996E-3</v>
      </c>
      <c r="U65" s="228">
        <v>401.35</v>
      </c>
      <c r="V65" s="228">
        <v>398.3</v>
      </c>
      <c r="W65" s="228">
        <v>3.05</v>
      </c>
      <c r="X65" s="229">
        <v>7.7000000000000002E-3</v>
      </c>
      <c r="Y65" s="228">
        <v>1</v>
      </c>
      <c r="Z65" s="228">
        <v>1.8</v>
      </c>
      <c r="AA65" s="228">
        <v>-0.8</v>
      </c>
      <c r="AB65" s="229">
        <v>2.5000000000000001E-3</v>
      </c>
      <c r="AC65" s="228">
        <v>1</v>
      </c>
      <c r="AD65" s="228">
        <v>1.8</v>
      </c>
      <c r="AE65" s="228">
        <v>-0.8</v>
      </c>
      <c r="AF65" s="229">
        <v>2.5000000000000001E-3</v>
      </c>
      <c r="AG65" s="228">
        <v>2.85</v>
      </c>
      <c r="AH65" s="228">
        <v>3.65</v>
      </c>
      <c r="AI65" s="228">
        <v>-0.8</v>
      </c>
      <c r="AJ65" s="229">
        <v>7.1999999999999998E-3</v>
      </c>
      <c r="AK65" s="228">
        <v>5.05</v>
      </c>
      <c r="AL65" s="228">
        <v>5.5</v>
      </c>
      <c r="AM65" s="228">
        <v>-0.45</v>
      </c>
      <c r="AN65" s="229">
        <v>1.2699999999999999E-2</v>
      </c>
      <c r="AO65" s="228">
        <v>395.9</v>
      </c>
      <c r="AP65" s="228">
        <v>397.52</v>
      </c>
      <c r="AQ65" s="228">
        <v>0</v>
      </c>
      <c r="AR65" s="230">
        <v>10758600</v>
      </c>
      <c r="AS65" s="230">
        <v>31001400</v>
      </c>
      <c r="AT65" s="230">
        <v>-20242800</v>
      </c>
      <c r="AU65" s="229">
        <v>-0.65300000000000002</v>
      </c>
      <c r="AV65" s="230">
        <v>8505000</v>
      </c>
      <c r="AW65" s="230">
        <v>26357400</v>
      </c>
      <c r="AX65" s="230">
        <v>-17852400</v>
      </c>
      <c r="AY65" s="229">
        <v>-0.67730000000000001</v>
      </c>
      <c r="AZ65" s="230">
        <v>2100600</v>
      </c>
      <c r="BA65" s="230">
        <v>4089600</v>
      </c>
      <c r="BB65" s="230">
        <v>-1989000</v>
      </c>
      <c r="BC65" s="229">
        <v>-0.4864</v>
      </c>
      <c r="BD65" s="230">
        <v>153000</v>
      </c>
      <c r="BE65" s="230">
        <v>554400</v>
      </c>
      <c r="BF65" s="230">
        <v>-401400</v>
      </c>
      <c r="BG65" s="229">
        <v>-0.72399999999999998</v>
      </c>
      <c r="BH65" s="230">
        <v>47242800</v>
      </c>
      <c r="BI65" s="230">
        <v>78130800</v>
      </c>
      <c r="BJ65" s="230">
        <v>-30888000</v>
      </c>
      <c r="BK65" s="229">
        <v>-0.39529999999999998</v>
      </c>
      <c r="BL65" s="230">
        <v>11917800</v>
      </c>
      <c r="BM65" s="230">
        <v>25957800</v>
      </c>
      <c r="BN65" s="230">
        <v>-14040000</v>
      </c>
      <c r="BO65" s="229">
        <v>-0.54090000000000005</v>
      </c>
      <c r="BP65" s="230">
        <v>69919200</v>
      </c>
      <c r="BQ65" s="230">
        <v>135090000</v>
      </c>
      <c r="BR65" s="230">
        <v>-65170800</v>
      </c>
      <c r="BS65" s="229">
        <v>-0.4824</v>
      </c>
      <c r="BT65" s="230">
        <v>4492821</v>
      </c>
      <c r="BU65" s="230">
        <v>24929372</v>
      </c>
      <c r="BV65" s="230">
        <v>-20436551</v>
      </c>
      <c r="BW65" s="229">
        <v>-0.81979999999999997</v>
      </c>
      <c r="BX65" s="230">
        <v>32112000</v>
      </c>
      <c r="BY65" s="230">
        <v>32288400</v>
      </c>
      <c r="BZ65" s="230">
        <v>-176400</v>
      </c>
      <c r="CA65" s="229">
        <v>-5.4999999999999997E-3</v>
      </c>
      <c r="CB65" s="230">
        <v>28323000</v>
      </c>
      <c r="CC65" s="230">
        <v>28724400</v>
      </c>
      <c r="CD65" s="230">
        <v>-401400</v>
      </c>
      <c r="CE65" s="229">
        <v>-1.4E-2</v>
      </c>
      <c r="CF65" s="230">
        <v>3477600</v>
      </c>
      <c r="CG65" s="230">
        <v>3250800</v>
      </c>
      <c r="CH65" s="230">
        <v>226800</v>
      </c>
      <c r="CI65" s="229">
        <v>6.9800000000000001E-2</v>
      </c>
      <c r="CJ65" s="230">
        <v>311400</v>
      </c>
      <c r="CK65" s="230">
        <v>313200</v>
      </c>
      <c r="CL65" s="230">
        <v>-1800</v>
      </c>
      <c r="CM65" s="229">
        <v>-5.7000000000000002E-3</v>
      </c>
      <c r="CN65" s="230">
        <v>18804600</v>
      </c>
      <c r="CO65" s="230">
        <v>19004400</v>
      </c>
      <c r="CP65" s="230">
        <v>-199800</v>
      </c>
      <c r="CQ65" s="229">
        <v>-1.0500000000000001E-2</v>
      </c>
      <c r="CR65" s="230">
        <v>11055600</v>
      </c>
      <c r="CS65" s="230">
        <v>10663200</v>
      </c>
      <c r="CT65" s="230">
        <v>392400</v>
      </c>
      <c r="CU65" s="229">
        <v>3.6799999999999999E-2</v>
      </c>
      <c r="CV65" s="230">
        <v>61972200</v>
      </c>
      <c r="CW65" s="230">
        <v>61956000</v>
      </c>
      <c r="CX65" s="230">
        <v>16200</v>
      </c>
      <c r="CY65" s="229">
        <v>2.9999999999999997E-4</v>
      </c>
      <c r="CZ65" s="228">
        <v>29.56</v>
      </c>
      <c r="DA65" s="228">
        <v>31.43</v>
      </c>
      <c r="DB65" s="228">
        <v>-1.87</v>
      </c>
      <c r="DC65" s="228">
        <v>-1.87</v>
      </c>
      <c r="DD65" s="228">
        <v>37.14</v>
      </c>
      <c r="DE65" s="228">
        <v>37.22</v>
      </c>
      <c r="DF65" s="228">
        <v>-7.58</v>
      </c>
      <c r="DG65" s="228">
        <v>-0.08</v>
      </c>
      <c r="DH65" s="228">
        <v>29.48</v>
      </c>
      <c r="DI65" s="228">
        <v>31.51</v>
      </c>
      <c r="DJ65" s="228">
        <v>-2.0299999999999998</v>
      </c>
      <c r="DK65" s="228">
        <v>-2.0299999999999998</v>
      </c>
      <c r="DL65" s="228">
        <v>29.86</v>
      </c>
      <c r="DM65" s="228">
        <v>31.21</v>
      </c>
      <c r="DN65" s="228">
        <v>-1.35</v>
      </c>
      <c r="DO65" s="228">
        <v>-1.35</v>
      </c>
      <c r="DP65" s="228">
        <v>0.59</v>
      </c>
      <c r="DQ65" s="228">
        <v>0.56000000000000005</v>
      </c>
      <c r="DR65" s="228">
        <v>0.03</v>
      </c>
      <c r="DS65" s="229">
        <v>5.3600000000000002E-2</v>
      </c>
      <c r="DT65" s="228">
        <v>400</v>
      </c>
      <c r="DU65" s="228">
        <v>370</v>
      </c>
      <c r="DV65" s="228">
        <v>0.25</v>
      </c>
      <c r="DW65" s="228">
        <v>0.33</v>
      </c>
      <c r="DX65" s="228">
        <v>-0.08</v>
      </c>
      <c r="DY65" s="229">
        <v>-0.2424</v>
      </c>
      <c r="DZ65" s="229">
        <v>0.11799999999999999</v>
      </c>
      <c r="EA65" s="230">
        <v>3564000</v>
      </c>
      <c r="EB65" s="229">
        <v>4.7000000000000002E-3</v>
      </c>
      <c r="EC65" s="229">
        <v>0.11799999999999999</v>
      </c>
      <c r="ED65" s="228">
        <v>1.62</v>
      </c>
      <c r="EE65" s="229">
        <v>4.1000000000000003E-3</v>
      </c>
      <c r="EF65" s="230">
        <v>1486162</v>
      </c>
      <c r="EG65" s="230">
        <v>18581157</v>
      </c>
      <c r="EH65" s="229">
        <v>-0.92</v>
      </c>
      <c r="EI65" s="229">
        <v>0.33079999999999998</v>
      </c>
      <c r="EJ65" s="231">
        <v>193744.66</v>
      </c>
      <c r="EK65" s="231">
        <v>46792.27</v>
      </c>
      <c r="EL65" s="231">
        <v>42633.91</v>
      </c>
      <c r="EM65" s="228">
        <v>0</v>
      </c>
      <c r="EN65" s="231">
        <v>283170.84000000003</v>
      </c>
      <c r="EO65" s="231">
        <v>534128.59</v>
      </c>
      <c r="EP65" s="231">
        <v>-250957.75</v>
      </c>
      <c r="EQ65" s="229">
        <v>-0.4698</v>
      </c>
      <c r="ER65" s="231">
        <v>76523</v>
      </c>
      <c r="ES65" s="231">
        <v>41953</v>
      </c>
      <c r="ET65" s="231">
        <v>127658</v>
      </c>
      <c r="EU65" s="231">
        <v>91809066</v>
      </c>
      <c r="EV65" s="231">
        <v>246133</v>
      </c>
      <c r="EW65" s="231">
        <v>245148</v>
      </c>
      <c r="EX65" s="228">
        <v>985</v>
      </c>
      <c r="EY65" s="229">
        <v>4.0000000000000001E-3</v>
      </c>
      <c r="EZ65" s="229">
        <v>0.67500000000000004</v>
      </c>
      <c r="FA65" s="227" t="s">
        <v>556</v>
      </c>
      <c r="FB65" s="161">
        <f t="shared" si="0"/>
        <v>3789000</v>
      </c>
    </row>
    <row r="66" spans="1:158" ht="17.25" hidden="1" thickBot="1" x14ac:dyDescent="0.3">
      <c r="A66" s="226">
        <v>45889</v>
      </c>
      <c r="B66" s="227" t="s">
        <v>172</v>
      </c>
      <c r="C66" s="227" t="s">
        <v>212</v>
      </c>
      <c r="D66" s="228">
        <v>5000</v>
      </c>
      <c r="E66" s="228">
        <v>199.1</v>
      </c>
      <c r="F66" s="228">
        <v>199.25</v>
      </c>
      <c r="G66" s="228">
        <v>-0.15</v>
      </c>
      <c r="H66" s="229">
        <v>-8.0000000000000004E-4</v>
      </c>
      <c r="I66" s="228">
        <v>199.71</v>
      </c>
      <c r="J66" s="228">
        <v>200.05</v>
      </c>
      <c r="K66" s="228">
        <v>-0.34</v>
      </c>
      <c r="L66" s="229">
        <v>-1.6999999999999999E-3</v>
      </c>
      <c r="M66" s="228">
        <v>199.1</v>
      </c>
      <c r="N66" s="228">
        <v>199.25</v>
      </c>
      <c r="O66" s="228">
        <v>-0.15</v>
      </c>
      <c r="P66" s="229">
        <v>-8.0000000000000004E-4</v>
      </c>
      <c r="Q66" s="228">
        <v>200.06</v>
      </c>
      <c r="R66" s="228">
        <v>200.25</v>
      </c>
      <c r="S66" s="228">
        <v>-0.19</v>
      </c>
      <c r="T66" s="229">
        <v>-8.9999999999999998E-4</v>
      </c>
      <c r="U66" s="228">
        <v>200.63</v>
      </c>
      <c r="V66" s="228">
        <v>201.02</v>
      </c>
      <c r="W66" s="228">
        <v>-0.39</v>
      </c>
      <c r="X66" s="229">
        <v>-1.9E-3</v>
      </c>
      <c r="Y66" s="228">
        <v>-0.61</v>
      </c>
      <c r="Z66" s="228">
        <v>-0.8</v>
      </c>
      <c r="AA66" s="228">
        <v>0.19</v>
      </c>
      <c r="AB66" s="229">
        <v>-3.0999999999999999E-3</v>
      </c>
      <c r="AC66" s="228">
        <v>-0.61</v>
      </c>
      <c r="AD66" s="228">
        <v>-0.8</v>
      </c>
      <c r="AE66" s="228">
        <v>0.19</v>
      </c>
      <c r="AF66" s="229">
        <v>-3.0999999999999999E-3</v>
      </c>
      <c r="AG66" s="228">
        <v>0.35</v>
      </c>
      <c r="AH66" s="228">
        <v>0.2</v>
      </c>
      <c r="AI66" s="228">
        <v>0.15</v>
      </c>
      <c r="AJ66" s="229">
        <v>1.8E-3</v>
      </c>
      <c r="AK66" s="228">
        <v>0.92</v>
      </c>
      <c r="AL66" s="228">
        <v>0.97</v>
      </c>
      <c r="AM66" s="228">
        <v>-0.05</v>
      </c>
      <c r="AN66" s="229">
        <v>4.5999999999999999E-3</v>
      </c>
      <c r="AO66" s="228">
        <v>199.58</v>
      </c>
      <c r="AP66" s="228">
        <v>200.52</v>
      </c>
      <c r="AQ66" s="228">
        <v>0</v>
      </c>
      <c r="AR66" s="230">
        <v>12690000</v>
      </c>
      <c r="AS66" s="230">
        <v>20855000</v>
      </c>
      <c r="AT66" s="230">
        <v>-8165000</v>
      </c>
      <c r="AU66" s="229">
        <v>-0.39150000000000001</v>
      </c>
      <c r="AV66" s="230">
        <v>10225000</v>
      </c>
      <c r="AW66" s="230">
        <v>18655000</v>
      </c>
      <c r="AX66" s="230">
        <v>-8430000</v>
      </c>
      <c r="AY66" s="229">
        <v>-0.45190000000000002</v>
      </c>
      <c r="AZ66" s="230">
        <v>2315000</v>
      </c>
      <c r="BA66" s="230">
        <v>1975000</v>
      </c>
      <c r="BB66" s="230">
        <v>340000</v>
      </c>
      <c r="BC66" s="229">
        <v>0.17219999999999999</v>
      </c>
      <c r="BD66" s="230">
        <v>150000</v>
      </c>
      <c r="BE66" s="230">
        <v>225000</v>
      </c>
      <c r="BF66" s="230">
        <v>-75000</v>
      </c>
      <c r="BG66" s="229">
        <v>-0.33329999999999999</v>
      </c>
      <c r="BH66" s="230">
        <v>46890000</v>
      </c>
      <c r="BI66" s="230">
        <v>52720000</v>
      </c>
      <c r="BJ66" s="230">
        <v>-5830000</v>
      </c>
      <c r="BK66" s="229">
        <v>-0.1106</v>
      </c>
      <c r="BL66" s="230">
        <v>26765000</v>
      </c>
      <c r="BM66" s="230">
        <v>29030000</v>
      </c>
      <c r="BN66" s="230">
        <v>-2265000</v>
      </c>
      <c r="BO66" s="229">
        <v>-7.8E-2</v>
      </c>
      <c r="BP66" s="230">
        <v>86345000</v>
      </c>
      <c r="BQ66" s="230">
        <v>102605000</v>
      </c>
      <c r="BR66" s="230">
        <v>-16260000</v>
      </c>
      <c r="BS66" s="229">
        <v>-0.1585</v>
      </c>
      <c r="BT66" s="230">
        <v>5955696</v>
      </c>
      <c r="BU66" s="230">
        <v>5282898</v>
      </c>
      <c r="BV66" s="230">
        <v>672798</v>
      </c>
      <c r="BW66" s="229">
        <v>0.12740000000000001</v>
      </c>
      <c r="BX66" s="230">
        <v>100105000</v>
      </c>
      <c r="BY66" s="230">
        <v>97820000</v>
      </c>
      <c r="BZ66" s="230">
        <v>2285000</v>
      </c>
      <c r="CA66" s="229">
        <v>2.3400000000000001E-2</v>
      </c>
      <c r="CB66" s="230">
        <v>94360000</v>
      </c>
      <c r="CC66" s="230">
        <v>93040000</v>
      </c>
      <c r="CD66" s="230">
        <v>1320000</v>
      </c>
      <c r="CE66" s="229">
        <v>1.4200000000000001E-2</v>
      </c>
      <c r="CF66" s="230">
        <v>5440000</v>
      </c>
      <c r="CG66" s="230">
        <v>4470000</v>
      </c>
      <c r="CH66" s="230">
        <v>970000</v>
      </c>
      <c r="CI66" s="229">
        <v>0.217</v>
      </c>
      <c r="CJ66" s="230">
        <v>305000</v>
      </c>
      <c r="CK66" s="230">
        <v>310000</v>
      </c>
      <c r="CL66" s="230">
        <v>-5000</v>
      </c>
      <c r="CM66" s="229">
        <v>-1.61E-2</v>
      </c>
      <c r="CN66" s="230">
        <v>52400000</v>
      </c>
      <c r="CO66" s="230">
        <v>53435000</v>
      </c>
      <c r="CP66" s="230">
        <v>-1035000</v>
      </c>
      <c r="CQ66" s="229">
        <v>-1.9400000000000001E-2</v>
      </c>
      <c r="CR66" s="230">
        <v>39285000</v>
      </c>
      <c r="CS66" s="230">
        <v>38485000</v>
      </c>
      <c r="CT66" s="230">
        <v>800000</v>
      </c>
      <c r="CU66" s="229">
        <v>2.0799999999999999E-2</v>
      </c>
      <c r="CV66" s="230">
        <v>191790000</v>
      </c>
      <c r="CW66" s="230">
        <v>189740000</v>
      </c>
      <c r="CX66" s="230">
        <v>2050000</v>
      </c>
      <c r="CY66" s="229">
        <v>1.0800000000000001E-2</v>
      </c>
      <c r="CZ66" s="228">
        <v>21.16</v>
      </c>
      <c r="DA66" s="228">
        <v>22.27</v>
      </c>
      <c r="DB66" s="228">
        <v>-1.1100000000000001</v>
      </c>
      <c r="DC66" s="228">
        <v>-1.1100000000000001</v>
      </c>
      <c r="DD66" s="228">
        <v>29.96</v>
      </c>
      <c r="DE66" s="228">
        <v>30.04</v>
      </c>
      <c r="DF66" s="228">
        <v>-8.8000000000000007</v>
      </c>
      <c r="DG66" s="228">
        <v>-0.08</v>
      </c>
      <c r="DH66" s="228">
        <v>21.18</v>
      </c>
      <c r="DI66" s="228">
        <v>21.97</v>
      </c>
      <c r="DJ66" s="228">
        <v>-0.79</v>
      </c>
      <c r="DK66" s="228">
        <v>-0.79</v>
      </c>
      <c r="DL66" s="228">
        <v>21.13</v>
      </c>
      <c r="DM66" s="228">
        <v>22.81</v>
      </c>
      <c r="DN66" s="228">
        <v>-1.68</v>
      </c>
      <c r="DO66" s="228">
        <v>-1.68</v>
      </c>
      <c r="DP66" s="228">
        <v>0.75</v>
      </c>
      <c r="DQ66" s="228">
        <v>0.72</v>
      </c>
      <c r="DR66" s="228">
        <v>0.03</v>
      </c>
      <c r="DS66" s="229">
        <v>4.1700000000000001E-2</v>
      </c>
      <c r="DT66" s="228">
        <v>220</v>
      </c>
      <c r="DU66" s="228">
        <v>190</v>
      </c>
      <c r="DV66" s="228">
        <v>0.56999999999999995</v>
      </c>
      <c r="DW66" s="228">
        <v>0.55000000000000004</v>
      </c>
      <c r="DX66" s="228">
        <v>0.02</v>
      </c>
      <c r="DY66" s="229">
        <v>3.6400000000000002E-2</v>
      </c>
      <c r="DZ66" s="229">
        <v>5.74E-2</v>
      </c>
      <c r="EA66" s="230">
        <v>4780000</v>
      </c>
      <c r="EB66" s="229">
        <v>4.7999999999999996E-3</v>
      </c>
      <c r="EC66" s="229">
        <v>5.74E-2</v>
      </c>
      <c r="ED66" s="228">
        <v>0.94</v>
      </c>
      <c r="EE66" s="229">
        <v>4.7000000000000002E-3</v>
      </c>
      <c r="EF66" s="230">
        <v>3695521</v>
      </c>
      <c r="EG66" s="230">
        <v>3205364</v>
      </c>
      <c r="EH66" s="229">
        <v>0.15290000000000001</v>
      </c>
      <c r="EI66" s="229">
        <v>0.62050000000000005</v>
      </c>
      <c r="EJ66" s="231">
        <v>96015.07</v>
      </c>
      <c r="EK66" s="231">
        <v>53493.75</v>
      </c>
      <c r="EL66" s="231">
        <v>25351.24</v>
      </c>
      <c r="EM66" s="228">
        <v>0</v>
      </c>
      <c r="EN66" s="231">
        <v>174860.06</v>
      </c>
      <c r="EO66" s="231">
        <v>205593.04</v>
      </c>
      <c r="EP66" s="231">
        <v>-30732.98</v>
      </c>
      <c r="EQ66" s="229">
        <v>-0.14949999999999999</v>
      </c>
      <c r="ER66" s="231">
        <v>109833</v>
      </c>
      <c r="ES66" s="231">
        <v>76392</v>
      </c>
      <c r="ET66" s="231">
        <v>199366</v>
      </c>
      <c r="EU66" s="231">
        <v>486567856</v>
      </c>
      <c r="EV66" s="231">
        <v>385591</v>
      </c>
      <c r="EW66" s="231">
        <v>381612</v>
      </c>
      <c r="EX66" s="231">
        <v>3979</v>
      </c>
      <c r="EY66" s="229">
        <v>1.04E-2</v>
      </c>
      <c r="EZ66" s="229">
        <v>0.39419999999999999</v>
      </c>
      <c r="FA66" s="227" t="s">
        <v>567</v>
      </c>
      <c r="FB66" s="161">
        <f t="shared" si="0"/>
        <v>5745000</v>
      </c>
    </row>
    <row r="67" spans="1:158" ht="17.25" hidden="1" thickBot="1" x14ac:dyDescent="0.3">
      <c r="A67" s="226">
        <v>45889</v>
      </c>
      <c r="B67" s="227" t="s">
        <v>181</v>
      </c>
      <c r="C67" s="227" t="s">
        <v>480</v>
      </c>
      <c r="D67" s="228">
        <v>65</v>
      </c>
      <c r="E67" s="231">
        <v>26549.5</v>
      </c>
      <c r="F67" s="231">
        <v>26658.400000000001</v>
      </c>
      <c r="G67" s="228">
        <v>-108.9</v>
      </c>
      <c r="H67" s="229">
        <v>-4.1000000000000003E-3</v>
      </c>
      <c r="I67" s="231">
        <v>26487.8</v>
      </c>
      <c r="J67" s="231">
        <v>26592.3</v>
      </c>
      <c r="K67" s="228">
        <v>-104.5</v>
      </c>
      <c r="L67" s="229">
        <v>-3.8999999999999998E-3</v>
      </c>
      <c r="M67" s="231">
        <v>26549.5</v>
      </c>
      <c r="N67" s="231">
        <v>26658.400000000001</v>
      </c>
      <c r="O67" s="228">
        <v>-108.9</v>
      </c>
      <c r="P67" s="229">
        <v>-4.1000000000000003E-3</v>
      </c>
      <c r="Q67" s="231">
        <v>26657.599999999999</v>
      </c>
      <c r="R67" s="231">
        <v>26752.5</v>
      </c>
      <c r="S67" s="228">
        <v>-94.9</v>
      </c>
      <c r="T67" s="229">
        <v>-3.5000000000000001E-3</v>
      </c>
      <c r="U67" s="228">
        <v>0</v>
      </c>
      <c r="V67" s="228">
        <v>0</v>
      </c>
      <c r="W67" s="228">
        <v>0</v>
      </c>
      <c r="X67" s="229">
        <v>0</v>
      </c>
      <c r="Y67" s="228">
        <v>61.7</v>
      </c>
      <c r="Z67" s="228">
        <v>66.099999999999994</v>
      </c>
      <c r="AA67" s="228">
        <v>-4.4000000000000004</v>
      </c>
      <c r="AB67" s="229">
        <v>2.3E-3</v>
      </c>
      <c r="AC67" s="228">
        <v>61.7</v>
      </c>
      <c r="AD67" s="228">
        <v>66.099999999999994</v>
      </c>
      <c r="AE67" s="228">
        <v>-4.4000000000000004</v>
      </c>
      <c r="AF67" s="229">
        <v>2.3E-3</v>
      </c>
      <c r="AG67" s="228">
        <v>169.8</v>
      </c>
      <c r="AH67" s="228">
        <v>160.19999999999999</v>
      </c>
      <c r="AI67" s="228">
        <v>9.6</v>
      </c>
      <c r="AJ67" s="229">
        <v>6.4000000000000003E-3</v>
      </c>
      <c r="AK67" s="228">
        <v>0</v>
      </c>
      <c r="AL67" s="228">
        <v>0</v>
      </c>
      <c r="AM67" s="228">
        <v>0</v>
      </c>
      <c r="AN67" s="229">
        <v>0</v>
      </c>
      <c r="AO67" s="231">
        <v>26535.19</v>
      </c>
      <c r="AP67" s="231">
        <v>26643.360000000001</v>
      </c>
      <c r="AQ67" s="228">
        <v>0</v>
      </c>
      <c r="AR67" s="230">
        <v>22100</v>
      </c>
      <c r="AS67" s="230">
        <v>16055</v>
      </c>
      <c r="AT67" s="230">
        <v>6045</v>
      </c>
      <c r="AU67" s="229">
        <v>0.3765</v>
      </c>
      <c r="AV67" s="230">
        <v>19240</v>
      </c>
      <c r="AW67" s="230">
        <v>14365</v>
      </c>
      <c r="AX67" s="230">
        <v>4875</v>
      </c>
      <c r="AY67" s="229">
        <v>0.33939999999999998</v>
      </c>
      <c r="AZ67" s="230">
        <v>2860</v>
      </c>
      <c r="BA67" s="230">
        <v>1690</v>
      </c>
      <c r="BB67" s="230">
        <v>1170</v>
      </c>
      <c r="BC67" s="229">
        <v>0.69230000000000003</v>
      </c>
      <c r="BD67" s="228">
        <v>0</v>
      </c>
      <c r="BE67" s="228">
        <v>0</v>
      </c>
      <c r="BF67" s="228">
        <v>0</v>
      </c>
      <c r="BG67" s="229">
        <v>0</v>
      </c>
      <c r="BH67" s="230">
        <v>4614740</v>
      </c>
      <c r="BI67" s="230">
        <v>4064970</v>
      </c>
      <c r="BJ67" s="230">
        <v>549770</v>
      </c>
      <c r="BK67" s="229">
        <v>0.13519999999999999</v>
      </c>
      <c r="BL67" s="230">
        <v>3866265</v>
      </c>
      <c r="BM67" s="230">
        <v>3675165</v>
      </c>
      <c r="BN67" s="230">
        <v>191100</v>
      </c>
      <c r="BO67" s="229">
        <v>5.1999999999999998E-2</v>
      </c>
      <c r="BP67" s="230">
        <v>8503105</v>
      </c>
      <c r="BQ67" s="230">
        <v>7756190</v>
      </c>
      <c r="BR67" s="230">
        <v>746915</v>
      </c>
      <c r="BS67" s="229">
        <v>9.6299999999999997E-2</v>
      </c>
      <c r="BT67" s="228">
        <v>0</v>
      </c>
      <c r="BU67" s="228">
        <v>0</v>
      </c>
      <c r="BV67" s="228">
        <v>0</v>
      </c>
      <c r="BW67" s="229">
        <v>0</v>
      </c>
      <c r="BX67" s="230">
        <v>89310</v>
      </c>
      <c r="BY67" s="230">
        <v>86450</v>
      </c>
      <c r="BZ67" s="230">
        <v>2860</v>
      </c>
      <c r="CA67" s="229">
        <v>3.3099999999999997E-2</v>
      </c>
      <c r="CB67" s="230">
        <v>85670</v>
      </c>
      <c r="CC67" s="230">
        <v>83785</v>
      </c>
      <c r="CD67" s="230">
        <v>1885</v>
      </c>
      <c r="CE67" s="229">
        <v>2.2499999999999999E-2</v>
      </c>
      <c r="CF67" s="230">
        <v>3640</v>
      </c>
      <c r="CG67" s="230">
        <v>2665</v>
      </c>
      <c r="CH67" s="228">
        <v>975</v>
      </c>
      <c r="CI67" s="229">
        <v>0.3659</v>
      </c>
      <c r="CJ67" s="228">
        <v>0</v>
      </c>
      <c r="CK67" s="228">
        <v>0</v>
      </c>
      <c r="CL67" s="228">
        <v>0</v>
      </c>
      <c r="CM67" s="229">
        <v>0</v>
      </c>
      <c r="CN67" s="230">
        <v>1410435</v>
      </c>
      <c r="CO67" s="230">
        <v>1244035</v>
      </c>
      <c r="CP67" s="230">
        <v>166400</v>
      </c>
      <c r="CQ67" s="229">
        <v>0.1338</v>
      </c>
      <c r="CR67" s="230">
        <v>1075100</v>
      </c>
      <c r="CS67" s="230">
        <v>1047215</v>
      </c>
      <c r="CT67" s="230">
        <v>27885</v>
      </c>
      <c r="CU67" s="229">
        <v>2.6599999999999999E-2</v>
      </c>
      <c r="CV67" s="230">
        <v>2574845</v>
      </c>
      <c r="CW67" s="230">
        <v>2377700</v>
      </c>
      <c r="CX67" s="230">
        <v>197145</v>
      </c>
      <c r="CY67" s="229">
        <v>8.2900000000000001E-2</v>
      </c>
      <c r="CZ67" s="228">
        <v>11.66</v>
      </c>
      <c r="DA67" s="228">
        <v>11.42</v>
      </c>
      <c r="DB67" s="228">
        <v>0.24</v>
      </c>
      <c r="DC67" s="228">
        <v>0.24</v>
      </c>
      <c r="DD67" s="228">
        <v>18.71</v>
      </c>
      <c r="DE67" s="228">
        <v>18.75</v>
      </c>
      <c r="DF67" s="228">
        <v>-7.05</v>
      </c>
      <c r="DG67" s="228">
        <v>-0.04</v>
      </c>
      <c r="DH67" s="228">
        <v>11.27</v>
      </c>
      <c r="DI67" s="228">
        <v>10.86</v>
      </c>
      <c r="DJ67" s="228">
        <v>0.41</v>
      </c>
      <c r="DK67" s="228">
        <v>0.41</v>
      </c>
      <c r="DL67" s="228">
        <v>12.12</v>
      </c>
      <c r="DM67" s="228">
        <v>12.04</v>
      </c>
      <c r="DN67" s="228">
        <v>0.08</v>
      </c>
      <c r="DO67" s="228">
        <v>0.08</v>
      </c>
      <c r="DP67" s="228">
        <v>0.76</v>
      </c>
      <c r="DQ67" s="228">
        <v>0.84</v>
      </c>
      <c r="DR67" s="228">
        <v>-0.08</v>
      </c>
      <c r="DS67" s="229">
        <v>-9.5200000000000007E-2</v>
      </c>
      <c r="DT67" s="231">
        <v>27000</v>
      </c>
      <c r="DU67" s="231">
        <v>26500</v>
      </c>
      <c r="DV67" s="228">
        <v>0.84</v>
      </c>
      <c r="DW67" s="228">
        <v>0.9</v>
      </c>
      <c r="DX67" s="228">
        <v>-0.06</v>
      </c>
      <c r="DY67" s="229">
        <v>-6.6699999999999995E-2</v>
      </c>
      <c r="DZ67" s="229">
        <v>4.0800000000000003E-2</v>
      </c>
      <c r="EA67" s="230">
        <v>2665</v>
      </c>
      <c r="EB67" s="229">
        <v>4.1000000000000003E-3</v>
      </c>
      <c r="EC67" s="229">
        <v>4.0800000000000003E-2</v>
      </c>
      <c r="ED67" s="228">
        <v>108.17</v>
      </c>
      <c r="EE67" s="229">
        <v>4.1000000000000003E-3</v>
      </c>
      <c r="EF67" s="228">
        <v>0</v>
      </c>
      <c r="EG67" s="228">
        <v>0</v>
      </c>
      <c r="EH67" s="229">
        <v>0</v>
      </c>
      <c r="EI67" s="229">
        <v>0</v>
      </c>
      <c r="EJ67" s="231">
        <v>1243984.67</v>
      </c>
      <c r="EK67" s="231">
        <v>1015046.93</v>
      </c>
      <c r="EL67" s="231">
        <v>5867.37</v>
      </c>
      <c r="EM67" s="228">
        <v>0</v>
      </c>
      <c r="EN67" s="231">
        <v>2264898.9700000002</v>
      </c>
      <c r="EO67" s="231">
        <v>2073122.89</v>
      </c>
      <c r="EP67" s="231">
        <v>191776.08</v>
      </c>
      <c r="EQ67" s="229">
        <v>9.2499999999999999E-2</v>
      </c>
      <c r="ER67" s="231">
        <v>383276</v>
      </c>
      <c r="ES67" s="231">
        <v>277326</v>
      </c>
      <c r="ET67" s="231">
        <v>23715</v>
      </c>
      <c r="EU67" s="228">
        <v>0</v>
      </c>
      <c r="EV67" s="231">
        <v>684318</v>
      </c>
      <c r="EW67" s="231">
        <v>630734</v>
      </c>
      <c r="EX67" s="231">
        <v>53584</v>
      </c>
      <c r="EY67" s="229">
        <v>8.5000000000000006E-2</v>
      </c>
      <c r="EZ67" s="229">
        <v>0</v>
      </c>
      <c r="FA67" s="227" t="s">
        <v>567</v>
      </c>
      <c r="FB67" s="161">
        <f t="shared" ref="FB67:FB130" si="1">BX67-CB67</f>
        <v>3640</v>
      </c>
    </row>
    <row r="68" spans="1:158" ht="17.25" hidden="1" thickBot="1" x14ac:dyDescent="0.3">
      <c r="A68" s="226">
        <v>45889</v>
      </c>
      <c r="B68" s="227" t="s">
        <v>170</v>
      </c>
      <c r="C68" s="227" t="s">
        <v>679</v>
      </c>
      <c r="D68" s="228">
        <v>775</v>
      </c>
      <c r="E68" s="228">
        <v>964.7</v>
      </c>
      <c r="F68" s="228">
        <v>949.7</v>
      </c>
      <c r="G68" s="228">
        <v>15</v>
      </c>
      <c r="H68" s="229">
        <v>1.5800000000000002E-2</v>
      </c>
      <c r="I68" s="228">
        <v>963.95</v>
      </c>
      <c r="J68" s="228">
        <v>948.9</v>
      </c>
      <c r="K68" s="228">
        <v>15.05</v>
      </c>
      <c r="L68" s="229">
        <v>1.5900000000000001E-2</v>
      </c>
      <c r="M68" s="228">
        <v>964.7</v>
      </c>
      <c r="N68" s="228">
        <v>949.7</v>
      </c>
      <c r="O68" s="228">
        <v>15</v>
      </c>
      <c r="P68" s="229">
        <v>1.5800000000000002E-2</v>
      </c>
      <c r="Q68" s="228">
        <v>966.85</v>
      </c>
      <c r="R68" s="228">
        <v>953.25</v>
      </c>
      <c r="S68" s="228">
        <v>13.6</v>
      </c>
      <c r="T68" s="229">
        <v>1.43E-2</v>
      </c>
      <c r="U68" s="228">
        <v>964.05</v>
      </c>
      <c r="V68" s="228">
        <v>946.6</v>
      </c>
      <c r="W68" s="228">
        <v>17.45</v>
      </c>
      <c r="X68" s="229">
        <v>1.84E-2</v>
      </c>
      <c r="Y68" s="228">
        <v>0.75</v>
      </c>
      <c r="Z68" s="228">
        <v>0.8</v>
      </c>
      <c r="AA68" s="228">
        <v>-0.05</v>
      </c>
      <c r="AB68" s="229">
        <v>8.0000000000000004E-4</v>
      </c>
      <c r="AC68" s="228">
        <v>0.75</v>
      </c>
      <c r="AD68" s="228">
        <v>0.8</v>
      </c>
      <c r="AE68" s="228">
        <v>-0.05</v>
      </c>
      <c r="AF68" s="229">
        <v>8.0000000000000004E-4</v>
      </c>
      <c r="AG68" s="228">
        <v>2.9</v>
      </c>
      <c r="AH68" s="228">
        <v>4.3499999999999996</v>
      </c>
      <c r="AI68" s="228">
        <v>-1.45</v>
      </c>
      <c r="AJ68" s="229">
        <v>3.0000000000000001E-3</v>
      </c>
      <c r="AK68" s="228">
        <v>0.1</v>
      </c>
      <c r="AL68" s="228">
        <v>-2.2999999999999998</v>
      </c>
      <c r="AM68" s="228">
        <v>2.4</v>
      </c>
      <c r="AN68" s="229">
        <v>1E-4</v>
      </c>
      <c r="AO68" s="228">
        <v>959.82</v>
      </c>
      <c r="AP68" s="228">
        <v>963.63</v>
      </c>
      <c r="AQ68" s="228">
        <v>0</v>
      </c>
      <c r="AR68" s="230">
        <v>2449000</v>
      </c>
      <c r="AS68" s="230">
        <v>1363225</v>
      </c>
      <c r="AT68" s="230">
        <v>1085775</v>
      </c>
      <c r="AU68" s="229">
        <v>0.79649999999999999</v>
      </c>
      <c r="AV68" s="230">
        <v>2028950</v>
      </c>
      <c r="AW68" s="230">
        <v>1146225</v>
      </c>
      <c r="AX68" s="230">
        <v>882725</v>
      </c>
      <c r="AY68" s="229">
        <v>0.77010000000000001</v>
      </c>
      <c r="AZ68" s="230">
        <v>408425</v>
      </c>
      <c r="BA68" s="230">
        <v>214675</v>
      </c>
      <c r="BB68" s="230">
        <v>193750</v>
      </c>
      <c r="BC68" s="229">
        <v>0.90249999999999997</v>
      </c>
      <c r="BD68" s="230">
        <v>11625</v>
      </c>
      <c r="BE68" s="230">
        <v>2325</v>
      </c>
      <c r="BF68" s="230">
        <v>9300</v>
      </c>
      <c r="BG68" s="229">
        <v>4</v>
      </c>
      <c r="BH68" s="230">
        <v>9367425</v>
      </c>
      <c r="BI68" s="230">
        <v>4053250</v>
      </c>
      <c r="BJ68" s="230">
        <v>5314175</v>
      </c>
      <c r="BK68" s="229">
        <v>1.3110999999999999</v>
      </c>
      <c r="BL68" s="230">
        <v>3670400</v>
      </c>
      <c r="BM68" s="230">
        <v>2659025</v>
      </c>
      <c r="BN68" s="230">
        <v>1011375</v>
      </c>
      <c r="BO68" s="229">
        <v>0.38040000000000002</v>
      </c>
      <c r="BP68" s="230">
        <v>15486825</v>
      </c>
      <c r="BQ68" s="230">
        <v>8075500</v>
      </c>
      <c r="BR68" s="230">
        <v>7411325</v>
      </c>
      <c r="BS68" s="229">
        <v>0.91779999999999995</v>
      </c>
      <c r="BT68" s="230">
        <v>2128104</v>
      </c>
      <c r="BU68" s="230">
        <v>1497970</v>
      </c>
      <c r="BV68" s="230">
        <v>630134</v>
      </c>
      <c r="BW68" s="229">
        <v>0.42070000000000002</v>
      </c>
      <c r="BX68" s="230">
        <v>10404375</v>
      </c>
      <c r="BY68" s="230">
        <v>10130800</v>
      </c>
      <c r="BZ68" s="230">
        <v>273575</v>
      </c>
      <c r="CA68" s="229">
        <v>2.7E-2</v>
      </c>
      <c r="CB68" s="230">
        <v>9655725</v>
      </c>
      <c r="CC68" s="230">
        <v>9482125</v>
      </c>
      <c r="CD68" s="230">
        <v>173600</v>
      </c>
      <c r="CE68" s="229">
        <v>1.83E-2</v>
      </c>
      <c r="CF68" s="230">
        <v>668825</v>
      </c>
      <c r="CG68" s="230">
        <v>578925</v>
      </c>
      <c r="CH68" s="230">
        <v>89900</v>
      </c>
      <c r="CI68" s="229">
        <v>0.15529999999999999</v>
      </c>
      <c r="CJ68" s="230">
        <v>79825</v>
      </c>
      <c r="CK68" s="230">
        <v>69750</v>
      </c>
      <c r="CL68" s="230">
        <v>10075</v>
      </c>
      <c r="CM68" s="229">
        <v>0.1444</v>
      </c>
      <c r="CN68" s="230">
        <v>3878100</v>
      </c>
      <c r="CO68" s="230">
        <v>3978075</v>
      </c>
      <c r="CP68" s="230">
        <v>-99975</v>
      </c>
      <c r="CQ68" s="229">
        <v>-2.5100000000000001E-2</v>
      </c>
      <c r="CR68" s="230">
        <v>3523150</v>
      </c>
      <c r="CS68" s="230">
        <v>3380550</v>
      </c>
      <c r="CT68" s="230">
        <v>142600</v>
      </c>
      <c r="CU68" s="229">
        <v>4.2200000000000001E-2</v>
      </c>
      <c r="CV68" s="230">
        <v>17805625</v>
      </c>
      <c r="CW68" s="230">
        <v>17489425</v>
      </c>
      <c r="CX68" s="230">
        <v>316200</v>
      </c>
      <c r="CY68" s="229">
        <v>1.8100000000000002E-2</v>
      </c>
      <c r="CZ68" s="228">
        <v>24.65</v>
      </c>
      <c r="DA68" s="228">
        <v>25.13</v>
      </c>
      <c r="DB68" s="228">
        <v>-0.48</v>
      </c>
      <c r="DC68" s="228">
        <v>-0.48</v>
      </c>
      <c r="DD68" s="228">
        <v>37.25</v>
      </c>
      <c r="DE68" s="228">
        <v>37.28</v>
      </c>
      <c r="DF68" s="228">
        <v>-12.6</v>
      </c>
      <c r="DG68" s="228">
        <v>-0.03</v>
      </c>
      <c r="DH68" s="228">
        <v>23.72</v>
      </c>
      <c r="DI68" s="228">
        <v>23.63</v>
      </c>
      <c r="DJ68" s="228">
        <v>0.09</v>
      </c>
      <c r="DK68" s="228">
        <v>0.09</v>
      </c>
      <c r="DL68" s="228">
        <v>27.04</v>
      </c>
      <c r="DM68" s="228">
        <v>27.41</v>
      </c>
      <c r="DN68" s="228">
        <v>-0.37</v>
      </c>
      <c r="DO68" s="228">
        <v>-0.37</v>
      </c>
      <c r="DP68" s="228">
        <v>0.91</v>
      </c>
      <c r="DQ68" s="228">
        <v>0.85</v>
      </c>
      <c r="DR68" s="228">
        <v>0.06</v>
      </c>
      <c r="DS68" s="229">
        <v>7.0599999999999996E-2</v>
      </c>
      <c r="DT68" s="228">
        <v>980</v>
      </c>
      <c r="DU68" s="228">
        <v>900</v>
      </c>
      <c r="DV68" s="228">
        <v>0.39</v>
      </c>
      <c r="DW68" s="228">
        <v>0.66</v>
      </c>
      <c r="DX68" s="228">
        <v>-0.27</v>
      </c>
      <c r="DY68" s="229">
        <v>-0.40910000000000002</v>
      </c>
      <c r="DZ68" s="229">
        <v>7.1999999999999995E-2</v>
      </c>
      <c r="EA68" s="230">
        <v>648675</v>
      </c>
      <c r="EB68" s="229">
        <v>2.2000000000000001E-3</v>
      </c>
      <c r="EC68" s="229">
        <v>7.1999999999999995E-2</v>
      </c>
      <c r="ED68" s="228">
        <v>3.81</v>
      </c>
      <c r="EE68" s="229">
        <v>4.0000000000000001E-3</v>
      </c>
      <c r="EF68" s="230">
        <v>1016708</v>
      </c>
      <c r="EG68" s="230">
        <v>891446</v>
      </c>
      <c r="EH68" s="229">
        <v>0.14050000000000001</v>
      </c>
      <c r="EI68" s="229">
        <v>0.4778</v>
      </c>
      <c r="EJ68" s="231">
        <v>91932.99</v>
      </c>
      <c r="EK68" s="231">
        <v>34344.26</v>
      </c>
      <c r="EL68" s="231">
        <v>23522</v>
      </c>
      <c r="EM68" s="228">
        <v>0</v>
      </c>
      <c r="EN68" s="231">
        <v>149799.25</v>
      </c>
      <c r="EO68" s="231">
        <v>76779.490000000005</v>
      </c>
      <c r="EP68" s="231">
        <v>73019.759999999995</v>
      </c>
      <c r="EQ68" s="229">
        <v>0.95099999999999996</v>
      </c>
      <c r="ER68" s="231">
        <v>36689</v>
      </c>
      <c r="ES68" s="231">
        <v>31354</v>
      </c>
      <c r="ET68" s="231">
        <v>100385</v>
      </c>
      <c r="EU68" s="231">
        <v>103932806</v>
      </c>
      <c r="EV68" s="231">
        <v>168428</v>
      </c>
      <c r="EW68" s="231">
        <v>163680</v>
      </c>
      <c r="EX68" s="231">
        <v>4748</v>
      </c>
      <c r="EY68" s="229">
        <v>2.9000000000000001E-2</v>
      </c>
      <c r="EZ68" s="229">
        <v>0.17130000000000001</v>
      </c>
      <c r="FA68" s="227" t="s">
        <v>555</v>
      </c>
      <c r="FB68" s="161">
        <f t="shared" si="1"/>
        <v>748650</v>
      </c>
    </row>
    <row r="69" spans="1:158" ht="17.25" hidden="1" thickBot="1" x14ac:dyDescent="0.3">
      <c r="A69" s="226">
        <v>45889</v>
      </c>
      <c r="B69" s="227" t="s">
        <v>193</v>
      </c>
      <c r="C69" s="227" t="s">
        <v>213</v>
      </c>
      <c r="D69" s="228">
        <v>3150</v>
      </c>
      <c r="E69" s="228">
        <v>178.17</v>
      </c>
      <c r="F69" s="228">
        <v>175.53</v>
      </c>
      <c r="G69" s="228">
        <v>2.64</v>
      </c>
      <c r="H69" s="229">
        <v>1.4999999999999999E-2</v>
      </c>
      <c r="I69" s="228">
        <v>178.12</v>
      </c>
      <c r="J69" s="228">
        <v>174.89</v>
      </c>
      <c r="K69" s="228">
        <v>3.23</v>
      </c>
      <c r="L69" s="229">
        <v>1.8499999999999999E-2</v>
      </c>
      <c r="M69" s="228">
        <v>178.17</v>
      </c>
      <c r="N69" s="228">
        <v>175.53</v>
      </c>
      <c r="O69" s="228">
        <v>2.64</v>
      </c>
      <c r="P69" s="229">
        <v>1.4999999999999999E-2</v>
      </c>
      <c r="Q69" s="228">
        <v>179.3</v>
      </c>
      <c r="R69" s="228">
        <v>176.45</v>
      </c>
      <c r="S69" s="228">
        <v>2.85</v>
      </c>
      <c r="T69" s="229">
        <v>1.6199999999999999E-2</v>
      </c>
      <c r="U69" s="228">
        <v>180.22</v>
      </c>
      <c r="V69" s="228">
        <v>177.32</v>
      </c>
      <c r="W69" s="228">
        <v>2.9</v>
      </c>
      <c r="X69" s="229">
        <v>1.6400000000000001E-2</v>
      </c>
      <c r="Y69" s="228">
        <v>0.05</v>
      </c>
      <c r="Z69" s="228">
        <v>0.64</v>
      </c>
      <c r="AA69" s="228">
        <v>-0.59</v>
      </c>
      <c r="AB69" s="229">
        <v>2.9999999999999997E-4</v>
      </c>
      <c r="AC69" s="228">
        <v>0.05</v>
      </c>
      <c r="AD69" s="228">
        <v>0.64</v>
      </c>
      <c r="AE69" s="228">
        <v>-0.59</v>
      </c>
      <c r="AF69" s="229">
        <v>2.9999999999999997E-4</v>
      </c>
      <c r="AG69" s="228">
        <v>1.18</v>
      </c>
      <c r="AH69" s="228">
        <v>1.56</v>
      </c>
      <c r="AI69" s="228">
        <v>-0.38</v>
      </c>
      <c r="AJ69" s="229">
        <v>6.6E-3</v>
      </c>
      <c r="AK69" s="228">
        <v>2.1</v>
      </c>
      <c r="AL69" s="228">
        <v>2.4300000000000002</v>
      </c>
      <c r="AM69" s="228">
        <v>-0.33</v>
      </c>
      <c r="AN69" s="229">
        <v>1.18E-2</v>
      </c>
      <c r="AO69" s="228">
        <v>178.3</v>
      </c>
      <c r="AP69" s="228">
        <v>179.26</v>
      </c>
      <c r="AQ69" s="228">
        <v>0</v>
      </c>
      <c r="AR69" s="230">
        <v>20273400</v>
      </c>
      <c r="AS69" s="230">
        <v>13050450</v>
      </c>
      <c r="AT69" s="230">
        <v>7222950</v>
      </c>
      <c r="AU69" s="229">
        <v>0.55349999999999999</v>
      </c>
      <c r="AV69" s="230">
        <v>15368850</v>
      </c>
      <c r="AW69" s="230">
        <v>9887850</v>
      </c>
      <c r="AX69" s="230">
        <v>5481000</v>
      </c>
      <c r="AY69" s="229">
        <v>0.55430000000000001</v>
      </c>
      <c r="AZ69" s="230">
        <v>4504500</v>
      </c>
      <c r="BA69" s="230">
        <v>2986200</v>
      </c>
      <c r="BB69" s="230">
        <v>1518300</v>
      </c>
      <c r="BC69" s="229">
        <v>0.50839999999999996</v>
      </c>
      <c r="BD69" s="230">
        <v>400050</v>
      </c>
      <c r="BE69" s="230">
        <v>176400</v>
      </c>
      <c r="BF69" s="230">
        <v>223650</v>
      </c>
      <c r="BG69" s="229">
        <v>1.2679</v>
      </c>
      <c r="BH69" s="230">
        <v>72670500</v>
      </c>
      <c r="BI69" s="230">
        <v>39233250</v>
      </c>
      <c r="BJ69" s="230">
        <v>33437250</v>
      </c>
      <c r="BK69" s="229">
        <v>0.85229999999999995</v>
      </c>
      <c r="BL69" s="230">
        <v>27877500</v>
      </c>
      <c r="BM69" s="230">
        <v>16443000</v>
      </c>
      <c r="BN69" s="230">
        <v>11434500</v>
      </c>
      <c r="BO69" s="229">
        <v>0.69540000000000002</v>
      </c>
      <c r="BP69" s="230">
        <v>120821400</v>
      </c>
      <c r="BQ69" s="230">
        <v>68726700</v>
      </c>
      <c r="BR69" s="230">
        <v>52094700</v>
      </c>
      <c r="BS69" s="229">
        <v>0.75800000000000001</v>
      </c>
      <c r="BT69" s="230">
        <v>11603494</v>
      </c>
      <c r="BU69" s="230">
        <v>7021854</v>
      </c>
      <c r="BV69" s="230">
        <v>4581640</v>
      </c>
      <c r="BW69" s="229">
        <v>0.65249999999999997</v>
      </c>
      <c r="BX69" s="230">
        <v>109475100</v>
      </c>
      <c r="BY69" s="230">
        <v>106277850</v>
      </c>
      <c r="BZ69" s="230">
        <v>3197250</v>
      </c>
      <c r="CA69" s="229">
        <v>3.0099999999999998E-2</v>
      </c>
      <c r="CB69" s="230">
        <v>100755900</v>
      </c>
      <c r="CC69" s="230">
        <v>99590400</v>
      </c>
      <c r="CD69" s="230">
        <v>1165500</v>
      </c>
      <c r="CE69" s="229">
        <v>1.17E-2</v>
      </c>
      <c r="CF69" s="230">
        <v>8117550</v>
      </c>
      <c r="CG69" s="230">
        <v>6259050</v>
      </c>
      <c r="CH69" s="230">
        <v>1858500</v>
      </c>
      <c r="CI69" s="229">
        <v>0.2969</v>
      </c>
      <c r="CJ69" s="230">
        <v>601650</v>
      </c>
      <c r="CK69" s="230">
        <v>428400</v>
      </c>
      <c r="CL69" s="230">
        <v>173250</v>
      </c>
      <c r="CM69" s="229">
        <v>0.40439999999999998</v>
      </c>
      <c r="CN69" s="230">
        <v>38511900</v>
      </c>
      <c r="CO69" s="230">
        <v>37831500</v>
      </c>
      <c r="CP69" s="230">
        <v>680400</v>
      </c>
      <c r="CQ69" s="229">
        <v>1.7999999999999999E-2</v>
      </c>
      <c r="CR69" s="230">
        <v>28876050</v>
      </c>
      <c r="CS69" s="230">
        <v>29288700</v>
      </c>
      <c r="CT69" s="230">
        <v>-412650</v>
      </c>
      <c r="CU69" s="229">
        <v>-1.41E-2</v>
      </c>
      <c r="CV69" s="230">
        <v>176863050</v>
      </c>
      <c r="CW69" s="230">
        <v>173398050</v>
      </c>
      <c r="CX69" s="230">
        <v>3465000</v>
      </c>
      <c r="CY69" s="229">
        <v>0.02</v>
      </c>
      <c r="CZ69" s="228">
        <v>23.5</v>
      </c>
      <c r="DA69" s="228">
        <v>23.31</v>
      </c>
      <c r="DB69" s="228">
        <v>0.19</v>
      </c>
      <c r="DC69" s="228">
        <v>0.19</v>
      </c>
      <c r="DD69" s="228">
        <v>38.54</v>
      </c>
      <c r="DE69" s="228">
        <v>38.57</v>
      </c>
      <c r="DF69" s="228">
        <v>-15.04</v>
      </c>
      <c r="DG69" s="228">
        <v>-0.03</v>
      </c>
      <c r="DH69" s="228">
        <v>23.49</v>
      </c>
      <c r="DI69" s="228">
        <v>23.41</v>
      </c>
      <c r="DJ69" s="228">
        <v>0.08</v>
      </c>
      <c r="DK69" s="228">
        <v>0.08</v>
      </c>
      <c r="DL69" s="228">
        <v>23.52</v>
      </c>
      <c r="DM69" s="228">
        <v>23.07</v>
      </c>
      <c r="DN69" s="228">
        <v>0.45</v>
      </c>
      <c r="DO69" s="228">
        <v>0.45</v>
      </c>
      <c r="DP69" s="228">
        <v>0.75</v>
      </c>
      <c r="DQ69" s="228">
        <v>0.77</v>
      </c>
      <c r="DR69" s="228">
        <v>-0.02</v>
      </c>
      <c r="DS69" s="229">
        <v>-2.5999999999999999E-2</v>
      </c>
      <c r="DT69" s="228">
        <v>180</v>
      </c>
      <c r="DU69" s="228">
        <v>180</v>
      </c>
      <c r="DV69" s="228">
        <v>0.38</v>
      </c>
      <c r="DW69" s="228">
        <v>0.42</v>
      </c>
      <c r="DX69" s="228">
        <v>-0.04</v>
      </c>
      <c r="DY69" s="229">
        <v>-9.5200000000000007E-2</v>
      </c>
      <c r="DZ69" s="229">
        <v>7.9600000000000004E-2</v>
      </c>
      <c r="EA69" s="230">
        <v>6687450</v>
      </c>
      <c r="EB69" s="229">
        <v>6.3E-3</v>
      </c>
      <c r="EC69" s="229">
        <v>7.9600000000000004E-2</v>
      </c>
      <c r="ED69" s="228">
        <v>0.96</v>
      </c>
      <c r="EE69" s="229">
        <v>5.4000000000000003E-3</v>
      </c>
      <c r="EF69" s="230">
        <v>5271729</v>
      </c>
      <c r="EG69" s="230">
        <v>3810970</v>
      </c>
      <c r="EH69" s="229">
        <v>0.38329999999999997</v>
      </c>
      <c r="EI69" s="229">
        <v>0.45429999999999998</v>
      </c>
      <c r="EJ69" s="231">
        <v>133544.03</v>
      </c>
      <c r="EK69" s="231">
        <v>49859.5</v>
      </c>
      <c r="EL69" s="231">
        <v>36198.620000000003</v>
      </c>
      <c r="EM69" s="228">
        <v>0</v>
      </c>
      <c r="EN69" s="231">
        <v>219602.15</v>
      </c>
      <c r="EO69" s="231">
        <v>122730.56</v>
      </c>
      <c r="EP69" s="231">
        <v>96871.59</v>
      </c>
      <c r="EQ69" s="229">
        <v>0.7893</v>
      </c>
      <c r="ER69" s="231">
        <v>71553</v>
      </c>
      <c r="ES69" s="231">
        <v>51904</v>
      </c>
      <c r="ET69" s="231">
        <v>195156</v>
      </c>
      <c r="EU69" s="231">
        <v>628470345</v>
      </c>
      <c r="EV69" s="231">
        <v>318613</v>
      </c>
      <c r="EW69" s="231">
        <v>309228</v>
      </c>
      <c r="EX69" s="231">
        <v>9385</v>
      </c>
      <c r="EY69" s="229">
        <v>3.0300000000000001E-2</v>
      </c>
      <c r="EZ69" s="229">
        <v>0.28139999999999998</v>
      </c>
      <c r="FA69" s="227" t="s">
        <v>555</v>
      </c>
      <c r="FB69" s="161">
        <f t="shared" si="1"/>
        <v>8719200</v>
      </c>
    </row>
    <row r="70" spans="1:158" ht="17.25" hidden="1" thickBot="1" x14ac:dyDescent="0.3">
      <c r="A70" s="226">
        <v>45889</v>
      </c>
      <c r="B70" s="227" t="s">
        <v>170</v>
      </c>
      <c r="C70" s="227" t="s">
        <v>214</v>
      </c>
      <c r="D70" s="228">
        <v>375</v>
      </c>
      <c r="E70" s="231">
        <v>1929.5</v>
      </c>
      <c r="F70" s="231">
        <v>1949.8</v>
      </c>
      <c r="G70" s="228">
        <v>-20.3</v>
      </c>
      <c r="H70" s="229">
        <v>-1.04E-2</v>
      </c>
      <c r="I70" s="231">
        <v>1924</v>
      </c>
      <c r="J70" s="231">
        <v>1945.8</v>
      </c>
      <c r="K70" s="228">
        <v>-21.8</v>
      </c>
      <c r="L70" s="229">
        <v>-1.12E-2</v>
      </c>
      <c r="M70" s="231">
        <v>1929.5</v>
      </c>
      <c r="N70" s="231">
        <v>1949.8</v>
      </c>
      <c r="O70" s="228">
        <v>-20.3</v>
      </c>
      <c r="P70" s="229">
        <v>-1.04E-2</v>
      </c>
      <c r="Q70" s="231">
        <v>1939</v>
      </c>
      <c r="R70" s="231">
        <v>1959.3</v>
      </c>
      <c r="S70" s="228">
        <v>-20.3</v>
      </c>
      <c r="T70" s="229">
        <v>-1.04E-2</v>
      </c>
      <c r="U70" s="231">
        <v>1948</v>
      </c>
      <c r="V70" s="231">
        <v>1970.4</v>
      </c>
      <c r="W70" s="228">
        <v>-22.4</v>
      </c>
      <c r="X70" s="229">
        <v>-1.14E-2</v>
      </c>
      <c r="Y70" s="228">
        <v>5.5</v>
      </c>
      <c r="Z70" s="228">
        <v>4</v>
      </c>
      <c r="AA70" s="228">
        <v>1.5</v>
      </c>
      <c r="AB70" s="229">
        <v>2.8999999999999998E-3</v>
      </c>
      <c r="AC70" s="228">
        <v>5.5</v>
      </c>
      <c r="AD70" s="228">
        <v>4</v>
      </c>
      <c r="AE70" s="228">
        <v>1.5</v>
      </c>
      <c r="AF70" s="229">
        <v>2.8999999999999998E-3</v>
      </c>
      <c r="AG70" s="228">
        <v>15</v>
      </c>
      <c r="AH70" s="228">
        <v>13.5</v>
      </c>
      <c r="AI70" s="228">
        <v>1.5</v>
      </c>
      <c r="AJ70" s="229">
        <v>7.7999999999999996E-3</v>
      </c>
      <c r="AK70" s="228">
        <v>24</v>
      </c>
      <c r="AL70" s="228">
        <v>24.6</v>
      </c>
      <c r="AM70" s="228">
        <v>-0.6</v>
      </c>
      <c r="AN70" s="229">
        <v>1.2500000000000001E-2</v>
      </c>
      <c r="AO70" s="231">
        <v>1942.4</v>
      </c>
      <c r="AP70" s="231">
        <v>1948.6</v>
      </c>
      <c r="AQ70" s="228">
        <v>0</v>
      </c>
      <c r="AR70" s="230">
        <v>1087500</v>
      </c>
      <c r="AS70" s="230">
        <v>2448000</v>
      </c>
      <c r="AT70" s="230">
        <v>-1360500</v>
      </c>
      <c r="AU70" s="229">
        <v>-0.55579999999999996</v>
      </c>
      <c r="AV70" s="230">
        <v>805125</v>
      </c>
      <c r="AW70" s="230">
        <v>2084250</v>
      </c>
      <c r="AX70" s="230">
        <v>-1279125</v>
      </c>
      <c r="AY70" s="229">
        <v>-0.61370000000000002</v>
      </c>
      <c r="AZ70" s="230">
        <v>270375</v>
      </c>
      <c r="BA70" s="230">
        <v>353250</v>
      </c>
      <c r="BB70" s="230">
        <v>-82875</v>
      </c>
      <c r="BC70" s="229">
        <v>-0.2346</v>
      </c>
      <c r="BD70" s="230">
        <v>12000</v>
      </c>
      <c r="BE70" s="230">
        <v>10500</v>
      </c>
      <c r="BF70" s="230">
        <v>1500</v>
      </c>
      <c r="BG70" s="229">
        <v>0.1429</v>
      </c>
      <c r="BH70" s="230">
        <v>3829875</v>
      </c>
      <c r="BI70" s="230">
        <v>7696125</v>
      </c>
      <c r="BJ70" s="230">
        <v>-3866250</v>
      </c>
      <c r="BK70" s="229">
        <v>-0.50239999999999996</v>
      </c>
      <c r="BL70" s="230">
        <v>1967625</v>
      </c>
      <c r="BM70" s="230">
        <v>6372375</v>
      </c>
      <c r="BN70" s="230">
        <v>-4404750</v>
      </c>
      <c r="BO70" s="229">
        <v>-0.69120000000000004</v>
      </c>
      <c r="BP70" s="230">
        <v>6885000</v>
      </c>
      <c r="BQ70" s="230">
        <v>16516500</v>
      </c>
      <c r="BR70" s="230">
        <v>-9631500</v>
      </c>
      <c r="BS70" s="229">
        <v>-0.58309999999999995</v>
      </c>
      <c r="BT70" s="230">
        <v>1257067</v>
      </c>
      <c r="BU70" s="230">
        <v>1007645</v>
      </c>
      <c r="BV70" s="230">
        <v>249422</v>
      </c>
      <c r="BW70" s="229">
        <v>0.2475</v>
      </c>
      <c r="BX70" s="230">
        <v>8004000</v>
      </c>
      <c r="BY70" s="230">
        <v>7981500</v>
      </c>
      <c r="BZ70" s="230">
        <v>22500</v>
      </c>
      <c r="CA70" s="229">
        <v>2.8E-3</v>
      </c>
      <c r="CB70" s="230">
        <v>7629750</v>
      </c>
      <c r="CC70" s="230">
        <v>7670250</v>
      </c>
      <c r="CD70" s="230">
        <v>-40500</v>
      </c>
      <c r="CE70" s="229">
        <v>-5.3E-3</v>
      </c>
      <c r="CF70" s="230">
        <v>352500</v>
      </c>
      <c r="CG70" s="230">
        <v>293625</v>
      </c>
      <c r="CH70" s="230">
        <v>58875</v>
      </c>
      <c r="CI70" s="229">
        <v>0.20050000000000001</v>
      </c>
      <c r="CJ70" s="230">
        <v>21750</v>
      </c>
      <c r="CK70" s="230">
        <v>17625</v>
      </c>
      <c r="CL70" s="230">
        <v>4125</v>
      </c>
      <c r="CM70" s="229">
        <v>0.23400000000000001</v>
      </c>
      <c r="CN70" s="230">
        <v>3963000</v>
      </c>
      <c r="CO70" s="230">
        <v>3670875</v>
      </c>
      <c r="CP70" s="230">
        <v>292125</v>
      </c>
      <c r="CQ70" s="229">
        <v>7.9600000000000004E-2</v>
      </c>
      <c r="CR70" s="230">
        <v>1843125</v>
      </c>
      <c r="CS70" s="230">
        <v>2078250</v>
      </c>
      <c r="CT70" s="230">
        <v>-235125</v>
      </c>
      <c r="CU70" s="229">
        <v>-0.11310000000000001</v>
      </c>
      <c r="CV70" s="230">
        <v>13810125</v>
      </c>
      <c r="CW70" s="230">
        <v>13730625</v>
      </c>
      <c r="CX70" s="230">
        <v>79500</v>
      </c>
      <c r="CY70" s="229">
        <v>5.7999999999999996E-3</v>
      </c>
      <c r="CZ70" s="228">
        <v>31.56</v>
      </c>
      <c r="DA70" s="228">
        <v>31.5</v>
      </c>
      <c r="DB70" s="228">
        <v>0.06</v>
      </c>
      <c r="DC70" s="228">
        <v>0.06</v>
      </c>
      <c r="DD70" s="228">
        <v>39.96</v>
      </c>
      <c r="DE70" s="228">
        <v>40.03</v>
      </c>
      <c r="DF70" s="228">
        <v>-8.4</v>
      </c>
      <c r="DG70" s="228">
        <v>-7.0000000000000007E-2</v>
      </c>
      <c r="DH70" s="228">
        <v>32.71</v>
      </c>
      <c r="DI70" s="228">
        <v>31.74</v>
      </c>
      <c r="DJ70" s="228">
        <v>0.97</v>
      </c>
      <c r="DK70" s="228">
        <v>0.97</v>
      </c>
      <c r="DL70" s="228">
        <v>29.32</v>
      </c>
      <c r="DM70" s="228">
        <v>31.2</v>
      </c>
      <c r="DN70" s="228">
        <v>-1.88</v>
      </c>
      <c r="DO70" s="228">
        <v>-1.88</v>
      </c>
      <c r="DP70" s="228">
        <v>0.47</v>
      </c>
      <c r="DQ70" s="228">
        <v>0.56999999999999995</v>
      </c>
      <c r="DR70" s="228">
        <v>-0.1</v>
      </c>
      <c r="DS70" s="229">
        <v>-0.1754</v>
      </c>
      <c r="DT70" s="231">
        <v>2040</v>
      </c>
      <c r="DU70" s="231">
        <v>1900</v>
      </c>
      <c r="DV70" s="228">
        <v>0.51</v>
      </c>
      <c r="DW70" s="228">
        <v>0.83</v>
      </c>
      <c r="DX70" s="228">
        <v>-0.32</v>
      </c>
      <c r="DY70" s="229">
        <v>-0.38550000000000001</v>
      </c>
      <c r="DZ70" s="229">
        <v>4.6800000000000001E-2</v>
      </c>
      <c r="EA70" s="230">
        <v>311250</v>
      </c>
      <c r="EB70" s="229">
        <v>4.8999999999999998E-3</v>
      </c>
      <c r="EC70" s="229">
        <v>4.6800000000000001E-2</v>
      </c>
      <c r="ED70" s="228">
        <v>6.2</v>
      </c>
      <c r="EE70" s="229">
        <v>3.2000000000000002E-3</v>
      </c>
      <c r="EF70" s="230">
        <v>951572</v>
      </c>
      <c r="EG70" s="230">
        <v>475662</v>
      </c>
      <c r="EH70" s="229">
        <v>1.0004999999999999</v>
      </c>
      <c r="EI70" s="229">
        <v>0.75700000000000001</v>
      </c>
      <c r="EJ70" s="231">
        <v>78435.789999999994</v>
      </c>
      <c r="EK70" s="231">
        <v>38407.040000000001</v>
      </c>
      <c r="EL70" s="231">
        <v>21142.2</v>
      </c>
      <c r="EM70" s="228">
        <v>0</v>
      </c>
      <c r="EN70" s="231">
        <v>137985.03</v>
      </c>
      <c r="EO70" s="231">
        <v>331095.78000000003</v>
      </c>
      <c r="EP70" s="231">
        <v>-193110.75</v>
      </c>
      <c r="EQ70" s="229">
        <v>-0.58320000000000005</v>
      </c>
      <c r="ER70" s="231">
        <v>82567</v>
      </c>
      <c r="ES70" s="231">
        <v>35745</v>
      </c>
      <c r="ET70" s="231">
        <v>154475</v>
      </c>
      <c r="EU70" s="231">
        <v>30113574</v>
      </c>
      <c r="EV70" s="231">
        <v>272786</v>
      </c>
      <c r="EW70" s="231">
        <v>272911</v>
      </c>
      <c r="EX70" s="228">
        <v>-125</v>
      </c>
      <c r="EY70" s="229">
        <v>-5.0000000000000001E-4</v>
      </c>
      <c r="EZ70" s="229">
        <v>0.45860000000000001</v>
      </c>
      <c r="FA70" s="227" t="s">
        <v>567</v>
      </c>
      <c r="FB70" s="161">
        <f t="shared" si="1"/>
        <v>374250</v>
      </c>
    </row>
    <row r="71" spans="1:158" ht="17.25" hidden="1" thickBot="1" x14ac:dyDescent="0.3">
      <c r="A71" s="226">
        <v>45889</v>
      </c>
      <c r="B71" s="227" t="s">
        <v>215</v>
      </c>
      <c r="C71" s="227" t="s">
        <v>632</v>
      </c>
      <c r="D71" s="228">
        <v>6975</v>
      </c>
      <c r="E71" s="228">
        <v>91.28</v>
      </c>
      <c r="F71" s="228">
        <v>90.77</v>
      </c>
      <c r="G71" s="228">
        <v>0.51</v>
      </c>
      <c r="H71" s="229">
        <v>5.5999999999999999E-3</v>
      </c>
      <c r="I71" s="228">
        <v>91.01</v>
      </c>
      <c r="J71" s="228">
        <v>90.44</v>
      </c>
      <c r="K71" s="228">
        <v>0.56999999999999995</v>
      </c>
      <c r="L71" s="229">
        <v>6.3E-3</v>
      </c>
      <c r="M71" s="228">
        <v>91.28</v>
      </c>
      <c r="N71" s="228">
        <v>90.77</v>
      </c>
      <c r="O71" s="228">
        <v>0.51</v>
      </c>
      <c r="P71" s="229">
        <v>5.5999999999999999E-3</v>
      </c>
      <c r="Q71" s="228">
        <v>91.78</v>
      </c>
      <c r="R71" s="228">
        <v>91.25</v>
      </c>
      <c r="S71" s="228">
        <v>0.53</v>
      </c>
      <c r="T71" s="229">
        <v>5.7999999999999996E-3</v>
      </c>
      <c r="U71" s="228">
        <v>92.21</v>
      </c>
      <c r="V71" s="228">
        <v>91.71</v>
      </c>
      <c r="W71" s="228">
        <v>0.5</v>
      </c>
      <c r="X71" s="229">
        <v>5.4999999999999997E-3</v>
      </c>
      <c r="Y71" s="228">
        <v>0.27</v>
      </c>
      <c r="Z71" s="228">
        <v>0.33</v>
      </c>
      <c r="AA71" s="228">
        <v>-0.06</v>
      </c>
      <c r="AB71" s="229">
        <v>3.0000000000000001E-3</v>
      </c>
      <c r="AC71" s="228">
        <v>0.27</v>
      </c>
      <c r="AD71" s="228">
        <v>0.33</v>
      </c>
      <c r="AE71" s="228">
        <v>-0.06</v>
      </c>
      <c r="AF71" s="229">
        <v>3.0000000000000001E-3</v>
      </c>
      <c r="AG71" s="228">
        <v>0.77</v>
      </c>
      <c r="AH71" s="228">
        <v>0.81</v>
      </c>
      <c r="AI71" s="228">
        <v>-0.04</v>
      </c>
      <c r="AJ71" s="229">
        <v>8.5000000000000006E-3</v>
      </c>
      <c r="AK71" s="228">
        <v>1.2</v>
      </c>
      <c r="AL71" s="228">
        <v>1.27</v>
      </c>
      <c r="AM71" s="228">
        <v>-7.0000000000000007E-2</v>
      </c>
      <c r="AN71" s="229">
        <v>1.32E-2</v>
      </c>
      <c r="AO71" s="228">
        <v>91.29</v>
      </c>
      <c r="AP71" s="228">
        <v>91.79</v>
      </c>
      <c r="AQ71" s="228">
        <v>0</v>
      </c>
      <c r="AR71" s="230">
        <v>23296500</v>
      </c>
      <c r="AS71" s="230">
        <v>15903000</v>
      </c>
      <c r="AT71" s="230">
        <v>7393500</v>
      </c>
      <c r="AU71" s="229">
        <v>0.46489999999999998</v>
      </c>
      <c r="AV71" s="230">
        <v>16572600</v>
      </c>
      <c r="AW71" s="230">
        <v>10581075</v>
      </c>
      <c r="AX71" s="230">
        <v>5991525</v>
      </c>
      <c r="AY71" s="229">
        <v>0.56620000000000004</v>
      </c>
      <c r="AZ71" s="230">
        <v>6061275</v>
      </c>
      <c r="BA71" s="230">
        <v>5001075</v>
      </c>
      <c r="BB71" s="230">
        <v>1060200</v>
      </c>
      <c r="BC71" s="229">
        <v>0.21199999999999999</v>
      </c>
      <c r="BD71" s="230">
        <v>662625</v>
      </c>
      <c r="BE71" s="230">
        <v>320850</v>
      </c>
      <c r="BF71" s="230">
        <v>341775</v>
      </c>
      <c r="BG71" s="229">
        <v>1.0651999999999999</v>
      </c>
      <c r="BH71" s="230">
        <v>55088550</v>
      </c>
      <c r="BI71" s="230">
        <v>25863300</v>
      </c>
      <c r="BJ71" s="230">
        <v>29225250</v>
      </c>
      <c r="BK71" s="229">
        <v>1.1299999999999999</v>
      </c>
      <c r="BL71" s="230">
        <v>19523025</v>
      </c>
      <c r="BM71" s="230">
        <v>16705125</v>
      </c>
      <c r="BN71" s="230">
        <v>2817900</v>
      </c>
      <c r="BO71" s="229">
        <v>0.16869999999999999</v>
      </c>
      <c r="BP71" s="230">
        <v>97908075</v>
      </c>
      <c r="BQ71" s="230">
        <v>58471425</v>
      </c>
      <c r="BR71" s="230">
        <v>39436650</v>
      </c>
      <c r="BS71" s="229">
        <v>0.67449999999999999</v>
      </c>
      <c r="BT71" s="230">
        <v>6498605</v>
      </c>
      <c r="BU71" s="230">
        <v>5846344</v>
      </c>
      <c r="BV71" s="230">
        <v>652261</v>
      </c>
      <c r="BW71" s="229">
        <v>0.1116</v>
      </c>
      <c r="BX71" s="230">
        <v>190508175</v>
      </c>
      <c r="BY71" s="230">
        <v>190647675</v>
      </c>
      <c r="BZ71" s="230">
        <v>-139500</v>
      </c>
      <c r="CA71" s="229">
        <v>-6.9999999999999999E-4</v>
      </c>
      <c r="CB71" s="230">
        <v>175232925</v>
      </c>
      <c r="CC71" s="230">
        <v>178315875</v>
      </c>
      <c r="CD71" s="230">
        <v>-3082950</v>
      </c>
      <c r="CE71" s="229">
        <v>-1.7299999999999999E-2</v>
      </c>
      <c r="CF71" s="230">
        <v>14298750</v>
      </c>
      <c r="CG71" s="230">
        <v>11697075</v>
      </c>
      <c r="CH71" s="230">
        <v>2601675</v>
      </c>
      <c r="CI71" s="229">
        <v>0.22239999999999999</v>
      </c>
      <c r="CJ71" s="230">
        <v>976500</v>
      </c>
      <c r="CK71" s="230">
        <v>634725</v>
      </c>
      <c r="CL71" s="230">
        <v>341775</v>
      </c>
      <c r="CM71" s="229">
        <v>0.53849999999999998</v>
      </c>
      <c r="CN71" s="230">
        <v>68550300</v>
      </c>
      <c r="CO71" s="230">
        <v>67929525</v>
      </c>
      <c r="CP71" s="230">
        <v>620775</v>
      </c>
      <c r="CQ71" s="229">
        <v>9.1000000000000004E-3</v>
      </c>
      <c r="CR71" s="230">
        <v>34177500</v>
      </c>
      <c r="CS71" s="230">
        <v>34303050</v>
      </c>
      <c r="CT71" s="230">
        <v>-125550</v>
      </c>
      <c r="CU71" s="229">
        <v>-3.7000000000000002E-3</v>
      </c>
      <c r="CV71" s="230">
        <v>293235975</v>
      </c>
      <c r="CW71" s="230">
        <v>292880250</v>
      </c>
      <c r="CX71" s="230">
        <v>355725</v>
      </c>
      <c r="CY71" s="229">
        <v>1.1999999999999999E-3</v>
      </c>
      <c r="CZ71" s="228">
        <v>24.05</v>
      </c>
      <c r="DA71" s="228">
        <v>25.15</v>
      </c>
      <c r="DB71" s="228">
        <v>-1.1000000000000001</v>
      </c>
      <c r="DC71" s="228">
        <v>-1.1000000000000001</v>
      </c>
      <c r="DD71" s="228">
        <v>39.28</v>
      </c>
      <c r="DE71" s="228">
        <v>39.380000000000003</v>
      </c>
      <c r="DF71" s="228">
        <v>-15.23</v>
      </c>
      <c r="DG71" s="228">
        <v>-0.1</v>
      </c>
      <c r="DH71" s="228">
        <v>24.52</v>
      </c>
      <c r="DI71" s="228">
        <v>25.71</v>
      </c>
      <c r="DJ71" s="228">
        <v>-1.19</v>
      </c>
      <c r="DK71" s="228">
        <v>-1.19</v>
      </c>
      <c r="DL71" s="228">
        <v>22.7</v>
      </c>
      <c r="DM71" s="228">
        <v>24.29</v>
      </c>
      <c r="DN71" s="228">
        <v>-1.59</v>
      </c>
      <c r="DO71" s="228">
        <v>-1.59</v>
      </c>
      <c r="DP71" s="228">
        <v>0.5</v>
      </c>
      <c r="DQ71" s="228">
        <v>0.5</v>
      </c>
      <c r="DR71" s="228">
        <v>0</v>
      </c>
      <c r="DS71" s="229">
        <v>0</v>
      </c>
      <c r="DT71" s="228">
        <v>95</v>
      </c>
      <c r="DU71" s="228">
        <v>90</v>
      </c>
      <c r="DV71" s="228">
        <v>0.35</v>
      </c>
      <c r="DW71" s="228">
        <v>0.65</v>
      </c>
      <c r="DX71" s="228">
        <v>-0.3</v>
      </c>
      <c r="DY71" s="229">
        <v>-0.46150000000000002</v>
      </c>
      <c r="DZ71" s="229">
        <v>8.0199999999999994E-2</v>
      </c>
      <c r="EA71" s="230">
        <v>12331800</v>
      </c>
      <c r="EB71" s="229">
        <v>5.4999999999999997E-3</v>
      </c>
      <c r="EC71" s="229">
        <v>8.0199999999999994E-2</v>
      </c>
      <c r="ED71" s="228">
        <v>0.5</v>
      </c>
      <c r="EE71" s="229">
        <v>5.4999999999999997E-3</v>
      </c>
      <c r="EF71" s="230">
        <v>3328771</v>
      </c>
      <c r="EG71" s="230">
        <v>2812165</v>
      </c>
      <c r="EH71" s="229">
        <v>0.1837</v>
      </c>
      <c r="EI71" s="229">
        <v>0.51219999999999999</v>
      </c>
      <c r="EJ71" s="231">
        <v>51757.81</v>
      </c>
      <c r="EK71" s="231">
        <v>17776.14</v>
      </c>
      <c r="EL71" s="231">
        <v>21302.45</v>
      </c>
      <c r="EM71" s="228">
        <v>0</v>
      </c>
      <c r="EN71" s="231">
        <v>90836.4</v>
      </c>
      <c r="EO71" s="231">
        <v>53503.49</v>
      </c>
      <c r="EP71" s="231">
        <v>37332.910000000003</v>
      </c>
      <c r="EQ71" s="229">
        <v>0.69779999999999998</v>
      </c>
      <c r="ER71" s="231">
        <v>64948</v>
      </c>
      <c r="ES71" s="231">
        <v>30166</v>
      </c>
      <c r="ET71" s="231">
        <v>173976</v>
      </c>
      <c r="EU71" s="231">
        <v>712939229</v>
      </c>
      <c r="EV71" s="231">
        <v>269091</v>
      </c>
      <c r="EW71" s="231">
        <v>267756</v>
      </c>
      <c r="EX71" s="231">
        <v>1335</v>
      </c>
      <c r="EY71" s="229">
        <v>5.0000000000000001E-3</v>
      </c>
      <c r="EZ71" s="229">
        <v>0.4113</v>
      </c>
      <c r="FA71" s="227" t="s">
        <v>556</v>
      </c>
      <c r="FB71" s="161">
        <f t="shared" si="1"/>
        <v>15275250</v>
      </c>
    </row>
    <row r="72" spans="1:158" ht="17.25" hidden="1" thickBot="1" x14ac:dyDescent="0.3">
      <c r="A72" s="226">
        <v>45889</v>
      </c>
      <c r="B72" s="227" t="s">
        <v>168</v>
      </c>
      <c r="C72" s="227" t="s">
        <v>217</v>
      </c>
      <c r="D72" s="228">
        <v>500</v>
      </c>
      <c r="E72" s="231">
        <v>1250.5999999999999</v>
      </c>
      <c r="F72" s="231">
        <v>1223.0999999999999</v>
      </c>
      <c r="G72" s="228">
        <v>27.5</v>
      </c>
      <c r="H72" s="229">
        <v>2.2499999999999999E-2</v>
      </c>
      <c r="I72" s="231">
        <v>1246.9000000000001</v>
      </c>
      <c r="J72" s="231">
        <v>1218.7</v>
      </c>
      <c r="K72" s="228">
        <v>28.2</v>
      </c>
      <c r="L72" s="229">
        <v>2.3099999999999999E-2</v>
      </c>
      <c r="M72" s="231">
        <v>1250.5999999999999</v>
      </c>
      <c r="N72" s="231">
        <v>1223.0999999999999</v>
      </c>
      <c r="O72" s="228">
        <v>27.5</v>
      </c>
      <c r="P72" s="229">
        <v>2.2499999999999999E-2</v>
      </c>
      <c r="Q72" s="231">
        <v>1257.4000000000001</v>
      </c>
      <c r="R72" s="231">
        <v>1229.5</v>
      </c>
      <c r="S72" s="228">
        <v>27.9</v>
      </c>
      <c r="T72" s="229">
        <v>2.2700000000000001E-2</v>
      </c>
      <c r="U72" s="231">
        <v>1261</v>
      </c>
      <c r="V72" s="231">
        <v>1218.8</v>
      </c>
      <c r="W72" s="228">
        <v>42.2</v>
      </c>
      <c r="X72" s="229">
        <v>3.4599999999999999E-2</v>
      </c>
      <c r="Y72" s="228">
        <v>3.7</v>
      </c>
      <c r="Z72" s="228">
        <v>4.4000000000000004</v>
      </c>
      <c r="AA72" s="228">
        <v>-0.7</v>
      </c>
      <c r="AB72" s="229">
        <v>3.0000000000000001E-3</v>
      </c>
      <c r="AC72" s="228">
        <v>3.7</v>
      </c>
      <c r="AD72" s="228">
        <v>4.4000000000000004</v>
      </c>
      <c r="AE72" s="228">
        <v>-0.7</v>
      </c>
      <c r="AF72" s="229">
        <v>3.0000000000000001E-3</v>
      </c>
      <c r="AG72" s="228">
        <v>10.5</v>
      </c>
      <c r="AH72" s="228">
        <v>10.8</v>
      </c>
      <c r="AI72" s="228">
        <v>-0.3</v>
      </c>
      <c r="AJ72" s="229">
        <v>8.3999999999999995E-3</v>
      </c>
      <c r="AK72" s="228">
        <v>14.1</v>
      </c>
      <c r="AL72" s="228">
        <v>0.1</v>
      </c>
      <c r="AM72" s="228">
        <v>14</v>
      </c>
      <c r="AN72" s="229">
        <v>1.1299999999999999E-2</v>
      </c>
      <c r="AO72" s="231">
        <v>1244.19</v>
      </c>
      <c r="AP72" s="231">
        <v>1248.6600000000001</v>
      </c>
      <c r="AQ72" s="228">
        <v>0</v>
      </c>
      <c r="AR72" s="230">
        <v>2354500</v>
      </c>
      <c r="AS72" s="230">
        <v>1411000</v>
      </c>
      <c r="AT72" s="230">
        <v>943500</v>
      </c>
      <c r="AU72" s="229">
        <v>0.66869999999999996</v>
      </c>
      <c r="AV72" s="230">
        <v>1929000</v>
      </c>
      <c r="AW72" s="230">
        <v>1145500</v>
      </c>
      <c r="AX72" s="230">
        <v>783500</v>
      </c>
      <c r="AY72" s="229">
        <v>0.68400000000000005</v>
      </c>
      <c r="AZ72" s="230">
        <v>423500</v>
      </c>
      <c r="BA72" s="230">
        <v>265000</v>
      </c>
      <c r="BB72" s="230">
        <v>158500</v>
      </c>
      <c r="BC72" s="229">
        <v>0.59809999999999997</v>
      </c>
      <c r="BD72" s="230">
        <v>2000</v>
      </c>
      <c r="BE72" s="228">
        <v>500</v>
      </c>
      <c r="BF72" s="230">
        <v>1500</v>
      </c>
      <c r="BG72" s="229">
        <v>3</v>
      </c>
      <c r="BH72" s="230">
        <v>10459500</v>
      </c>
      <c r="BI72" s="230">
        <v>2112500</v>
      </c>
      <c r="BJ72" s="230">
        <v>8347000</v>
      </c>
      <c r="BK72" s="229">
        <v>3.9512</v>
      </c>
      <c r="BL72" s="230">
        <v>2303500</v>
      </c>
      <c r="BM72" s="230">
        <v>670500</v>
      </c>
      <c r="BN72" s="230">
        <v>1633000</v>
      </c>
      <c r="BO72" s="229">
        <v>2.4355000000000002</v>
      </c>
      <c r="BP72" s="230">
        <v>15117500</v>
      </c>
      <c r="BQ72" s="230">
        <v>4194000</v>
      </c>
      <c r="BR72" s="230">
        <v>10923500</v>
      </c>
      <c r="BS72" s="229">
        <v>2.6046</v>
      </c>
      <c r="BT72" s="230">
        <v>1031705</v>
      </c>
      <c r="BU72" s="230">
        <v>1165152</v>
      </c>
      <c r="BV72" s="230">
        <v>-133447</v>
      </c>
      <c r="BW72" s="229">
        <v>-0.1145</v>
      </c>
      <c r="BX72" s="230">
        <v>8819500</v>
      </c>
      <c r="BY72" s="230">
        <v>8570500</v>
      </c>
      <c r="BZ72" s="230">
        <v>249000</v>
      </c>
      <c r="CA72" s="229">
        <v>2.9100000000000001E-2</v>
      </c>
      <c r="CB72" s="230">
        <v>8023000</v>
      </c>
      <c r="CC72" s="230">
        <v>7930000</v>
      </c>
      <c r="CD72" s="230">
        <v>93000</v>
      </c>
      <c r="CE72" s="229">
        <v>1.17E-2</v>
      </c>
      <c r="CF72" s="230">
        <v>789000</v>
      </c>
      <c r="CG72" s="230">
        <v>633500</v>
      </c>
      <c r="CH72" s="230">
        <v>155500</v>
      </c>
      <c r="CI72" s="229">
        <v>0.2455</v>
      </c>
      <c r="CJ72" s="230">
        <v>7500</v>
      </c>
      <c r="CK72" s="230">
        <v>7000</v>
      </c>
      <c r="CL72" s="228">
        <v>500</v>
      </c>
      <c r="CM72" s="229">
        <v>7.1400000000000005E-2</v>
      </c>
      <c r="CN72" s="230">
        <v>2302000</v>
      </c>
      <c r="CO72" s="230">
        <v>2224500</v>
      </c>
      <c r="CP72" s="230">
        <v>77500</v>
      </c>
      <c r="CQ72" s="229">
        <v>3.4799999999999998E-2</v>
      </c>
      <c r="CR72" s="230">
        <v>1505000</v>
      </c>
      <c r="CS72" s="230">
        <v>1360500</v>
      </c>
      <c r="CT72" s="230">
        <v>144500</v>
      </c>
      <c r="CU72" s="229">
        <v>0.1062</v>
      </c>
      <c r="CV72" s="230">
        <v>12626500</v>
      </c>
      <c r="CW72" s="230">
        <v>12155500</v>
      </c>
      <c r="CX72" s="230">
        <v>471000</v>
      </c>
      <c r="CY72" s="229">
        <v>3.8699999999999998E-2</v>
      </c>
      <c r="CZ72" s="228">
        <v>22.97</v>
      </c>
      <c r="DA72" s="228">
        <v>22.62</v>
      </c>
      <c r="DB72" s="228">
        <v>0.35</v>
      </c>
      <c r="DC72" s="228">
        <v>0.35</v>
      </c>
      <c r="DD72" s="228">
        <v>31.2</v>
      </c>
      <c r="DE72" s="228">
        <v>31.12</v>
      </c>
      <c r="DF72" s="228">
        <v>-8.23</v>
      </c>
      <c r="DG72" s="228">
        <v>0.08</v>
      </c>
      <c r="DH72" s="228">
        <v>22.85</v>
      </c>
      <c r="DI72" s="228">
        <v>22.59</v>
      </c>
      <c r="DJ72" s="228">
        <v>0.26</v>
      </c>
      <c r="DK72" s="228">
        <v>0.26</v>
      </c>
      <c r="DL72" s="228">
        <v>23.49</v>
      </c>
      <c r="DM72" s="228">
        <v>22.72</v>
      </c>
      <c r="DN72" s="228">
        <v>0.77</v>
      </c>
      <c r="DO72" s="228">
        <v>0.77</v>
      </c>
      <c r="DP72" s="228">
        <v>0.65</v>
      </c>
      <c r="DQ72" s="228">
        <v>0.61</v>
      </c>
      <c r="DR72" s="228">
        <v>0.04</v>
      </c>
      <c r="DS72" s="229">
        <v>6.5600000000000006E-2</v>
      </c>
      <c r="DT72" s="231">
        <v>1300</v>
      </c>
      <c r="DU72" s="231">
        <v>1200</v>
      </c>
      <c r="DV72" s="228">
        <v>0.22</v>
      </c>
      <c r="DW72" s="228">
        <v>0.32</v>
      </c>
      <c r="DX72" s="228">
        <v>-0.1</v>
      </c>
      <c r="DY72" s="229">
        <v>-0.3125</v>
      </c>
      <c r="DZ72" s="229">
        <v>9.0300000000000005E-2</v>
      </c>
      <c r="EA72" s="230">
        <v>640500</v>
      </c>
      <c r="EB72" s="229">
        <v>5.4000000000000003E-3</v>
      </c>
      <c r="EC72" s="229">
        <v>9.0300000000000005E-2</v>
      </c>
      <c r="ED72" s="228">
        <v>4.47</v>
      </c>
      <c r="EE72" s="229">
        <v>3.5999999999999999E-3</v>
      </c>
      <c r="EF72" s="230">
        <v>440900</v>
      </c>
      <c r="EG72" s="230">
        <v>795900</v>
      </c>
      <c r="EH72" s="229">
        <v>-0.44600000000000001</v>
      </c>
      <c r="EI72" s="229">
        <v>0.4274</v>
      </c>
      <c r="EJ72" s="231">
        <v>133018.74</v>
      </c>
      <c r="EK72" s="231">
        <v>28439.52</v>
      </c>
      <c r="EL72" s="231">
        <v>29313.71</v>
      </c>
      <c r="EM72" s="228">
        <v>0</v>
      </c>
      <c r="EN72" s="231">
        <v>190771.97</v>
      </c>
      <c r="EO72" s="231">
        <v>51739.55</v>
      </c>
      <c r="EP72" s="231">
        <v>139032.42000000001</v>
      </c>
      <c r="EQ72" s="229">
        <v>2.6871999999999998</v>
      </c>
      <c r="ER72" s="231">
        <v>29351</v>
      </c>
      <c r="ES72" s="231">
        <v>17887</v>
      </c>
      <c r="ET72" s="231">
        <v>110351</v>
      </c>
      <c r="EU72" s="231">
        <v>96028079</v>
      </c>
      <c r="EV72" s="231">
        <v>157589</v>
      </c>
      <c r="EW72" s="231">
        <v>149282</v>
      </c>
      <c r="EX72" s="231">
        <v>8307</v>
      </c>
      <c r="EY72" s="229">
        <v>5.5599999999999997E-2</v>
      </c>
      <c r="EZ72" s="229">
        <v>0.13150000000000001</v>
      </c>
      <c r="FA72" s="227" t="s">
        <v>555</v>
      </c>
      <c r="FB72" s="161">
        <f t="shared" si="1"/>
        <v>796500</v>
      </c>
    </row>
    <row r="73" spans="1:158" ht="17.25" hidden="1" thickBot="1" x14ac:dyDescent="0.3">
      <c r="A73" s="226">
        <v>45889</v>
      </c>
      <c r="B73" s="227" t="s">
        <v>206</v>
      </c>
      <c r="C73" s="227" t="s">
        <v>218</v>
      </c>
      <c r="D73" s="228">
        <v>275</v>
      </c>
      <c r="E73" s="231">
        <v>2041.6</v>
      </c>
      <c r="F73" s="231">
        <v>2017</v>
      </c>
      <c r="G73" s="228">
        <v>24.6</v>
      </c>
      <c r="H73" s="229">
        <v>1.2200000000000001E-2</v>
      </c>
      <c r="I73" s="231">
        <v>2041.8</v>
      </c>
      <c r="J73" s="231">
        <v>2010</v>
      </c>
      <c r="K73" s="228">
        <v>31.8</v>
      </c>
      <c r="L73" s="229">
        <v>1.5800000000000002E-2</v>
      </c>
      <c r="M73" s="231">
        <v>2041.6</v>
      </c>
      <c r="N73" s="231">
        <v>2017</v>
      </c>
      <c r="O73" s="228">
        <v>24.6</v>
      </c>
      <c r="P73" s="229">
        <v>1.2200000000000001E-2</v>
      </c>
      <c r="Q73" s="231">
        <v>2053.1999999999998</v>
      </c>
      <c r="R73" s="231">
        <v>2028.3</v>
      </c>
      <c r="S73" s="228">
        <v>24.9</v>
      </c>
      <c r="T73" s="229">
        <v>1.23E-2</v>
      </c>
      <c r="U73" s="231">
        <v>2062.4</v>
      </c>
      <c r="V73" s="231">
        <v>2038.4</v>
      </c>
      <c r="W73" s="228">
        <v>24</v>
      </c>
      <c r="X73" s="229">
        <v>1.18E-2</v>
      </c>
      <c r="Y73" s="228">
        <v>-0.2</v>
      </c>
      <c r="Z73" s="228">
        <v>7</v>
      </c>
      <c r="AA73" s="228">
        <v>-7.2</v>
      </c>
      <c r="AB73" s="229">
        <v>-1E-4</v>
      </c>
      <c r="AC73" s="228">
        <v>-0.2</v>
      </c>
      <c r="AD73" s="228">
        <v>7</v>
      </c>
      <c r="AE73" s="228">
        <v>-7.2</v>
      </c>
      <c r="AF73" s="229">
        <v>-1E-4</v>
      </c>
      <c r="AG73" s="228">
        <v>11.4</v>
      </c>
      <c r="AH73" s="228">
        <v>18.3</v>
      </c>
      <c r="AI73" s="228">
        <v>-6.9</v>
      </c>
      <c r="AJ73" s="229">
        <v>5.5999999999999999E-3</v>
      </c>
      <c r="AK73" s="228">
        <v>20.6</v>
      </c>
      <c r="AL73" s="228">
        <v>28.4</v>
      </c>
      <c r="AM73" s="228">
        <v>-7.8</v>
      </c>
      <c r="AN73" s="229">
        <v>1.01E-2</v>
      </c>
      <c r="AO73" s="231">
        <v>2032.02</v>
      </c>
      <c r="AP73" s="231">
        <v>2041.5</v>
      </c>
      <c r="AQ73" s="228">
        <v>0</v>
      </c>
      <c r="AR73" s="230">
        <v>933350</v>
      </c>
      <c r="AS73" s="230">
        <v>1151700</v>
      </c>
      <c r="AT73" s="230">
        <v>-218350</v>
      </c>
      <c r="AU73" s="229">
        <v>-0.18959999999999999</v>
      </c>
      <c r="AV73" s="230">
        <v>737000</v>
      </c>
      <c r="AW73" s="230">
        <v>848375</v>
      </c>
      <c r="AX73" s="230">
        <v>-111375</v>
      </c>
      <c r="AY73" s="229">
        <v>-0.1313</v>
      </c>
      <c r="AZ73" s="230">
        <v>176275</v>
      </c>
      <c r="BA73" s="230">
        <v>254925</v>
      </c>
      <c r="BB73" s="230">
        <v>-78650</v>
      </c>
      <c r="BC73" s="229">
        <v>-0.3085</v>
      </c>
      <c r="BD73" s="230">
        <v>20075</v>
      </c>
      <c r="BE73" s="230">
        <v>48400</v>
      </c>
      <c r="BF73" s="230">
        <v>-28325</v>
      </c>
      <c r="BG73" s="229">
        <v>-0.58520000000000005</v>
      </c>
      <c r="BH73" s="230">
        <v>4024625</v>
      </c>
      <c r="BI73" s="230">
        <v>3108875</v>
      </c>
      <c r="BJ73" s="230">
        <v>915750</v>
      </c>
      <c r="BK73" s="229">
        <v>0.29459999999999997</v>
      </c>
      <c r="BL73" s="230">
        <v>1601325</v>
      </c>
      <c r="BM73" s="230">
        <v>1371150</v>
      </c>
      <c r="BN73" s="230">
        <v>230175</v>
      </c>
      <c r="BO73" s="229">
        <v>0.16789999999999999</v>
      </c>
      <c r="BP73" s="230">
        <v>6559300</v>
      </c>
      <c r="BQ73" s="230">
        <v>5631725</v>
      </c>
      <c r="BR73" s="230">
        <v>927575</v>
      </c>
      <c r="BS73" s="229">
        <v>0.16470000000000001</v>
      </c>
      <c r="BT73" s="230">
        <v>604425</v>
      </c>
      <c r="BU73" s="230">
        <v>695066</v>
      </c>
      <c r="BV73" s="230">
        <v>-90641</v>
      </c>
      <c r="BW73" s="229">
        <v>-0.13039999999999999</v>
      </c>
      <c r="BX73" s="230">
        <v>8330300</v>
      </c>
      <c r="BY73" s="230">
        <v>8415825</v>
      </c>
      <c r="BZ73" s="230">
        <v>-85525</v>
      </c>
      <c r="CA73" s="229">
        <v>-1.0200000000000001E-2</v>
      </c>
      <c r="CB73" s="230">
        <v>7723650</v>
      </c>
      <c r="CC73" s="230">
        <v>7869400</v>
      </c>
      <c r="CD73" s="230">
        <v>-145750</v>
      </c>
      <c r="CE73" s="229">
        <v>-1.8499999999999999E-2</v>
      </c>
      <c r="CF73" s="230">
        <v>497200</v>
      </c>
      <c r="CG73" s="230">
        <v>442200</v>
      </c>
      <c r="CH73" s="230">
        <v>55000</v>
      </c>
      <c r="CI73" s="229">
        <v>0.1244</v>
      </c>
      <c r="CJ73" s="230">
        <v>109450</v>
      </c>
      <c r="CK73" s="230">
        <v>104225</v>
      </c>
      <c r="CL73" s="230">
        <v>5225</v>
      </c>
      <c r="CM73" s="229">
        <v>5.0099999999999999E-2</v>
      </c>
      <c r="CN73" s="230">
        <v>3285700</v>
      </c>
      <c r="CO73" s="230">
        <v>3253250</v>
      </c>
      <c r="CP73" s="230">
        <v>32450</v>
      </c>
      <c r="CQ73" s="229">
        <v>0.01</v>
      </c>
      <c r="CR73" s="230">
        <v>2034725</v>
      </c>
      <c r="CS73" s="230">
        <v>1858725</v>
      </c>
      <c r="CT73" s="230">
        <v>176000</v>
      </c>
      <c r="CU73" s="229">
        <v>9.4700000000000006E-2</v>
      </c>
      <c r="CV73" s="230">
        <v>13650725</v>
      </c>
      <c r="CW73" s="230">
        <v>13527800</v>
      </c>
      <c r="CX73" s="230">
        <v>122925</v>
      </c>
      <c r="CY73" s="229">
        <v>9.1000000000000004E-3</v>
      </c>
      <c r="CZ73" s="228">
        <v>32.46</v>
      </c>
      <c r="DA73" s="228">
        <v>32.94</v>
      </c>
      <c r="DB73" s="228">
        <v>-0.48</v>
      </c>
      <c r="DC73" s="228">
        <v>-0.48</v>
      </c>
      <c r="DD73" s="228">
        <v>46.22</v>
      </c>
      <c r="DE73" s="228">
        <v>46.31</v>
      </c>
      <c r="DF73" s="228">
        <v>-13.76</v>
      </c>
      <c r="DG73" s="228">
        <v>-0.09</v>
      </c>
      <c r="DH73" s="228">
        <v>32.74</v>
      </c>
      <c r="DI73" s="228">
        <v>33.28</v>
      </c>
      <c r="DJ73" s="228">
        <v>-0.54</v>
      </c>
      <c r="DK73" s="228">
        <v>-0.54</v>
      </c>
      <c r="DL73" s="228">
        <v>31.77</v>
      </c>
      <c r="DM73" s="228">
        <v>32.17</v>
      </c>
      <c r="DN73" s="228">
        <v>-0.4</v>
      </c>
      <c r="DO73" s="228">
        <v>-0.4</v>
      </c>
      <c r="DP73" s="228">
        <v>0.62</v>
      </c>
      <c r="DQ73" s="228">
        <v>0.56999999999999995</v>
      </c>
      <c r="DR73" s="228">
        <v>0.05</v>
      </c>
      <c r="DS73" s="229">
        <v>8.77E-2</v>
      </c>
      <c r="DT73" s="231">
        <v>2100</v>
      </c>
      <c r="DU73" s="231">
        <v>2000</v>
      </c>
      <c r="DV73" s="228">
        <v>0.4</v>
      </c>
      <c r="DW73" s="228">
        <v>0.44</v>
      </c>
      <c r="DX73" s="228">
        <v>-0.04</v>
      </c>
      <c r="DY73" s="229">
        <v>-9.0899999999999995E-2</v>
      </c>
      <c r="DZ73" s="229">
        <v>7.2800000000000004E-2</v>
      </c>
      <c r="EA73" s="230">
        <v>546425</v>
      </c>
      <c r="EB73" s="229">
        <v>5.7000000000000002E-3</v>
      </c>
      <c r="EC73" s="229">
        <v>7.2800000000000004E-2</v>
      </c>
      <c r="ED73" s="228">
        <v>9.48</v>
      </c>
      <c r="EE73" s="229">
        <v>4.7000000000000002E-3</v>
      </c>
      <c r="EF73" s="230">
        <v>342509</v>
      </c>
      <c r="EG73" s="230">
        <v>394176</v>
      </c>
      <c r="EH73" s="229">
        <v>-0.13109999999999999</v>
      </c>
      <c r="EI73" s="229">
        <v>0.56669999999999998</v>
      </c>
      <c r="EJ73" s="231">
        <v>85759.38</v>
      </c>
      <c r="EK73" s="231">
        <v>32228.16</v>
      </c>
      <c r="EL73" s="231">
        <v>18987.11</v>
      </c>
      <c r="EM73" s="228">
        <v>0</v>
      </c>
      <c r="EN73" s="231">
        <v>136974.65</v>
      </c>
      <c r="EO73" s="231">
        <v>115970.47</v>
      </c>
      <c r="EP73" s="231">
        <v>21004.18</v>
      </c>
      <c r="EQ73" s="229">
        <v>0.18110000000000001</v>
      </c>
      <c r="ER73" s="231">
        <v>71641</v>
      </c>
      <c r="ES73" s="231">
        <v>41401</v>
      </c>
      <c r="ET73" s="231">
        <v>170152</v>
      </c>
      <c r="EU73" s="231">
        <v>32110506</v>
      </c>
      <c r="EV73" s="231">
        <v>283194</v>
      </c>
      <c r="EW73" s="231">
        <v>278557</v>
      </c>
      <c r="EX73" s="231">
        <v>4637</v>
      </c>
      <c r="EY73" s="229">
        <v>1.66E-2</v>
      </c>
      <c r="EZ73" s="229">
        <v>0.42509999999999998</v>
      </c>
      <c r="FA73" s="227" t="s">
        <v>556</v>
      </c>
      <c r="FB73" s="161">
        <f t="shared" si="1"/>
        <v>606650</v>
      </c>
    </row>
    <row r="74" spans="1:158" ht="17.25" hidden="1" thickBot="1" x14ac:dyDescent="0.3">
      <c r="A74" s="226">
        <v>45889</v>
      </c>
      <c r="B74" s="227" t="s">
        <v>170</v>
      </c>
      <c r="C74" s="227" t="s">
        <v>492</v>
      </c>
      <c r="D74" s="228">
        <v>1075</v>
      </c>
      <c r="E74" s="228">
        <v>461.4</v>
      </c>
      <c r="F74" s="228">
        <v>459.3</v>
      </c>
      <c r="G74" s="228">
        <v>2.1</v>
      </c>
      <c r="H74" s="229">
        <v>4.5999999999999999E-3</v>
      </c>
      <c r="I74" s="228">
        <v>461.35</v>
      </c>
      <c r="J74" s="228">
        <v>458.05</v>
      </c>
      <c r="K74" s="228">
        <v>3.3</v>
      </c>
      <c r="L74" s="229">
        <v>7.1999999999999998E-3</v>
      </c>
      <c r="M74" s="228">
        <v>461.4</v>
      </c>
      <c r="N74" s="228">
        <v>459.3</v>
      </c>
      <c r="O74" s="228">
        <v>2.1</v>
      </c>
      <c r="P74" s="229">
        <v>4.5999999999999999E-3</v>
      </c>
      <c r="Q74" s="228">
        <v>0</v>
      </c>
      <c r="R74" s="228">
        <v>0</v>
      </c>
      <c r="S74" s="228">
        <v>0</v>
      </c>
      <c r="T74" s="229">
        <v>0</v>
      </c>
      <c r="U74" s="228">
        <v>0</v>
      </c>
      <c r="V74" s="228">
        <v>0</v>
      </c>
      <c r="W74" s="228">
        <v>0</v>
      </c>
      <c r="X74" s="229">
        <v>0</v>
      </c>
      <c r="Y74" s="228">
        <v>0.05</v>
      </c>
      <c r="Z74" s="228">
        <v>1.25</v>
      </c>
      <c r="AA74" s="228">
        <v>-1.2</v>
      </c>
      <c r="AB74" s="229">
        <v>1E-4</v>
      </c>
      <c r="AC74" s="228">
        <v>0.05</v>
      </c>
      <c r="AD74" s="228">
        <v>1.25</v>
      </c>
      <c r="AE74" s="228">
        <v>-1.2</v>
      </c>
      <c r="AF74" s="229">
        <v>1E-4</v>
      </c>
      <c r="AG74" s="228">
        <v>0</v>
      </c>
      <c r="AH74" s="228">
        <v>0</v>
      </c>
      <c r="AI74" s="228">
        <v>0</v>
      </c>
      <c r="AJ74" s="229">
        <v>0</v>
      </c>
      <c r="AK74" s="228">
        <v>0</v>
      </c>
      <c r="AL74" s="228">
        <v>0</v>
      </c>
      <c r="AM74" s="228">
        <v>0</v>
      </c>
      <c r="AN74" s="229">
        <v>0</v>
      </c>
      <c r="AO74" s="228">
        <v>457.79</v>
      </c>
      <c r="AP74" s="228">
        <v>0</v>
      </c>
      <c r="AQ74" s="228">
        <v>0</v>
      </c>
      <c r="AR74" s="230">
        <v>998675</v>
      </c>
      <c r="AS74" s="230">
        <v>933100</v>
      </c>
      <c r="AT74" s="230">
        <v>65575</v>
      </c>
      <c r="AU74" s="229">
        <v>7.0300000000000001E-2</v>
      </c>
      <c r="AV74" s="230">
        <v>998675</v>
      </c>
      <c r="AW74" s="230">
        <v>933100</v>
      </c>
      <c r="AX74" s="230">
        <v>65575</v>
      </c>
      <c r="AY74" s="229">
        <v>7.0300000000000001E-2</v>
      </c>
      <c r="AZ74" s="228">
        <v>0</v>
      </c>
      <c r="BA74" s="228">
        <v>0</v>
      </c>
      <c r="BB74" s="228">
        <v>0</v>
      </c>
      <c r="BC74" s="229">
        <v>0</v>
      </c>
      <c r="BD74" s="228">
        <v>0</v>
      </c>
      <c r="BE74" s="228">
        <v>0</v>
      </c>
      <c r="BF74" s="228">
        <v>0</v>
      </c>
      <c r="BG74" s="229">
        <v>0</v>
      </c>
      <c r="BH74" s="230">
        <v>2871325</v>
      </c>
      <c r="BI74" s="230">
        <v>1743650</v>
      </c>
      <c r="BJ74" s="230">
        <v>1127675</v>
      </c>
      <c r="BK74" s="229">
        <v>0.64670000000000005</v>
      </c>
      <c r="BL74" s="230">
        <v>1188950</v>
      </c>
      <c r="BM74" s="230">
        <v>947075</v>
      </c>
      <c r="BN74" s="230">
        <v>241875</v>
      </c>
      <c r="BO74" s="229">
        <v>0.25540000000000002</v>
      </c>
      <c r="BP74" s="230">
        <v>5058950</v>
      </c>
      <c r="BQ74" s="230">
        <v>3623825</v>
      </c>
      <c r="BR74" s="230">
        <v>1435125</v>
      </c>
      <c r="BS74" s="229">
        <v>0.39600000000000002</v>
      </c>
      <c r="BT74" s="230">
        <v>813073</v>
      </c>
      <c r="BU74" s="230">
        <v>558094</v>
      </c>
      <c r="BV74" s="230">
        <v>254979</v>
      </c>
      <c r="BW74" s="229">
        <v>0.45689999999999997</v>
      </c>
      <c r="BX74" s="230">
        <v>10163050</v>
      </c>
      <c r="BY74" s="230">
        <v>10427500</v>
      </c>
      <c r="BZ74" s="230">
        <v>-264450</v>
      </c>
      <c r="CA74" s="229">
        <v>-2.5399999999999999E-2</v>
      </c>
      <c r="CB74" s="230">
        <v>10163050</v>
      </c>
      <c r="CC74" s="230">
        <v>10427500</v>
      </c>
      <c r="CD74" s="230">
        <v>-264450</v>
      </c>
      <c r="CE74" s="229">
        <v>-2.5399999999999999E-2</v>
      </c>
      <c r="CF74" s="228">
        <v>0</v>
      </c>
      <c r="CG74" s="228">
        <v>0</v>
      </c>
      <c r="CH74" s="228">
        <v>0</v>
      </c>
      <c r="CI74" s="229">
        <v>0</v>
      </c>
      <c r="CJ74" s="228">
        <v>0</v>
      </c>
      <c r="CK74" s="228">
        <v>0</v>
      </c>
      <c r="CL74" s="228">
        <v>0</v>
      </c>
      <c r="CM74" s="229">
        <v>0</v>
      </c>
      <c r="CN74" s="230">
        <v>4115100</v>
      </c>
      <c r="CO74" s="230">
        <v>4147350</v>
      </c>
      <c r="CP74" s="230">
        <v>-32250</v>
      </c>
      <c r="CQ74" s="229">
        <v>-7.7999999999999996E-3</v>
      </c>
      <c r="CR74" s="230">
        <v>2161825</v>
      </c>
      <c r="CS74" s="230">
        <v>2099475</v>
      </c>
      <c r="CT74" s="230">
        <v>62350</v>
      </c>
      <c r="CU74" s="229">
        <v>2.9700000000000001E-2</v>
      </c>
      <c r="CV74" s="230">
        <v>16439975</v>
      </c>
      <c r="CW74" s="230">
        <v>16674325</v>
      </c>
      <c r="CX74" s="230">
        <v>-234350</v>
      </c>
      <c r="CY74" s="229">
        <v>-1.41E-2</v>
      </c>
      <c r="CZ74" s="228">
        <v>32.35</v>
      </c>
      <c r="DA74" s="228">
        <v>33.42</v>
      </c>
      <c r="DB74" s="228">
        <v>-1.07</v>
      </c>
      <c r="DC74" s="228">
        <v>-1.07</v>
      </c>
      <c r="DD74" s="228">
        <v>45.44</v>
      </c>
      <c r="DE74" s="228">
        <v>45.55</v>
      </c>
      <c r="DF74" s="228">
        <v>-13.09</v>
      </c>
      <c r="DG74" s="228">
        <v>-0.11</v>
      </c>
      <c r="DH74" s="228">
        <v>32.51</v>
      </c>
      <c r="DI74" s="228">
        <v>33.369999999999997</v>
      </c>
      <c r="DJ74" s="228">
        <v>-0.86</v>
      </c>
      <c r="DK74" s="228">
        <v>-0.86</v>
      </c>
      <c r="DL74" s="228">
        <v>31.97</v>
      </c>
      <c r="DM74" s="228">
        <v>33.51</v>
      </c>
      <c r="DN74" s="228">
        <v>-1.54</v>
      </c>
      <c r="DO74" s="228">
        <v>-1.54</v>
      </c>
      <c r="DP74" s="228">
        <v>0.53</v>
      </c>
      <c r="DQ74" s="228">
        <v>0.51</v>
      </c>
      <c r="DR74" s="228">
        <v>0.02</v>
      </c>
      <c r="DS74" s="229">
        <v>3.9199999999999999E-2</v>
      </c>
      <c r="DT74" s="228">
        <v>500</v>
      </c>
      <c r="DU74" s="228">
        <v>450</v>
      </c>
      <c r="DV74" s="228">
        <v>0.41</v>
      </c>
      <c r="DW74" s="228">
        <v>0.54</v>
      </c>
      <c r="DX74" s="228">
        <v>-0.13</v>
      </c>
      <c r="DY74" s="229">
        <v>-0.2407</v>
      </c>
      <c r="DZ74" s="229">
        <v>0</v>
      </c>
      <c r="EA74" s="228">
        <v>0</v>
      </c>
      <c r="EB74" s="229">
        <v>0</v>
      </c>
      <c r="EC74" s="229">
        <v>0</v>
      </c>
      <c r="ED74" s="228">
        <v>0</v>
      </c>
      <c r="EE74" s="229">
        <v>0</v>
      </c>
      <c r="EF74" s="230">
        <v>332967</v>
      </c>
      <c r="EG74" s="230">
        <v>240400</v>
      </c>
      <c r="EH74" s="229">
        <v>0.3851</v>
      </c>
      <c r="EI74" s="229">
        <v>0.40949999999999998</v>
      </c>
      <c r="EJ74" s="231">
        <v>13746.43</v>
      </c>
      <c r="EK74" s="231">
        <v>5401.65</v>
      </c>
      <c r="EL74" s="231">
        <v>4571.83</v>
      </c>
      <c r="EM74" s="228">
        <v>0</v>
      </c>
      <c r="EN74" s="231">
        <v>23719.91</v>
      </c>
      <c r="EO74" s="231">
        <v>17004.400000000001</v>
      </c>
      <c r="EP74" s="231">
        <v>6715.51</v>
      </c>
      <c r="EQ74" s="229">
        <v>0.39489999999999997</v>
      </c>
      <c r="ER74" s="231">
        <v>19883</v>
      </c>
      <c r="ES74" s="231">
        <v>9760</v>
      </c>
      <c r="ET74" s="231">
        <v>46892</v>
      </c>
      <c r="EU74" s="231">
        <v>29688038</v>
      </c>
      <c r="EV74" s="231">
        <v>76535</v>
      </c>
      <c r="EW74" s="231">
        <v>77445</v>
      </c>
      <c r="EX74" s="228">
        <v>-910</v>
      </c>
      <c r="EY74" s="229">
        <v>-1.18E-2</v>
      </c>
      <c r="EZ74" s="229">
        <v>0.55379999999999996</v>
      </c>
      <c r="FA74" s="227" t="s">
        <v>556</v>
      </c>
      <c r="FB74" s="161">
        <f t="shared" si="1"/>
        <v>0</v>
      </c>
    </row>
    <row r="75" spans="1:158" ht="17.25" hidden="1" thickBot="1" x14ac:dyDescent="0.3">
      <c r="A75" s="226">
        <v>45889</v>
      </c>
      <c r="B75" s="227" t="s">
        <v>157</v>
      </c>
      <c r="C75" s="227" t="s">
        <v>219</v>
      </c>
      <c r="D75" s="228">
        <v>250</v>
      </c>
      <c r="E75" s="231">
        <v>2870.2</v>
      </c>
      <c r="F75" s="231">
        <v>2831</v>
      </c>
      <c r="G75" s="228">
        <v>39.200000000000003</v>
      </c>
      <c r="H75" s="229">
        <v>1.38E-2</v>
      </c>
      <c r="I75" s="231">
        <v>2864.9</v>
      </c>
      <c r="J75" s="231">
        <v>2828.3</v>
      </c>
      <c r="K75" s="228">
        <v>36.6</v>
      </c>
      <c r="L75" s="229">
        <v>1.29E-2</v>
      </c>
      <c r="M75" s="231">
        <v>2870.2</v>
      </c>
      <c r="N75" s="231">
        <v>2831</v>
      </c>
      <c r="O75" s="228">
        <v>39.200000000000003</v>
      </c>
      <c r="P75" s="229">
        <v>1.38E-2</v>
      </c>
      <c r="Q75" s="231">
        <v>2886.4</v>
      </c>
      <c r="R75" s="231">
        <v>2848.1</v>
      </c>
      <c r="S75" s="228">
        <v>38.299999999999997</v>
      </c>
      <c r="T75" s="229">
        <v>1.34E-2</v>
      </c>
      <c r="U75" s="231">
        <v>2901.4</v>
      </c>
      <c r="V75" s="231">
        <v>2864</v>
      </c>
      <c r="W75" s="228">
        <v>37.4</v>
      </c>
      <c r="X75" s="229">
        <v>1.3100000000000001E-2</v>
      </c>
      <c r="Y75" s="228">
        <v>5.3</v>
      </c>
      <c r="Z75" s="228">
        <v>2.7</v>
      </c>
      <c r="AA75" s="228">
        <v>2.6</v>
      </c>
      <c r="AB75" s="229">
        <v>1.8E-3</v>
      </c>
      <c r="AC75" s="228">
        <v>5.3</v>
      </c>
      <c r="AD75" s="228">
        <v>2.7</v>
      </c>
      <c r="AE75" s="228">
        <v>2.6</v>
      </c>
      <c r="AF75" s="229">
        <v>1.8E-3</v>
      </c>
      <c r="AG75" s="228">
        <v>21.5</v>
      </c>
      <c r="AH75" s="228">
        <v>19.8</v>
      </c>
      <c r="AI75" s="228">
        <v>1.7</v>
      </c>
      <c r="AJ75" s="229">
        <v>7.4999999999999997E-3</v>
      </c>
      <c r="AK75" s="228">
        <v>36.5</v>
      </c>
      <c r="AL75" s="228">
        <v>35.700000000000003</v>
      </c>
      <c r="AM75" s="228">
        <v>0.8</v>
      </c>
      <c r="AN75" s="229">
        <v>1.2699999999999999E-2</v>
      </c>
      <c r="AO75" s="231">
        <v>2851.56</v>
      </c>
      <c r="AP75" s="231">
        <v>2874.12</v>
      </c>
      <c r="AQ75" s="228">
        <v>0</v>
      </c>
      <c r="AR75" s="230">
        <v>1644500</v>
      </c>
      <c r="AS75" s="230">
        <v>644000</v>
      </c>
      <c r="AT75" s="230">
        <v>1000500</v>
      </c>
      <c r="AU75" s="229">
        <v>1.5536000000000001</v>
      </c>
      <c r="AV75" s="230">
        <v>1437000</v>
      </c>
      <c r="AW75" s="230">
        <v>564750</v>
      </c>
      <c r="AX75" s="230">
        <v>872250</v>
      </c>
      <c r="AY75" s="229">
        <v>1.5445</v>
      </c>
      <c r="AZ75" s="230">
        <v>199750</v>
      </c>
      <c r="BA75" s="230">
        <v>74000</v>
      </c>
      <c r="BB75" s="230">
        <v>125750</v>
      </c>
      <c r="BC75" s="229">
        <v>1.6993</v>
      </c>
      <c r="BD75" s="230">
        <v>7750</v>
      </c>
      <c r="BE75" s="230">
        <v>5250</v>
      </c>
      <c r="BF75" s="230">
        <v>2500</v>
      </c>
      <c r="BG75" s="229">
        <v>0.47620000000000001</v>
      </c>
      <c r="BH75" s="230">
        <v>8787500</v>
      </c>
      <c r="BI75" s="230">
        <v>3542750</v>
      </c>
      <c r="BJ75" s="230">
        <v>5244750</v>
      </c>
      <c r="BK75" s="229">
        <v>1.4803999999999999</v>
      </c>
      <c r="BL75" s="230">
        <v>2730750</v>
      </c>
      <c r="BM75" s="230">
        <v>2050750</v>
      </c>
      <c r="BN75" s="230">
        <v>680000</v>
      </c>
      <c r="BO75" s="229">
        <v>0.33160000000000001</v>
      </c>
      <c r="BP75" s="230">
        <v>13162750</v>
      </c>
      <c r="BQ75" s="230">
        <v>6237500</v>
      </c>
      <c r="BR75" s="230">
        <v>6925250</v>
      </c>
      <c r="BS75" s="229">
        <v>1.1103000000000001</v>
      </c>
      <c r="BT75" s="230">
        <v>938208</v>
      </c>
      <c r="BU75" s="230">
        <v>382639</v>
      </c>
      <c r="BV75" s="230">
        <v>555569</v>
      </c>
      <c r="BW75" s="229">
        <v>1.4519</v>
      </c>
      <c r="BX75" s="230">
        <v>13435500</v>
      </c>
      <c r="BY75" s="230">
        <v>13807500</v>
      </c>
      <c r="BZ75" s="230">
        <v>-372000</v>
      </c>
      <c r="CA75" s="229">
        <v>-2.69E-2</v>
      </c>
      <c r="CB75" s="230">
        <v>13111750</v>
      </c>
      <c r="CC75" s="230">
        <v>13585750</v>
      </c>
      <c r="CD75" s="230">
        <v>-474000</v>
      </c>
      <c r="CE75" s="229">
        <v>-3.49E-2</v>
      </c>
      <c r="CF75" s="230">
        <v>310500</v>
      </c>
      <c r="CG75" s="230">
        <v>209250</v>
      </c>
      <c r="CH75" s="230">
        <v>101250</v>
      </c>
      <c r="CI75" s="229">
        <v>0.4839</v>
      </c>
      <c r="CJ75" s="230">
        <v>13250</v>
      </c>
      <c r="CK75" s="230">
        <v>12500</v>
      </c>
      <c r="CL75" s="228">
        <v>750</v>
      </c>
      <c r="CM75" s="229">
        <v>0.06</v>
      </c>
      <c r="CN75" s="230">
        <v>2077250</v>
      </c>
      <c r="CO75" s="230">
        <v>1933250</v>
      </c>
      <c r="CP75" s="230">
        <v>144000</v>
      </c>
      <c r="CQ75" s="229">
        <v>7.4499999999999997E-2</v>
      </c>
      <c r="CR75" s="230">
        <v>1504250</v>
      </c>
      <c r="CS75" s="230">
        <v>1387250</v>
      </c>
      <c r="CT75" s="230">
        <v>117000</v>
      </c>
      <c r="CU75" s="229">
        <v>8.43E-2</v>
      </c>
      <c r="CV75" s="230">
        <v>17017000</v>
      </c>
      <c r="CW75" s="230">
        <v>17128000</v>
      </c>
      <c r="CX75" s="230">
        <v>-111000</v>
      </c>
      <c r="CY75" s="229">
        <v>-6.4999999999999997E-3</v>
      </c>
      <c r="CZ75" s="228">
        <v>20.95</v>
      </c>
      <c r="DA75" s="228">
        <v>19.059999999999999</v>
      </c>
      <c r="DB75" s="228">
        <v>1.89</v>
      </c>
      <c r="DC75" s="228">
        <v>1.89</v>
      </c>
      <c r="DD75" s="228">
        <v>27.15</v>
      </c>
      <c r="DE75" s="228">
        <v>27.16</v>
      </c>
      <c r="DF75" s="228">
        <v>-6.2</v>
      </c>
      <c r="DG75" s="228">
        <v>-0.01</v>
      </c>
      <c r="DH75" s="228">
        <v>20.91</v>
      </c>
      <c r="DI75" s="228">
        <v>18.93</v>
      </c>
      <c r="DJ75" s="228">
        <v>1.98</v>
      </c>
      <c r="DK75" s="228">
        <v>1.98</v>
      </c>
      <c r="DL75" s="228">
        <v>21.08</v>
      </c>
      <c r="DM75" s="228">
        <v>19.28</v>
      </c>
      <c r="DN75" s="228">
        <v>1.8</v>
      </c>
      <c r="DO75" s="228">
        <v>1.8</v>
      </c>
      <c r="DP75" s="228">
        <v>0.72</v>
      </c>
      <c r="DQ75" s="228">
        <v>0.72</v>
      </c>
      <c r="DR75" s="228">
        <v>0</v>
      </c>
      <c r="DS75" s="229">
        <v>0</v>
      </c>
      <c r="DT75" s="231">
        <v>2900</v>
      </c>
      <c r="DU75" s="231">
        <v>2700</v>
      </c>
      <c r="DV75" s="228">
        <v>0.31</v>
      </c>
      <c r="DW75" s="228">
        <v>0.57999999999999996</v>
      </c>
      <c r="DX75" s="228">
        <v>-0.27</v>
      </c>
      <c r="DY75" s="229">
        <v>-0.46550000000000002</v>
      </c>
      <c r="DZ75" s="229">
        <v>2.41E-2</v>
      </c>
      <c r="EA75" s="230">
        <v>221750</v>
      </c>
      <c r="EB75" s="229">
        <v>5.5999999999999999E-3</v>
      </c>
      <c r="EC75" s="229">
        <v>2.41E-2</v>
      </c>
      <c r="ED75" s="228">
        <v>22.56</v>
      </c>
      <c r="EE75" s="229">
        <v>7.9000000000000008E-3</v>
      </c>
      <c r="EF75" s="230">
        <v>646663</v>
      </c>
      <c r="EG75" s="230">
        <v>169145</v>
      </c>
      <c r="EH75" s="229">
        <v>2.8231000000000002</v>
      </c>
      <c r="EI75" s="229">
        <v>0.68930000000000002</v>
      </c>
      <c r="EJ75" s="231">
        <v>258652.86</v>
      </c>
      <c r="EK75" s="231">
        <v>76553.350000000006</v>
      </c>
      <c r="EL75" s="231">
        <v>46941.77</v>
      </c>
      <c r="EM75" s="228">
        <v>0</v>
      </c>
      <c r="EN75" s="231">
        <v>382147.98</v>
      </c>
      <c r="EO75" s="231">
        <v>178243.55</v>
      </c>
      <c r="EP75" s="231">
        <v>203904.43</v>
      </c>
      <c r="EQ75" s="229">
        <v>1.1439999999999999</v>
      </c>
      <c r="ER75" s="231">
        <v>60603</v>
      </c>
      <c r="ES75" s="231">
        <v>40532</v>
      </c>
      <c r="ET75" s="231">
        <v>385680</v>
      </c>
      <c r="EU75" s="231">
        <v>77028315</v>
      </c>
      <c r="EV75" s="231">
        <v>486815</v>
      </c>
      <c r="EW75" s="231">
        <v>484339</v>
      </c>
      <c r="EX75" s="231">
        <v>2476</v>
      </c>
      <c r="EY75" s="229">
        <v>5.1000000000000004E-3</v>
      </c>
      <c r="EZ75" s="229">
        <v>0.22090000000000001</v>
      </c>
      <c r="FA75" s="227" t="s">
        <v>556</v>
      </c>
      <c r="FB75" s="161">
        <f t="shared" si="1"/>
        <v>323750</v>
      </c>
    </row>
    <row r="76" spans="1:158" ht="17.25" hidden="1" thickBot="1" x14ac:dyDescent="0.3">
      <c r="A76" s="226">
        <v>45889</v>
      </c>
      <c r="B76" s="227" t="s">
        <v>184</v>
      </c>
      <c r="C76" s="227" t="s">
        <v>513</v>
      </c>
      <c r="D76" s="228">
        <v>150</v>
      </c>
      <c r="E76" s="231">
        <v>4456</v>
      </c>
      <c r="F76" s="231">
        <v>4443.8999999999996</v>
      </c>
      <c r="G76" s="228">
        <v>12.1</v>
      </c>
      <c r="H76" s="229">
        <v>2.7000000000000001E-3</v>
      </c>
      <c r="I76" s="231">
        <v>4468.3999999999996</v>
      </c>
      <c r="J76" s="231">
        <v>4452.6000000000004</v>
      </c>
      <c r="K76" s="228">
        <v>15.8</v>
      </c>
      <c r="L76" s="229">
        <v>3.5000000000000001E-3</v>
      </c>
      <c r="M76" s="231">
        <v>4456</v>
      </c>
      <c r="N76" s="231">
        <v>4443.8999999999996</v>
      </c>
      <c r="O76" s="228">
        <v>12.1</v>
      </c>
      <c r="P76" s="229">
        <v>2.7000000000000001E-3</v>
      </c>
      <c r="Q76" s="231">
        <v>4481.7</v>
      </c>
      <c r="R76" s="231">
        <v>4469.3</v>
      </c>
      <c r="S76" s="228">
        <v>12.4</v>
      </c>
      <c r="T76" s="229">
        <v>2.8E-3</v>
      </c>
      <c r="U76" s="231">
        <v>4503.3999999999996</v>
      </c>
      <c r="V76" s="231">
        <v>4492.8999999999996</v>
      </c>
      <c r="W76" s="228">
        <v>10.5</v>
      </c>
      <c r="X76" s="229">
        <v>2.3E-3</v>
      </c>
      <c r="Y76" s="228">
        <v>-12.4</v>
      </c>
      <c r="Z76" s="228">
        <v>-8.6999999999999993</v>
      </c>
      <c r="AA76" s="228">
        <v>-3.7</v>
      </c>
      <c r="AB76" s="229">
        <v>-2.8E-3</v>
      </c>
      <c r="AC76" s="228">
        <v>-12.4</v>
      </c>
      <c r="AD76" s="228">
        <v>-8.6999999999999993</v>
      </c>
      <c r="AE76" s="228">
        <v>-3.7</v>
      </c>
      <c r="AF76" s="229">
        <v>-2.8E-3</v>
      </c>
      <c r="AG76" s="228">
        <v>13.3</v>
      </c>
      <c r="AH76" s="228">
        <v>16.7</v>
      </c>
      <c r="AI76" s="228">
        <v>-3.4</v>
      </c>
      <c r="AJ76" s="229">
        <v>3.0000000000000001E-3</v>
      </c>
      <c r="AK76" s="228">
        <v>35</v>
      </c>
      <c r="AL76" s="228">
        <v>40.299999999999997</v>
      </c>
      <c r="AM76" s="228">
        <v>-5.3</v>
      </c>
      <c r="AN76" s="229">
        <v>7.7999999999999996E-3</v>
      </c>
      <c r="AO76" s="231">
        <v>4507.4399999999996</v>
      </c>
      <c r="AP76" s="231">
        <v>4531.84</v>
      </c>
      <c r="AQ76" s="228">
        <v>0</v>
      </c>
      <c r="AR76" s="230">
        <v>5211150</v>
      </c>
      <c r="AS76" s="230">
        <v>1885200</v>
      </c>
      <c r="AT76" s="230">
        <v>3325950</v>
      </c>
      <c r="AU76" s="229">
        <v>1.7642</v>
      </c>
      <c r="AV76" s="230">
        <v>4129050</v>
      </c>
      <c r="AW76" s="230">
        <v>1433250</v>
      </c>
      <c r="AX76" s="230">
        <v>2695800</v>
      </c>
      <c r="AY76" s="229">
        <v>1.8809</v>
      </c>
      <c r="AZ76" s="230">
        <v>1013100</v>
      </c>
      <c r="BA76" s="230">
        <v>402000</v>
      </c>
      <c r="BB76" s="230">
        <v>611100</v>
      </c>
      <c r="BC76" s="229">
        <v>1.5201</v>
      </c>
      <c r="BD76" s="230">
        <v>69000</v>
      </c>
      <c r="BE76" s="230">
        <v>49950</v>
      </c>
      <c r="BF76" s="230">
        <v>19050</v>
      </c>
      <c r="BG76" s="229">
        <v>0.38140000000000002</v>
      </c>
      <c r="BH76" s="230">
        <v>38977200</v>
      </c>
      <c r="BI76" s="230">
        <v>10759800</v>
      </c>
      <c r="BJ76" s="230">
        <v>28217400</v>
      </c>
      <c r="BK76" s="229">
        <v>2.6225000000000001</v>
      </c>
      <c r="BL76" s="230">
        <v>14702700</v>
      </c>
      <c r="BM76" s="230">
        <v>5141250</v>
      </c>
      <c r="BN76" s="230">
        <v>9561450</v>
      </c>
      <c r="BO76" s="229">
        <v>1.8597999999999999</v>
      </c>
      <c r="BP76" s="230">
        <v>58891050</v>
      </c>
      <c r="BQ76" s="230">
        <v>17786250</v>
      </c>
      <c r="BR76" s="230">
        <v>41104800</v>
      </c>
      <c r="BS76" s="229">
        <v>2.3109999999999999</v>
      </c>
      <c r="BT76" s="230">
        <v>3337035</v>
      </c>
      <c r="BU76" s="230">
        <v>1315255</v>
      </c>
      <c r="BV76" s="230">
        <v>2021780</v>
      </c>
      <c r="BW76" s="229">
        <v>1.5371999999999999</v>
      </c>
      <c r="BX76" s="230">
        <v>11295900</v>
      </c>
      <c r="BY76" s="230">
        <v>10460700</v>
      </c>
      <c r="BZ76" s="230">
        <v>835200</v>
      </c>
      <c r="CA76" s="229">
        <v>7.9799999999999996E-2</v>
      </c>
      <c r="CB76" s="230">
        <v>9677100</v>
      </c>
      <c r="CC76" s="230">
        <v>9449100</v>
      </c>
      <c r="CD76" s="230">
        <v>228000</v>
      </c>
      <c r="CE76" s="229">
        <v>2.41E-2</v>
      </c>
      <c r="CF76" s="230">
        <v>1480500</v>
      </c>
      <c r="CG76" s="230">
        <v>904050</v>
      </c>
      <c r="CH76" s="230">
        <v>576450</v>
      </c>
      <c r="CI76" s="229">
        <v>0.63759999999999994</v>
      </c>
      <c r="CJ76" s="230">
        <v>138300</v>
      </c>
      <c r="CK76" s="230">
        <v>107550</v>
      </c>
      <c r="CL76" s="230">
        <v>30750</v>
      </c>
      <c r="CM76" s="229">
        <v>0.28589999999999999</v>
      </c>
      <c r="CN76" s="230">
        <v>9432000</v>
      </c>
      <c r="CO76" s="230">
        <v>5955450</v>
      </c>
      <c r="CP76" s="230">
        <v>3476550</v>
      </c>
      <c r="CQ76" s="229">
        <v>0.58379999999999999</v>
      </c>
      <c r="CR76" s="230">
        <v>4717800</v>
      </c>
      <c r="CS76" s="230">
        <v>3314100</v>
      </c>
      <c r="CT76" s="230">
        <v>1403700</v>
      </c>
      <c r="CU76" s="229">
        <v>0.42359999999999998</v>
      </c>
      <c r="CV76" s="230">
        <v>25445700</v>
      </c>
      <c r="CW76" s="230">
        <v>19730250</v>
      </c>
      <c r="CX76" s="230">
        <v>5715450</v>
      </c>
      <c r="CY76" s="229">
        <v>0.28970000000000001</v>
      </c>
      <c r="CZ76" s="228">
        <v>37.450000000000003</v>
      </c>
      <c r="DA76" s="228">
        <v>32.82</v>
      </c>
      <c r="DB76" s="228">
        <v>4.63</v>
      </c>
      <c r="DC76" s="228">
        <v>4.63</v>
      </c>
      <c r="DD76" s="228">
        <v>42.61</v>
      </c>
      <c r="DE76" s="228">
        <v>42.72</v>
      </c>
      <c r="DF76" s="228">
        <v>-5.16</v>
      </c>
      <c r="DG76" s="228">
        <v>-0.11</v>
      </c>
      <c r="DH76" s="228">
        <v>38.06</v>
      </c>
      <c r="DI76" s="228">
        <v>33.1</v>
      </c>
      <c r="DJ76" s="228">
        <v>4.96</v>
      </c>
      <c r="DK76" s="228">
        <v>4.96</v>
      </c>
      <c r="DL76" s="228">
        <v>35.83</v>
      </c>
      <c r="DM76" s="228">
        <v>32.25</v>
      </c>
      <c r="DN76" s="228">
        <v>3.58</v>
      </c>
      <c r="DO76" s="228">
        <v>3.58</v>
      </c>
      <c r="DP76" s="228">
        <v>0.5</v>
      </c>
      <c r="DQ76" s="228">
        <v>0.56000000000000005</v>
      </c>
      <c r="DR76" s="228">
        <v>-0.06</v>
      </c>
      <c r="DS76" s="229">
        <v>-0.1071</v>
      </c>
      <c r="DT76" s="231">
        <v>4600</v>
      </c>
      <c r="DU76" s="231">
        <v>4500</v>
      </c>
      <c r="DV76" s="228">
        <v>0.38</v>
      </c>
      <c r="DW76" s="228">
        <v>0.48</v>
      </c>
      <c r="DX76" s="228">
        <v>-0.1</v>
      </c>
      <c r="DY76" s="229">
        <v>-0.20830000000000001</v>
      </c>
      <c r="DZ76" s="229">
        <v>0.14330000000000001</v>
      </c>
      <c r="EA76" s="230">
        <v>1011600</v>
      </c>
      <c r="EB76" s="229">
        <v>5.7999999999999996E-3</v>
      </c>
      <c r="EC76" s="229">
        <v>0.14330000000000001</v>
      </c>
      <c r="ED76" s="228">
        <v>24.4</v>
      </c>
      <c r="EE76" s="229">
        <v>5.4000000000000003E-3</v>
      </c>
      <c r="EF76" s="230">
        <v>998260</v>
      </c>
      <c r="EG76" s="230">
        <v>552254</v>
      </c>
      <c r="EH76" s="229">
        <v>0.80759999999999998</v>
      </c>
      <c r="EI76" s="229">
        <v>0.29909999999999998</v>
      </c>
      <c r="EJ76" s="231">
        <v>1852298.64</v>
      </c>
      <c r="EK76" s="231">
        <v>647153.25</v>
      </c>
      <c r="EL76" s="231">
        <v>235164.24</v>
      </c>
      <c r="EM76" s="228">
        <v>0</v>
      </c>
      <c r="EN76" s="231">
        <v>2734616.13</v>
      </c>
      <c r="EO76" s="231">
        <v>816014.87</v>
      </c>
      <c r="EP76" s="231">
        <v>1918601.26</v>
      </c>
      <c r="EQ76" s="229">
        <v>2.3512</v>
      </c>
      <c r="ER76" s="231">
        <v>445698</v>
      </c>
      <c r="ES76" s="231">
        <v>207462</v>
      </c>
      <c r="ET76" s="231">
        <v>503791</v>
      </c>
      <c r="EU76" s="231">
        <v>37934515</v>
      </c>
      <c r="EV76" s="231">
        <v>1156952</v>
      </c>
      <c r="EW76" s="231">
        <v>895069</v>
      </c>
      <c r="EX76" s="231">
        <v>261883</v>
      </c>
      <c r="EY76" s="229">
        <v>0.29260000000000003</v>
      </c>
      <c r="EZ76" s="229">
        <v>0.67079999999999995</v>
      </c>
      <c r="FA76" s="227" t="s">
        <v>555</v>
      </c>
      <c r="FB76" s="161">
        <f t="shared" si="1"/>
        <v>1618800</v>
      </c>
    </row>
    <row r="77" spans="1:158" ht="17.25" hidden="1" thickBot="1" x14ac:dyDescent="0.3">
      <c r="A77" s="226">
        <v>45889</v>
      </c>
      <c r="B77" s="227" t="s">
        <v>184</v>
      </c>
      <c r="C77" s="227" t="s">
        <v>220</v>
      </c>
      <c r="D77" s="228">
        <v>500</v>
      </c>
      <c r="E77" s="231">
        <v>1565.6</v>
      </c>
      <c r="F77" s="231">
        <v>1570.2</v>
      </c>
      <c r="G77" s="228">
        <v>-4.5999999999999996</v>
      </c>
      <c r="H77" s="229">
        <v>-2.8999999999999998E-3</v>
      </c>
      <c r="I77" s="231">
        <v>1567.9</v>
      </c>
      <c r="J77" s="231">
        <v>1570</v>
      </c>
      <c r="K77" s="228">
        <v>-2.1</v>
      </c>
      <c r="L77" s="229">
        <v>-1.2999999999999999E-3</v>
      </c>
      <c r="M77" s="231">
        <v>1565.6</v>
      </c>
      <c r="N77" s="231">
        <v>1570.2</v>
      </c>
      <c r="O77" s="228">
        <v>-4.5999999999999996</v>
      </c>
      <c r="P77" s="229">
        <v>-2.8999999999999998E-3</v>
      </c>
      <c r="Q77" s="231">
        <v>1566.2</v>
      </c>
      <c r="R77" s="231">
        <v>1570.8</v>
      </c>
      <c r="S77" s="228">
        <v>-4.5999999999999996</v>
      </c>
      <c r="T77" s="229">
        <v>-2.8999999999999998E-3</v>
      </c>
      <c r="U77" s="231">
        <v>1572.1</v>
      </c>
      <c r="V77" s="231">
        <v>1573</v>
      </c>
      <c r="W77" s="228">
        <v>-0.9</v>
      </c>
      <c r="X77" s="229">
        <v>-5.9999999999999995E-4</v>
      </c>
      <c r="Y77" s="228">
        <v>-2.2999999999999998</v>
      </c>
      <c r="Z77" s="228">
        <v>0.2</v>
      </c>
      <c r="AA77" s="228">
        <v>-2.5</v>
      </c>
      <c r="AB77" s="229">
        <v>-1.5E-3</v>
      </c>
      <c r="AC77" s="228">
        <v>-2.2999999999999998</v>
      </c>
      <c r="AD77" s="228">
        <v>0.2</v>
      </c>
      <c r="AE77" s="228">
        <v>-2.5</v>
      </c>
      <c r="AF77" s="229">
        <v>-1.5E-3</v>
      </c>
      <c r="AG77" s="228">
        <v>-1.7</v>
      </c>
      <c r="AH77" s="228">
        <v>0.8</v>
      </c>
      <c r="AI77" s="228">
        <v>-2.5</v>
      </c>
      <c r="AJ77" s="229">
        <v>-1.1000000000000001E-3</v>
      </c>
      <c r="AK77" s="228">
        <v>4.2</v>
      </c>
      <c r="AL77" s="228">
        <v>3</v>
      </c>
      <c r="AM77" s="228">
        <v>1.2</v>
      </c>
      <c r="AN77" s="229">
        <v>2.7000000000000001E-3</v>
      </c>
      <c r="AO77" s="231">
        <v>1565.92</v>
      </c>
      <c r="AP77" s="231">
        <v>1566.9</v>
      </c>
      <c r="AQ77" s="228">
        <v>0</v>
      </c>
      <c r="AR77" s="230">
        <v>1396500</v>
      </c>
      <c r="AS77" s="230">
        <v>1920500</v>
      </c>
      <c r="AT77" s="230">
        <v>-524000</v>
      </c>
      <c r="AU77" s="229">
        <v>-0.27279999999999999</v>
      </c>
      <c r="AV77" s="230">
        <v>1070000</v>
      </c>
      <c r="AW77" s="230">
        <v>1555000</v>
      </c>
      <c r="AX77" s="230">
        <v>-485000</v>
      </c>
      <c r="AY77" s="229">
        <v>-0.31190000000000001</v>
      </c>
      <c r="AZ77" s="230">
        <v>321500</v>
      </c>
      <c r="BA77" s="230">
        <v>356500</v>
      </c>
      <c r="BB77" s="230">
        <v>-35000</v>
      </c>
      <c r="BC77" s="229">
        <v>-9.8199999999999996E-2</v>
      </c>
      <c r="BD77" s="230">
        <v>5000</v>
      </c>
      <c r="BE77" s="230">
        <v>9000</v>
      </c>
      <c r="BF77" s="230">
        <v>-4000</v>
      </c>
      <c r="BG77" s="229">
        <v>-0.44440000000000002</v>
      </c>
      <c r="BH77" s="230">
        <v>2219000</v>
      </c>
      <c r="BI77" s="230">
        <v>3316500</v>
      </c>
      <c r="BJ77" s="230">
        <v>-1097500</v>
      </c>
      <c r="BK77" s="229">
        <v>-0.33090000000000003</v>
      </c>
      <c r="BL77" s="230">
        <v>1856000</v>
      </c>
      <c r="BM77" s="230">
        <v>2964000</v>
      </c>
      <c r="BN77" s="230">
        <v>-1108000</v>
      </c>
      <c r="BO77" s="229">
        <v>-0.37380000000000002</v>
      </c>
      <c r="BP77" s="230">
        <v>5471500</v>
      </c>
      <c r="BQ77" s="230">
        <v>8201000</v>
      </c>
      <c r="BR77" s="230">
        <v>-2729500</v>
      </c>
      <c r="BS77" s="229">
        <v>-0.33279999999999998</v>
      </c>
      <c r="BT77" s="230">
        <v>662972</v>
      </c>
      <c r="BU77" s="230">
        <v>622619</v>
      </c>
      <c r="BV77" s="230">
        <v>40353</v>
      </c>
      <c r="BW77" s="229">
        <v>6.4799999999999996E-2</v>
      </c>
      <c r="BX77" s="230">
        <v>10148500</v>
      </c>
      <c r="BY77" s="230">
        <v>9985500</v>
      </c>
      <c r="BZ77" s="230">
        <v>163000</v>
      </c>
      <c r="CA77" s="229">
        <v>1.6299999999999999E-2</v>
      </c>
      <c r="CB77" s="230">
        <v>9223000</v>
      </c>
      <c r="CC77" s="230">
        <v>9289000</v>
      </c>
      <c r="CD77" s="230">
        <v>-66000</v>
      </c>
      <c r="CE77" s="229">
        <v>-7.1000000000000004E-3</v>
      </c>
      <c r="CF77" s="230">
        <v>903500</v>
      </c>
      <c r="CG77" s="230">
        <v>677000</v>
      </c>
      <c r="CH77" s="230">
        <v>226500</v>
      </c>
      <c r="CI77" s="229">
        <v>0.33460000000000001</v>
      </c>
      <c r="CJ77" s="230">
        <v>22000</v>
      </c>
      <c r="CK77" s="230">
        <v>19500</v>
      </c>
      <c r="CL77" s="230">
        <v>2500</v>
      </c>
      <c r="CM77" s="229">
        <v>0.12820000000000001</v>
      </c>
      <c r="CN77" s="230">
        <v>2059500</v>
      </c>
      <c r="CO77" s="230">
        <v>2106000</v>
      </c>
      <c r="CP77" s="230">
        <v>-46500</v>
      </c>
      <c r="CQ77" s="229">
        <v>-2.2100000000000002E-2</v>
      </c>
      <c r="CR77" s="230">
        <v>1800500</v>
      </c>
      <c r="CS77" s="230">
        <v>1844000</v>
      </c>
      <c r="CT77" s="230">
        <v>-43500</v>
      </c>
      <c r="CU77" s="229">
        <v>-2.3599999999999999E-2</v>
      </c>
      <c r="CV77" s="230">
        <v>14008500</v>
      </c>
      <c r="CW77" s="230">
        <v>13935500</v>
      </c>
      <c r="CX77" s="230">
        <v>73000</v>
      </c>
      <c r="CY77" s="229">
        <v>5.1999999999999998E-3</v>
      </c>
      <c r="CZ77" s="228">
        <v>22.44</v>
      </c>
      <c r="DA77" s="228">
        <v>22.92</v>
      </c>
      <c r="DB77" s="228">
        <v>-0.48</v>
      </c>
      <c r="DC77" s="228">
        <v>-0.48</v>
      </c>
      <c r="DD77" s="228">
        <v>29.97</v>
      </c>
      <c r="DE77" s="228">
        <v>30.04</v>
      </c>
      <c r="DF77" s="228">
        <v>-7.53</v>
      </c>
      <c r="DG77" s="228">
        <v>-7.0000000000000007E-2</v>
      </c>
      <c r="DH77" s="228">
        <v>21.9</v>
      </c>
      <c r="DI77" s="228">
        <v>21.71</v>
      </c>
      <c r="DJ77" s="228">
        <v>0.19</v>
      </c>
      <c r="DK77" s="228">
        <v>0.19</v>
      </c>
      <c r="DL77" s="228">
        <v>23.09</v>
      </c>
      <c r="DM77" s="228">
        <v>24.29</v>
      </c>
      <c r="DN77" s="228">
        <v>-1.2</v>
      </c>
      <c r="DO77" s="228">
        <v>-1.2</v>
      </c>
      <c r="DP77" s="228">
        <v>0.87</v>
      </c>
      <c r="DQ77" s="228">
        <v>0.88</v>
      </c>
      <c r="DR77" s="228">
        <v>-0.01</v>
      </c>
      <c r="DS77" s="229">
        <v>-1.14E-2</v>
      </c>
      <c r="DT77" s="231">
        <v>1600</v>
      </c>
      <c r="DU77" s="231">
        <v>1520</v>
      </c>
      <c r="DV77" s="228">
        <v>0.84</v>
      </c>
      <c r="DW77" s="228">
        <v>0.89</v>
      </c>
      <c r="DX77" s="228">
        <v>-0.05</v>
      </c>
      <c r="DY77" s="229">
        <v>-5.62E-2</v>
      </c>
      <c r="DZ77" s="229">
        <v>9.1200000000000003E-2</v>
      </c>
      <c r="EA77" s="230">
        <v>696500</v>
      </c>
      <c r="EB77" s="229">
        <v>4.0000000000000002E-4</v>
      </c>
      <c r="EC77" s="229">
        <v>9.1200000000000003E-2</v>
      </c>
      <c r="ED77" s="228">
        <v>0.98</v>
      </c>
      <c r="EE77" s="229">
        <v>5.9999999999999995E-4</v>
      </c>
      <c r="EF77" s="230">
        <v>390804</v>
      </c>
      <c r="EG77" s="230">
        <v>273473</v>
      </c>
      <c r="EH77" s="229">
        <v>0.42899999999999999</v>
      </c>
      <c r="EI77" s="229">
        <v>0.58950000000000002</v>
      </c>
      <c r="EJ77" s="231">
        <v>35670.1</v>
      </c>
      <c r="EK77" s="231">
        <v>28003.51</v>
      </c>
      <c r="EL77" s="231">
        <v>21871.439999999999</v>
      </c>
      <c r="EM77" s="228">
        <v>0</v>
      </c>
      <c r="EN77" s="231">
        <v>85545.05</v>
      </c>
      <c r="EO77" s="231">
        <v>127697.25</v>
      </c>
      <c r="EP77" s="231">
        <v>-42152.2</v>
      </c>
      <c r="EQ77" s="229">
        <v>-0.3301</v>
      </c>
      <c r="ER77" s="231">
        <v>32709</v>
      </c>
      <c r="ES77" s="231">
        <v>26927</v>
      </c>
      <c r="ET77" s="231">
        <v>158892</v>
      </c>
      <c r="EU77" s="231">
        <v>50845022</v>
      </c>
      <c r="EV77" s="231">
        <v>218528</v>
      </c>
      <c r="EW77" s="231">
        <v>217818</v>
      </c>
      <c r="EX77" s="228">
        <v>710</v>
      </c>
      <c r="EY77" s="229">
        <v>3.3E-3</v>
      </c>
      <c r="EZ77" s="229">
        <v>0.27550000000000002</v>
      </c>
      <c r="FA77" s="227" t="s">
        <v>567</v>
      </c>
      <c r="FB77" s="161">
        <f t="shared" si="1"/>
        <v>925500</v>
      </c>
    </row>
    <row r="78" spans="1:158" ht="17.25" hidden="1" thickBot="1" x14ac:dyDescent="0.3">
      <c r="A78" s="226">
        <v>45889</v>
      </c>
      <c r="B78" s="227" t="s">
        <v>221</v>
      </c>
      <c r="C78" s="227" t="s">
        <v>222</v>
      </c>
      <c r="D78" s="228">
        <v>350</v>
      </c>
      <c r="E78" s="231">
        <v>1499.2</v>
      </c>
      <c r="F78" s="231">
        <v>1481.4</v>
      </c>
      <c r="G78" s="228">
        <v>17.8</v>
      </c>
      <c r="H78" s="229">
        <v>1.2E-2</v>
      </c>
      <c r="I78" s="231">
        <v>1496</v>
      </c>
      <c r="J78" s="231">
        <v>1476.1</v>
      </c>
      <c r="K78" s="228">
        <v>19.899999999999999</v>
      </c>
      <c r="L78" s="229">
        <v>1.35E-2</v>
      </c>
      <c r="M78" s="231">
        <v>1499.2</v>
      </c>
      <c r="N78" s="231">
        <v>1481.4</v>
      </c>
      <c r="O78" s="228">
        <v>17.8</v>
      </c>
      <c r="P78" s="229">
        <v>1.2E-2</v>
      </c>
      <c r="Q78" s="231">
        <v>1507.4</v>
      </c>
      <c r="R78" s="231">
        <v>1490.4</v>
      </c>
      <c r="S78" s="228">
        <v>17</v>
      </c>
      <c r="T78" s="229">
        <v>1.14E-2</v>
      </c>
      <c r="U78" s="231">
        <v>1502.6</v>
      </c>
      <c r="V78" s="231">
        <v>1487.8</v>
      </c>
      <c r="W78" s="228">
        <v>14.8</v>
      </c>
      <c r="X78" s="229">
        <v>9.9000000000000008E-3</v>
      </c>
      <c r="Y78" s="228">
        <v>3.2</v>
      </c>
      <c r="Z78" s="228">
        <v>5.3</v>
      </c>
      <c r="AA78" s="228">
        <v>-2.1</v>
      </c>
      <c r="AB78" s="229">
        <v>2.0999999999999999E-3</v>
      </c>
      <c r="AC78" s="228">
        <v>3.2</v>
      </c>
      <c r="AD78" s="228">
        <v>5.3</v>
      </c>
      <c r="AE78" s="228">
        <v>-2.1</v>
      </c>
      <c r="AF78" s="229">
        <v>2.0999999999999999E-3</v>
      </c>
      <c r="AG78" s="228">
        <v>11.4</v>
      </c>
      <c r="AH78" s="228">
        <v>14.3</v>
      </c>
      <c r="AI78" s="228">
        <v>-2.9</v>
      </c>
      <c r="AJ78" s="229">
        <v>7.6E-3</v>
      </c>
      <c r="AK78" s="228">
        <v>6.6</v>
      </c>
      <c r="AL78" s="228">
        <v>11.7</v>
      </c>
      <c r="AM78" s="228">
        <v>-5.0999999999999996</v>
      </c>
      <c r="AN78" s="229">
        <v>4.4000000000000003E-3</v>
      </c>
      <c r="AO78" s="231">
        <v>1484.33</v>
      </c>
      <c r="AP78" s="231">
        <v>1492.66</v>
      </c>
      <c r="AQ78" s="228">
        <v>0</v>
      </c>
      <c r="AR78" s="230">
        <v>10364550</v>
      </c>
      <c r="AS78" s="230">
        <v>2678900</v>
      </c>
      <c r="AT78" s="230">
        <v>7685650</v>
      </c>
      <c r="AU78" s="229">
        <v>2.8690000000000002</v>
      </c>
      <c r="AV78" s="230">
        <v>7248850</v>
      </c>
      <c r="AW78" s="230">
        <v>2277100</v>
      </c>
      <c r="AX78" s="230">
        <v>4971750</v>
      </c>
      <c r="AY78" s="229">
        <v>2.1833999999999998</v>
      </c>
      <c r="AZ78" s="230">
        <v>2967300</v>
      </c>
      <c r="BA78" s="230">
        <v>340550</v>
      </c>
      <c r="BB78" s="230">
        <v>2626750</v>
      </c>
      <c r="BC78" s="229">
        <v>7.7133000000000003</v>
      </c>
      <c r="BD78" s="230">
        <v>148400</v>
      </c>
      <c r="BE78" s="230">
        <v>61250</v>
      </c>
      <c r="BF78" s="230">
        <v>87150</v>
      </c>
      <c r="BG78" s="229">
        <v>1.4229000000000001</v>
      </c>
      <c r="BH78" s="230">
        <v>30116450</v>
      </c>
      <c r="BI78" s="230">
        <v>9271850</v>
      </c>
      <c r="BJ78" s="230">
        <v>20844600</v>
      </c>
      <c r="BK78" s="229">
        <v>2.2482000000000002</v>
      </c>
      <c r="BL78" s="230">
        <v>10676050</v>
      </c>
      <c r="BM78" s="230">
        <v>4412450</v>
      </c>
      <c r="BN78" s="230">
        <v>6263600</v>
      </c>
      <c r="BO78" s="229">
        <v>1.4195</v>
      </c>
      <c r="BP78" s="230">
        <v>51157050</v>
      </c>
      <c r="BQ78" s="230">
        <v>16363200</v>
      </c>
      <c r="BR78" s="230">
        <v>34793850</v>
      </c>
      <c r="BS78" s="229">
        <v>2.1263000000000001</v>
      </c>
      <c r="BT78" s="230">
        <v>10577486</v>
      </c>
      <c r="BU78" s="230">
        <v>2568321</v>
      </c>
      <c r="BV78" s="230">
        <v>8009165</v>
      </c>
      <c r="BW78" s="229">
        <v>3.1183999999999998</v>
      </c>
      <c r="BX78" s="230">
        <v>20309450</v>
      </c>
      <c r="BY78" s="230">
        <v>18012750</v>
      </c>
      <c r="BZ78" s="230">
        <v>2296700</v>
      </c>
      <c r="CA78" s="229">
        <v>0.1275</v>
      </c>
      <c r="CB78" s="230">
        <v>16907100</v>
      </c>
      <c r="CC78" s="230">
        <v>16602600</v>
      </c>
      <c r="CD78" s="230">
        <v>304500</v>
      </c>
      <c r="CE78" s="229">
        <v>1.83E-2</v>
      </c>
      <c r="CF78" s="230">
        <v>3204250</v>
      </c>
      <c r="CG78" s="230">
        <v>1274350</v>
      </c>
      <c r="CH78" s="230">
        <v>1929900</v>
      </c>
      <c r="CI78" s="229">
        <v>1.5144</v>
      </c>
      <c r="CJ78" s="230">
        <v>198100</v>
      </c>
      <c r="CK78" s="230">
        <v>135800</v>
      </c>
      <c r="CL78" s="230">
        <v>62300</v>
      </c>
      <c r="CM78" s="229">
        <v>0.45879999999999999</v>
      </c>
      <c r="CN78" s="230">
        <v>8741250</v>
      </c>
      <c r="CO78" s="230">
        <v>8047900</v>
      </c>
      <c r="CP78" s="230">
        <v>693350</v>
      </c>
      <c r="CQ78" s="229">
        <v>8.6199999999999999E-2</v>
      </c>
      <c r="CR78" s="230">
        <v>5577950</v>
      </c>
      <c r="CS78" s="230">
        <v>5175800</v>
      </c>
      <c r="CT78" s="230">
        <v>402150</v>
      </c>
      <c r="CU78" s="229">
        <v>7.7700000000000005E-2</v>
      </c>
      <c r="CV78" s="230">
        <v>34628650</v>
      </c>
      <c r="CW78" s="230">
        <v>31236450</v>
      </c>
      <c r="CX78" s="230">
        <v>3392200</v>
      </c>
      <c r="CY78" s="229">
        <v>0.1086</v>
      </c>
      <c r="CZ78" s="228">
        <v>23.3</v>
      </c>
      <c r="DA78" s="228">
        <v>22.69</v>
      </c>
      <c r="DB78" s="228">
        <v>0.61</v>
      </c>
      <c r="DC78" s="228">
        <v>0.61</v>
      </c>
      <c r="DD78" s="228">
        <v>29.79</v>
      </c>
      <c r="DE78" s="228">
        <v>29.81</v>
      </c>
      <c r="DF78" s="228">
        <v>-6.49</v>
      </c>
      <c r="DG78" s="228">
        <v>-0.02</v>
      </c>
      <c r="DH78" s="228">
        <v>22.92</v>
      </c>
      <c r="DI78" s="228">
        <v>22.5</v>
      </c>
      <c r="DJ78" s="228">
        <v>0.42</v>
      </c>
      <c r="DK78" s="228">
        <v>0.42</v>
      </c>
      <c r="DL78" s="228">
        <v>24.39</v>
      </c>
      <c r="DM78" s="228">
        <v>23.07</v>
      </c>
      <c r="DN78" s="228">
        <v>1.32</v>
      </c>
      <c r="DO78" s="228">
        <v>1.32</v>
      </c>
      <c r="DP78" s="228">
        <v>0.64</v>
      </c>
      <c r="DQ78" s="228">
        <v>0.64</v>
      </c>
      <c r="DR78" s="228">
        <v>0</v>
      </c>
      <c r="DS78" s="229">
        <v>0</v>
      </c>
      <c r="DT78" s="231">
        <v>1500</v>
      </c>
      <c r="DU78" s="231">
        <v>1500</v>
      </c>
      <c r="DV78" s="228">
        <v>0.35</v>
      </c>
      <c r="DW78" s="228">
        <v>0.48</v>
      </c>
      <c r="DX78" s="228">
        <v>-0.13</v>
      </c>
      <c r="DY78" s="229">
        <v>-0.27079999999999999</v>
      </c>
      <c r="DZ78" s="229">
        <v>0.16750000000000001</v>
      </c>
      <c r="EA78" s="230">
        <v>1410150</v>
      </c>
      <c r="EB78" s="229">
        <v>5.4999999999999997E-3</v>
      </c>
      <c r="EC78" s="229">
        <v>0.16750000000000001</v>
      </c>
      <c r="ED78" s="228">
        <v>8.33</v>
      </c>
      <c r="EE78" s="229">
        <v>5.5999999999999999E-3</v>
      </c>
      <c r="EF78" s="230">
        <v>7678814</v>
      </c>
      <c r="EG78" s="230">
        <v>1649494</v>
      </c>
      <c r="EH78" s="229">
        <v>3.6553</v>
      </c>
      <c r="EI78" s="229">
        <v>0.72599999999999998</v>
      </c>
      <c r="EJ78" s="231">
        <v>458966.72</v>
      </c>
      <c r="EK78" s="231">
        <v>157621.21</v>
      </c>
      <c r="EL78" s="231">
        <v>154096.23000000001</v>
      </c>
      <c r="EM78" s="228">
        <v>0</v>
      </c>
      <c r="EN78" s="231">
        <v>770684.16</v>
      </c>
      <c r="EO78" s="231">
        <v>246396.29</v>
      </c>
      <c r="EP78" s="231">
        <v>524287.87</v>
      </c>
      <c r="EQ78" s="229">
        <v>2.1278000000000001</v>
      </c>
      <c r="ER78" s="231">
        <v>135156</v>
      </c>
      <c r="ES78" s="231">
        <v>80770</v>
      </c>
      <c r="ET78" s="231">
        <v>304749</v>
      </c>
      <c r="EU78" s="231">
        <v>211800872</v>
      </c>
      <c r="EV78" s="231">
        <v>520675</v>
      </c>
      <c r="EW78" s="231">
        <v>466740</v>
      </c>
      <c r="EX78" s="231">
        <v>53935</v>
      </c>
      <c r="EY78" s="229">
        <v>0.11559999999999999</v>
      </c>
      <c r="EZ78" s="229">
        <v>0.16350000000000001</v>
      </c>
      <c r="FA78" s="227" t="s">
        <v>555</v>
      </c>
      <c r="FB78" s="161">
        <f t="shared" si="1"/>
        <v>3402350</v>
      </c>
    </row>
    <row r="79" spans="1:158" ht="17.25" hidden="1" thickBot="1" x14ac:dyDescent="0.3">
      <c r="A79" s="226">
        <v>45889</v>
      </c>
      <c r="B79" s="227" t="s">
        <v>175</v>
      </c>
      <c r="C79" s="227" t="s">
        <v>475</v>
      </c>
      <c r="D79" s="228">
        <v>150</v>
      </c>
      <c r="E79" s="231">
        <v>5707</v>
      </c>
      <c r="F79" s="231">
        <v>5724.5</v>
      </c>
      <c r="G79" s="228">
        <v>-17.5</v>
      </c>
      <c r="H79" s="229">
        <v>-3.0999999999999999E-3</v>
      </c>
      <c r="I79" s="231">
        <v>5709.5</v>
      </c>
      <c r="J79" s="231">
        <v>5719</v>
      </c>
      <c r="K79" s="228">
        <v>-9.5</v>
      </c>
      <c r="L79" s="229">
        <v>-1.6999999999999999E-3</v>
      </c>
      <c r="M79" s="231">
        <v>5707</v>
      </c>
      <c r="N79" s="231">
        <v>5724.5</v>
      </c>
      <c r="O79" s="228">
        <v>-17.5</v>
      </c>
      <c r="P79" s="229">
        <v>-3.0999999999999999E-3</v>
      </c>
      <c r="Q79" s="231">
        <v>5721</v>
      </c>
      <c r="R79" s="231">
        <v>5743.5</v>
      </c>
      <c r="S79" s="228">
        <v>-22.5</v>
      </c>
      <c r="T79" s="229">
        <v>-3.8999999999999998E-3</v>
      </c>
      <c r="U79" s="231">
        <v>5724</v>
      </c>
      <c r="V79" s="231">
        <v>5745.5</v>
      </c>
      <c r="W79" s="228">
        <v>-21.5</v>
      </c>
      <c r="X79" s="229">
        <v>-3.7000000000000002E-3</v>
      </c>
      <c r="Y79" s="228">
        <v>-2.5</v>
      </c>
      <c r="Z79" s="228">
        <v>5.5</v>
      </c>
      <c r="AA79" s="228">
        <v>-8</v>
      </c>
      <c r="AB79" s="229">
        <v>-4.0000000000000002E-4</v>
      </c>
      <c r="AC79" s="228">
        <v>-2.5</v>
      </c>
      <c r="AD79" s="228">
        <v>5.5</v>
      </c>
      <c r="AE79" s="228">
        <v>-8</v>
      </c>
      <c r="AF79" s="229">
        <v>-4.0000000000000002E-4</v>
      </c>
      <c r="AG79" s="228">
        <v>11.5</v>
      </c>
      <c r="AH79" s="228">
        <v>24.5</v>
      </c>
      <c r="AI79" s="228">
        <v>-13</v>
      </c>
      <c r="AJ79" s="229">
        <v>2E-3</v>
      </c>
      <c r="AK79" s="228">
        <v>14.5</v>
      </c>
      <c r="AL79" s="228">
        <v>26.5</v>
      </c>
      <c r="AM79" s="228">
        <v>-12</v>
      </c>
      <c r="AN79" s="229">
        <v>2.5000000000000001E-3</v>
      </c>
      <c r="AO79" s="231">
        <v>5684.56</v>
      </c>
      <c r="AP79" s="231">
        <v>5696.9</v>
      </c>
      <c r="AQ79" s="228">
        <v>0</v>
      </c>
      <c r="AR79" s="230">
        <v>449100</v>
      </c>
      <c r="AS79" s="230">
        <v>479400</v>
      </c>
      <c r="AT79" s="230">
        <v>-30300</v>
      </c>
      <c r="AU79" s="229">
        <v>-6.3200000000000006E-2</v>
      </c>
      <c r="AV79" s="230">
        <v>372900</v>
      </c>
      <c r="AW79" s="230">
        <v>406800</v>
      </c>
      <c r="AX79" s="230">
        <v>-33900</v>
      </c>
      <c r="AY79" s="229">
        <v>-8.3299999999999999E-2</v>
      </c>
      <c r="AZ79" s="230">
        <v>73200</v>
      </c>
      <c r="BA79" s="230">
        <v>69450</v>
      </c>
      <c r="BB79" s="230">
        <v>3750</v>
      </c>
      <c r="BC79" s="229">
        <v>5.3999999999999999E-2</v>
      </c>
      <c r="BD79" s="230">
        <v>3000</v>
      </c>
      <c r="BE79" s="230">
        <v>3150</v>
      </c>
      <c r="BF79" s="228">
        <v>-150</v>
      </c>
      <c r="BG79" s="229">
        <v>-4.7600000000000003E-2</v>
      </c>
      <c r="BH79" s="230">
        <v>1211700</v>
      </c>
      <c r="BI79" s="230">
        <v>1961700</v>
      </c>
      <c r="BJ79" s="230">
        <v>-750000</v>
      </c>
      <c r="BK79" s="229">
        <v>-0.38229999999999997</v>
      </c>
      <c r="BL79" s="230">
        <v>556350</v>
      </c>
      <c r="BM79" s="230">
        <v>1148250</v>
      </c>
      <c r="BN79" s="230">
        <v>-591900</v>
      </c>
      <c r="BO79" s="229">
        <v>-0.51549999999999996</v>
      </c>
      <c r="BP79" s="230">
        <v>2217150</v>
      </c>
      <c r="BQ79" s="230">
        <v>3589350</v>
      </c>
      <c r="BR79" s="230">
        <v>-1372200</v>
      </c>
      <c r="BS79" s="229">
        <v>-0.38229999999999997</v>
      </c>
      <c r="BT79" s="230">
        <v>286340</v>
      </c>
      <c r="BU79" s="230">
        <v>418064</v>
      </c>
      <c r="BV79" s="230">
        <v>-131724</v>
      </c>
      <c r="BW79" s="229">
        <v>-0.31509999999999999</v>
      </c>
      <c r="BX79" s="230">
        <v>2662500</v>
      </c>
      <c r="BY79" s="230">
        <v>2675250</v>
      </c>
      <c r="BZ79" s="230">
        <v>-12750</v>
      </c>
      <c r="CA79" s="229">
        <v>-4.7999999999999996E-3</v>
      </c>
      <c r="CB79" s="230">
        <v>2382900</v>
      </c>
      <c r="CC79" s="230">
        <v>2408550</v>
      </c>
      <c r="CD79" s="230">
        <v>-25650</v>
      </c>
      <c r="CE79" s="229">
        <v>-1.06E-2</v>
      </c>
      <c r="CF79" s="230">
        <v>273150</v>
      </c>
      <c r="CG79" s="230">
        <v>260850</v>
      </c>
      <c r="CH79" s="230">
        <v>12300</v>
      </c>
      <c r="CI79" s="229">
        <v>4.7199999999999999E-2</v>
      </c>
      <c r="CJ79" s="230">
        <v>6450</v>
      </c>
      <c r="CK79" s="230">
        <v>5850</v>
      </c>
      <c r="CL79" s="228">
        <v>600</v>
      </c>
      <c r="CM79" s="229">
        <v>0.1026</v>
      </c>
      <c r="CN79" s="230">
        <v>950700</v>
      </c>
      <c r="CO79" s="230">
        <v>933000</v>
      </c>
      <c r="CP79" s="230">
        <v>17700</v>
      </c>
      <c r="CQ79" s="229">
        <v>1.9E-2</v>
      </c>
      <c r="CR79" s="230">
        <v>616800</v>
      </c>
      <c r="CS79" s="230">
        <v>633000</v>
      </c>
      <c r="CT79" s="230">
        <v>-16200</v>
      </c>
      <c r="CU79" s="229">
        <v>-2.5600000000000001E-2</v>
      </c>
      <c r="CV79" s="230">
        <v>4230000</v>
      </c>
      <c r="CW79" s="230">
        <v>4241250</v>
      </c>
      <c r="CX79" s="230">
        <v>-11250</v>
      </c>
      <c r="CY79" s="229">
        <v>-2.7000000000000001E-3</v>
      </c>
      <c r="CZ79" s="228">
        <v>24.58</v>
      </c>
      <c r="DA79" s="228">
        <v>24.41</v>
      </c>
      <c r="DB79" s="228">
        <v>0.17</v>
      </c>
      <c r="DC79" s="228">
        <v>0.17</v>
      </c>
      <c r="DD79" s="228">
        <v>36.39</v>
      </c>
      <c r="DE79" s="228">
        <v>36.479999999999997</v>
      </c>
      <c r="DF79" s="228">
        <v>-11.81</v>
      </c>
      <c r="DG79" s="228">
        <v>-0.09</v>
      </c>
      <c r="DH79" s="228">
        <v>24.34</v>
      </c>
      <c r="DI79" s="228">
        <v>23.74</v>
      </c>
      <c r="DJ79" s="228">
        <v>0.6</v>
      </c>
      <c r="DK79" s="228">
        <v>0.6</v>
      </c>
      <c r="DL79" s="228">
        <v>25.08</v>
      </c>
      <c r="DM79" s="228">
        <v>25.55</v>
      </c>
      <c r="DN79" s="228">
        <v>-0.47</v>
      </c>
      <c r="DO79" s="228">
        <v>-0.47</v>
      </c>
      <c r="DP79" s="228">
        <v>0.65</v>
      </c>
      <c r="DQ79" s="228">
        <v>0.68</v>
      </c>
      <c r="DR79" s="228">
        <v>-0.03</v>
      </c>
      <c r="DS79" s="229">
        <v>-4.41E-2</v>
      </c>
      <c r="DT79" s="231">
        <v>5800</v>
      </c>
      <c r="DU79" s="231">
        <v>5600</v>
      </c>
      <c r="DV79" s="228">
        <v>0.46</v>
      </c>
      <c r="DW79" s="228">
        <v>0.59</v>
      </c>
      <c r="DX79" s="228">
        <v>-0.13</v>
      </c>
      <c r="DY79" s="229">
        <v>-0.2203</v>
      </c>
      <c r="DZ79" s="229">
        <v>0.105</v>
      </c>
      <c r="EA79" s="230">
        <v>266700</v>
      </c>
      <c r="EB79" s="229">
        <v>2.5000000000000001E-3</v>
      </c>
      <c r="EC79" s="229">
        <v>0.105</v>
      </c>
      <c r="ED79" s="228">
        <v>12.34</v>
      </c>
      <c r="EE79" s="229">
        <v>2.2000000000000001E-3</v>
      </c>
      <c r="EF79" s="230">
        <v>197434</v>
      </c>
      <c r="EG79" s="230">
        <v>265335</v>
      </c>
      <c r="EH79" s="229">
        <v>-0.25590000000000002</v>
      </c>
      <c r="EI79" s="229">
        <v>0.6895</v>
      </c>
      <c r="EJ79" s="231">
        <v>70864.77</v>
      </c>
      <c r="EK79" s="231">
        <v>30949.53</v>
      </c>
      <c r="EL79" s="231">
        <v>25539.05</v>
      </c>
      <c r="EM79" s="228">
        <v>0</v>
      </c>
      <c r="EN79" s="231">
        <v>127353.35</v>
      </c>
      <c r="EO79" s="231">
        <v>206711.19</v>
      </c>
      <c r="EP79" s="231">
        <v>-79357.84</v>
      </c>
      <c r="EQ79" s="229">
        <v>-0.38390000000000002</v>
      </c>
      <c r="ER79" s="231">
        <v>54581</v>
      </c>
      <c r="ES79" s="231">
        <v>33044</v>
      </c>
      <c r="ET79" s="231">
        <v>151988</v>
      </c>
      <c r="EU79" s="231">
        <v>20345944</v>
      </c>
      <c r="EV79" s="231">
        <v>239613</v>
      </c>
      <c r="EW79" s="231">
        <v>240584</v>
      </c>
      <c r="EX79" s="228">
        <v>-971</v>
      </c>
      <c r="EY79" s="229">
        <v>-4.0000000000000001E-3</v>
      </c>
      <c r="EZ79" s="229">
        <v>0.2079</v>
      </c>
      <c r="FA79" s="227" t="s">
        <v>568</v>
      </c>
      <c r="FB79" s="161">
        <f t="shared" si="1"/>
        <v>279600</v>
      </c>
    </row>
    <row r="80" spans="1:158" ht="17.25" hidden="1" thickBot="1" x14ac:dyDescent="0.3">
      <c r="A80" s="226">
        <v>45889</v>
      </c>
      <c r="B80" s="227" t="s">
        <v>172</v>
      </c>
      <c r="C80" s="227" t="s">
        <v>224</v>
      </c>
      <c r="D80" s="228">
        <v>550</v>
      </c>
      <c r="E80" s="231">
        <v>1990.8</v>
      </c>
      <c r="F80" s="231">
        <v>1994.9</v>
      </c>
      <c r="G80" s="228">
        <v>-4.0999999999999996</v>
      </c>
      <c r="H80" s="229">
        <v>-2.0999999999999999E-3</v>
      </c>
      <c r="I80" s="231">
        <v>1988.2</v>
      </c>
      <c r="J80" s="231">
        <v>1991.1</v>
      </c>
      <c r="K80" s="228">
        <v>-2.9</v>
      </c>
      <c r="L80" s="229">
        <v>-1.5E-3</v>
      </c>
      <c r="M80" s="231">
        <v>1990.8</v>
      </c>
      <c r="N80" s="231">
        <v>1994.9</v>
      </c>
      <c r="O80" s="228">
        <v>-4.0999999999999996</v>
      </c>
      <c r="P80" s="229">
        <v>-2.0999999999999999E-3</v>
      </c>
      <c r="Q80" s="231">
        <v>2002.5</v>
      </c>
      <c r="R80" s="231">
        <v>2006.5</v>
      </c>
      <c r="S80" s="228">
        <v>-4</v>
      </c>
      <c r="T80" s="229">
        <v>-2E-3</v>
      </c>
      <c r="U80" s="231">
        <v>2012.5</v>
      </c>
      <c r="V80" s="231">
        <v>2016</v>
      </c>
      <c r="W80" s="228">
        <v>-3.5</v>
      </c>
      <c r="X80" s="229">
        <v>-1.6999999999999999E-3</v>
      </c>
      <c r="Y80" s="228">
        <v>2.6</v>
      </c>
      <c r="Z80" s="228">
        <v>3.8</v>
      </c>
      <c r="AA80" s="228">
        <v>-1.2</v>
      </c>
      <c r="AB80" s="229">
        <v>1.2999999999999999E-3</v>
      </c>
      <c r="AC80" s="228">
        <v>2.6</v>
      </c>
      <c r="AD80" s="228">
        <v>3.8</v>
      </c>
      <c r="AE80" s="228">
        <v>-1.2</v>
      </c>
      <c r="AF80" s="229">
        <v>1.2999999999999999E-3</v>
      </c>
      <c r="AG80" s="228">
        <v>14.3</v>
      </c>
      <c r="AH80" s="228">
        <v>15.4</v>
      </c>
      <c r="AI80" s="228">
        <v>-1.1000000000000001</v>
      </c>
      <c r="AJ80" s="229">
        <v>7.1999999999999998E-3</v>
      </c>
      <c r="AK80" s="228">
        <v>24.3</v>
      </c>
      <c r="AL80" s="228">
        <v>24.9</v>
      </c>
      <c r="AM80" s="228">
        <v>-0.6</v>
      </c>
      <c r="AN80" s="229">
        <v>1.2200000000000001E-2</v>
      </c>
      <c r="AO80" s="231">
        <v>1988.09</v>
      </c>
      <c r="AP80" s="231">
        <v>2000.52</v>
      </c>
      <c r="AQ80" s="228">
        <v>0</v>
      </c>
      <c r="AR80" s="230">
        <v>10220100</v>
      </c>
      <c r="AS80" s="230">
        <v>13370500</v>
      </c>
      <c r="AT80" s="230">
        <v>-3150400</v>
      </c>
      <c r="AU80" s="229">
        <v>-0.2356</v>
      </c>
      <c r="AV80" s="230">
        <v>7448100</v>
      </c>
      <c r="AW80" s="230">
        <v>8972150</v>
      </c>
      <c r="AX80" s="230">
        <v>-1524050</v>
      </c>
      <c r="AY80" s="229">
        <v>-0.1699</v>
      </c>
      <c r="AZ80" s="230">
        <v>2091650</v>
      </c>
      <c r="BA80" s="230">
        <v>1371150</v>
      </c>
      <c r="BB80" s="230">
        <v>720500</v>
      </c>
      <c r="BC80" s="229">
        <v>0.52549999999999997</v>
      </c>
      <c r="BD80" s="230">
        <v>680350</v>
      </c>
      <c r="BE80" s="230">
        <v>3027200</v>
      </c>
      <c r="BF80" s="230">
        <v>-2346850</v>
      </c>
      <c r="BG80" s="229">
        <v>-0.77529999999999999</v>
      </c>
      <c r="BH80" s="230">
        <v>31763050</v>
      </c>
      <c r="BI80" s="230">
        <v>30173000</v>
      </c>
      <c r="BJ80" s="230">
        <v>1590050</v>
      </c>
      <c r="BK80" s="229">
        <v>5.2699999999999997E-2</v>
      </c>
      <c r="BL80" s="230">
        <v>19835750</v>
      </c>
      <c r="BM80" s="230">
        <v>18132400</v>
      </c>
      <c r="BN80" s="230">
        <v>1703350</v>
      </c>
      <c r="BO80" s="229">
        <v>9.3899999999999997E-2</v>
      </c>
      <c r="BP80" s="230">
        <v>61818900</v>
      </c>
      <c r="BQ80" s="230">
        <v>61675900</v>
      </c>
      <c r="BR80" s="230">
        <v>143000</v>
      </c>
      <c r="BS80" s="229">
        <v>2.3E-3</v>
      </c>
      <c r="BT80" s="230">
        <v>5294155</v>
      </c>
      <c r="BU80" s="230">
        <v>7190825</v>
      </c>
      <c r="BV80" s="230">
        <v>-1896670</v>
      </c>
      <c r="BW80" s="229">
        <v>-0.26379999999999998</v>
      </c>
      <c r="BX80" s="230">
        <v>111474550</v>
      </c>
      <c r="BY80" s="230">
        <v>111276550</v>
      </c>
      <c r="BZ80" s="230">
        <v>198000</v>
      </c>
      <c r="CA80" s="229">
        <v>1.8E-3</v>
      </c>
      <c r="CB80" s="230">
        <v>91408350</v>
      </c>
      <c r="CC80" s="230">
        <v>93479100</v>
      </c>
      <c r="CD80" s="230">
        <v>-2070750</v>
      </c>
      <c r="CE80" s="229">
        <v>-2.2200000000000001E-2</v>
      </c>
      <c r="CF80" s="230">
        <v>8265400</v>
      </c>
      <c r="CG80" s="230">
        <v>6608250</v>
      </c>
      <c r="CH80" s="230">
        <v>1657150</v>
      </c>
      <c r="CI80" s="229">
        <v>0.25080000000000002</v>
      </c>
      <c r="CJ80" s="230">
        <v>11800800</v>
      </c>
      <c r="CK80" s="230">
        <v>11189200</v>
      </c>
      <c r="CL80" s="230">
        <v>611600</v>
      </c>
      <c r="CM80" s="229">
        <v>5.4699999999999999E-2</v>
      </c>
      <c r="CN80" s="230">
        <v>22243100</v>
      </c>
      <c r="CO80" s="230">
        <v>20724000</v>
      </c>
      <c r="CP80" s="230">
        <v>1519100</v>
      </c>
      <c r="CQ80" s="229">
        <v>7.3300000000000004E-2</v>
      </c>
      <c r="CR80" s="230">
        <v>15167900</v>
      </c>
      <c r="CS80" s="230">
        <v>14953400</v>
      </c>
      <c r="CT80" s="230">
        <v>214500</v>
      </c>
      <c r="CU80" s="229">
        <v>1.43E-2</v>
      </c>
      <c r="CV80" s="230">
        <v>148885550</v>
      </c>
      <c r="CW80" s="230">
        <v>146953950</v>
      </c>
      <c r="CX80" s="230">
        <v>1931600</v>
      </c>
      <c r="CY80" s="229">
        <v>1.3100000000000001E-2</v>
      </c>
      <c r="CZ80" s="228">
        <v>16.510000000000002</v>
      </c>
      <c r="DA80" s="228">
        <v>16.059999999999999</v>
      </c>
      <c r="DB80" s="228">
        <v>0.45</v>
      </c>
      <c r="DC80" s="228">
        <v>0.45</v>
      </c>
      <c r="DD80" s="228">
        <v>22.56</v>
      </c>
      <c r="DE80" s="228">
        <v>22.62</v>
      </c>
      <c r="DF80" s="228">
        <v>-6.05</v>
      </c>
      <c r="DG80" s="228">
        <v>-0.06</v>
      </c>
      <c r="DH80" s="228">
        <v>16.52</v>
      </c>
      <c r="DI80" s="228">
        <v>16</v>
      </c>
      <c r="DJ80" s="228">
        <v>0.52</v>
      </c>
      <c r="DK80" s="228">
        <v>0.52</v>
      </c>
      <c r="DL80" s="228">
        <v>16.48</v>
      </c>
      <c r="DM80" s="228">
        <v>16.149999999999999</v>
      </c>
      <c r="DN80" s="228">
        <v>0.33</v>
      </c>
      <c r="DO80" s="228">
        <v>0.33</v>
      </c>
      <c r="DP80" s="228">
        <v>0.68</v>
      </c>
      <c r="DQ80" s="228">
        <v>0.72</v>
      </c>
      <c r="DR80" s="228">
        <v>-0.04</v>
      </c>
      <c r="DS80" s="229">
        <v>-5.5599999999999997E-2</v>
      </c>
      <c r="DT80" s="231">
        <v>2000</v>
      </c>
      <c r="DU80" s="231">
        <v>2000</v>
      </c>
      <c r="DV80" s="228">
        <v>0.62</v>
      </c>
      <c r="DW80" s="228">
        <v>0.6</v>
      </c>
      <c r="DX80" s="228">
        <v>0.02</v>
      </c>
      <c r="DY80" s="229">
        <v>3.3300000000000003E-2</v>
      </c>
      <c r="DZ80" s="229">
        <v>0.18</v>
      </c>
      <c r="EA80" s="230">
        <v>17797450</v>
      </c>
      <c r="EB80" s="229">
        <v>5.8999999999999999E-3</v>
      </c>
      <c r="EC80" s="229">
        <v>0.18</v>
      </c>
      <c r="ED80" s="228">
        <v>12.43</v>
      </c>
      <c r="EE80" s="229">
        <v>6.3E-3</v>
      </c>
      <c r="EF80" s="230">
        <v>3495815</v>
      </c>
      <c r="EG80" s="230">
        <v>3528178</v>
      </c>
      <c r="EH80" s="229">
        <v>-9.1999999999999998E-3</v>
      </c>
      <c r="EI80" s="229">
        <v>0.6603</v>
      </c>
      <c r="EJ80" s="231">
        <v>645313.61</v>
      </c>
      <c r="EK80" s="231">
        <v>391031.31</v>
      </c>
      <c r="EL80" s="231">
        <v>203593.2</v>
      </c>
      <c r="EM80" s="228">
        <v>0</v>
      </c>
      <c r="EN80" s="231">
        <v>1239938.1200000001</v>
      </c>
      <c r="EO80" s="231">
        <v>1244714.47</v>
      </c>
      <c r="EP80" s="231">
        <v>-4776.3500000000004</v>
      </c>
      <c r="EQ80" s="229">
        <v>-3.8E-3</v>
      </c>
      <c r="ER80" s="231">
        <v>455696</v>
      </c>
      <c r="ES80" s="231">
        <v>295163</v>
      </c>
      <c r="ET80" s="231">
        <v>2222763</v>
      </c>
      <c r="EU80" s="231">
        <v>1327901982</v>
      </c>
      <c r="EV80" s="231">
        <v>2973622</v>
      </c>
      <c r="EW80" s="231">
        <v>2939231</v>
      </c>
      <c r="EX80" s="231">
        <v>34391</v>
      </c>
      <c r="EY80" s="229">
        <v>1.17E-2</v>
      </c>
      <c r="EZ80" s="229">
        <v>0.11210000000000001</v>
      </c>
      <c r="FA80" s="227" t="s">
        <v>567</v>
      </c>
      <c r="FB80" s="161">
        <f t="shared" si="1"/>
        <v>20066200</v>
      </c>
    </row>
    <row r="81" spans="1:158" ht="17.25" hidden="1" thickBot="1" x14ac:dyDescent="0.3">
      <c r="A81" s="226">
        <v>45889</v>
      </c>
      <c r="B81" s="227" t="s">
        <v>175</v>
      </c>
      <c r="C81" s="227" t="s">
        <v>225</v>
      </c>
      <c r="D81" s="228">
        <v>1100</v>
      </c>
      <c r="E81" s="228">
        <v>796.6</v>
      </c>
      <c r="F81" s="228">
        <v>796.1</v>
      </c>
      <c r="G81" s="228">
        <v>0.5</v>
      </c>
      <c r="H81" s="229">
        <v>5.9999999999999995E-4</v>
      </c>
      <c r="I81" s="228">
        <v>796.55</v>
      </c>
      <c r="J81" s="228">
        <v>793.75</v>
      </c>
      <c r="K81" s="228">
        <v>2.8</v>
      </c>
      <c r="L81" s="229">
        <v>3.5000000000000001E-3</v>
      </c>
      <c r="M81" s="228">
        <v>796.6</v>
      </c>
      <c r="N81" s="228">
        <v>796.1</v>
      </c>
      <c r="O81" s="228">
        <v>0.5</v>
      </c>
      <c r="P81" s="229">
        <v>5.9999999999999995E-4</v>
      </c>
      <c r="Q81" s="228">
        <v>801.6</v>
      </c>
      <c r="R81" s="228">
        <v>800.55</v>
      </c>
      <c r="S81" s="228">
        <v>1.05</v>
      </c>
      <c r="T81" s="229">
        <v>1.2999999999999999E-3</v>
      </c>
      <c r="U81" s="228">
        <v>805.75</v>
      </c>
      <c r="V81" s="228">
        <v>805.4</v>
      </c>
      <c r="W81" s="228">
        <v>0.35</v>
      </c>
      <c r="X81" s="229">
        <v>4.0000000000000002E-4</v>
      </c>
      <c r="Y81" s="228">
        <v>0.05</v>
      </c>
      <c r="Z81" s="228">
        <v>2.35</v>
      </c>
      <c r="AA81" s="228">
        <v>-2.2999999999999998</v>
      </c>
      <c r="AB81" s="229">
        <v>1E-4</v>
      </c>
      <c r="AC81" s="228">
        <v>0.05</v>
      </c>
      <c r="AD81" s="228">
        <v>2.35</v>
      </c>
      <c r="AE81" s="228">
        <v>-2.2999999999999998</v>
      </c>
      <c r="AF81" s="229">
        <v>1E-4</v>
      </c>
      <c r="AG81" s="228">
        <v>5.05</v>
      </c>
      <c r="AH81" s="228">
        <v>6.8</v>
      </c>
      <c r="AI81" s="228">
        <v>-1.75</v>
      </c>
      <c r="AJ81" s="229">
        <v>6.3E-3</v>
      </c>
      <c r="AK81" s="228">
        <v>9.1999999999999993</v>
      </c>
      <c r="AL81" s="228">
        <v>11.65</v>
      </c>
      <c r="AM81" s="228">
        <v>-2.4500000000000002</v>
      </c>
      <c r="AN81" s="229">
        <v>1.15E-2</v>
      </c>
      <c r="AO81" s="228">
        <v>797.47</v>
      </c>
      <c r="AP81" s="228">
        <v>802.46</v>
      </c>
      <c r="AQ81" s="228">
        <v>0</v>
      </c>
      <c r="AR81" s="230">
        <v>2687300</v>
      </c>
      <c r="AS81" s="230">
        <v>2637800</v>
      </c>
      <c r="AT81" s="230">
        <v>49500</v>
      </c>
      <c r="AU81" s="229">
        <v>1.8800000000000001E-2</v>
      </c>
      <c r="AV81" s="230">
        <v>2245100</v>
      </c>
      <c r="AW81" s="230">
        <v>2214300</v>
      </c>
      <c r="AX81" s="230">
        <v>30800</v>
      </c>
      <c r="AY81" s="229">
        <v>1.3899999999999999E-2</v>
      </c>
      <c r="AZ81" s="230">
        <v>427900</v>
      </c>
      <c r="BA81" s="230">
        <v>376200</v>
      </c>
      <c r="BB81" s="230">
        <v>51700</v>
      </c>
      <c r="BC81" s="229">
        <v>0.13739999999999999</v>
      </c>
      <c r="BD81" s="230">
        <v>14300</v>
      </c>
      <c r="BE81" s="230">
        <v>47300</v>
      </c>
      <c r="BF81" s="230">
        <v>-33000</v>
      </c>
      <c r="BG81" s="229">
        <v>-0.69769999999999999</v>
      </c>
      <c r="BH81" s="230">
        <v>10554500</v>
      </c>
      <c r="BI81" s="230">
        <v>13858900</v>
      </c>
      <c r="BJ81" s="230">
        <v>-3304400</v>
      </c>
      <c r="BK81" s="229">
        <v>-0.2384</v>
      </c>
      <c r="BL81" s="230">
        <v>4911500</v>
      </c>
      <c r="BM81" s="230">
        <v>7357900</v>
      </c>
      <c r="BN81" s="230">
        <v>-2446400</v>
      </c>
      <c r="BO81" s="229">
        <v>-0.33250000000000002</v>
      </c>
      <c r="BP81" s="230">
        <v>18153300</v>
      </c>
      <c r="BQ81" s="230">
        <v>23854600</v>
      </c>
      <c r="BR81" s="230">
        <v>-5701300</v>
      </c>
      <c r="BS81" s="229">
        <v>-0.23899999999999999</v>
      </c>
      <c r="BT81" s="230">
        <v>1125339</v>
      </c>
      <c r="BU81" s="230">
        <v>1543789</v>
      </c>
      <c r="BV81" s="230">
        <v>-418450</v>
      </c>
      <c r="BW81" s="229">
        <v>-0.27110000000000001</v>
      </c>
      <c r="BX81" s="230">
        <v>28025800</v>
      </c>
      <c r="BY81" s="230">
        <v>28197400</v>
      </c>
      <c r="BZ81" s="230">
        <v>-171600</v>
      </c>
      <c r="CA81" s="229">
        <v>-6.1000000000000004E-3</v>
      </c>
      <c r="CB81" s="230">
        <v>26712400</v>
      </c>
      <c r="CC81" s="230">
        <v>27097400</v>
      </c>
      <c r="CD81" s="230">
        <v>-385000</v>
      </c>
      <c r="CE81" s="229">
        <v>-1.4200000000000001E-2</v>
      </c>
      <c r="CF81" s="230">
        <v>1212200</v>
      </c>
      <c r="CG81" s="230">
        <v>1002100</v>
      </c>
      <c r="CH81" s="230">
        <v>210100</v>
      </c>
      <c r="CI81" s="229">
        <v>0.2097</v>
      </c>
      <c r="CJ81" s="230">
        <v>101200</v>
      </c>
      <c r="CK81" s="230">
        <v>97900</v>
      </c>
      <c r="CL81" s="230">
        <v>3300</v>
      </c>
      <c r="CM81" s="229">
        <v>3.3700000000000001E-2</v>
      </c>
      <c r="CN81" s="230">
        <v>10899900</v>
      </c>
      <c r="CO81" s="230">
        <v>10446700</v>
      </c>
      <c r="CP81" s="230">
        <v>453200</v>
      </c>
      <c r="CQ81" s="229">
        <v>4.3400000000000001E-2</v>
      </c>
      <c r="CR81" s="230">
        <v>10010000</v>
      </c>
      <c r="CS81" s="230">
        <v>9936300</v>
      </c>
      <c r="CT81" s="230">
        <v>73700</v>
      </c>
      <c r="CU81" s="229">
        <v>7.4000000000000003E-3</v>
      </c>
      <c r="CV81" s="230">
        <v>48935700</v>
      </c>
      <c r="CW81" s="230">
        <v>48580400</v>
      </c>
      <c r="CX81" s="230">
        <v>355300</v>
      </c>
      <c r="CY81" s="229">
        <v>7.3000000000000001E-3</v>
      </c>
      <c r="CZ81" s="228">
        <v>21.39</v>
      </c>
      <c r="DA81" s="228">
        <v>20.73</v>
      </c>
      <c r="DB81" s="228">
        <v>0.66</v>
      </c>
      <c r="DC81" s="228">
        <v>0.66</v>
      </c>
      <c r="DD81" s="228">
        <v>27.02</v>
      </c>
      <c r="DE81" s="228">
        <v>27.09</v>
      </c>
      <c r="DF81" s="228">
        <v>-5.63</v>
      </c>
      <c r="DG81" s="228">
        <v>-7.0000000000000007E-2</v>
      </c>
      <c r="DH81" s="228">
        <v>21.4</v>
      </c>
      <c r="DI81" s="228">
        <v>20.59</v>
      </c>
      <c r="DJ81" s="228">
        <v>0.81</v>
      </c>
      <c r="DK81" s="228">
        <v>0.81</v>
      </c>
      <c r="DL81" s="228">
        <v>21.37</v>
      </c>
      <c r="DM81" s="228">
        <v>20.98</v>
      </c>
      <c r="DN81" s="228">
        <v>0.39</v>
      </c>
      <c r="DO81" s="228">
        <v>0.39</v>
      </c>
      <c r="DP81" s="228">
        <v>0.92</v>
      </c>
      <c r="DQ81" s="228">
        <v>0.95</v>
      </c>
      <c r="DR81" s="228">
        <v>-0.03</v>
      </c>
      <c r="DS81" s="229">
        <v>-3.1600000000000003E-2</v>
      </c>
      <c r="DT81" s="228">
        <v>800</v>
      </c>
      <c r="DU81" s="228">
        <v>770</v>
      </c>
      <c r="DV81" s="228">
        <v>0.47</v>
      </c>
      <c r="DW81" s="228">
        <v>0.53</v>
      </c>
      <c r="DX81" s="228">
        <v>-0.06</v>
      </c>
      <c r="DY81" s="229">
        <v>-0.1132</v>
      </c>
      <c r="DZ81" s="229">
        <v>4.6899999999999997E-2</v>
      </c>
      <c r="EA81" s="230">
        <v>1100000</v>
      </c>
      <c r="EB81" s="229">
        <v>6.3E-3</v>
      </c>
      <c r="EC81" s="229">
        <v>4.6899999999999997E-2</v>
      </c>
      <c r="ED81" s="228">
        <v>4.99</v>
      </c>
      <c r="EE81" s="229">
        <v>6.3E-3</v>
      </c>
      <c r="EF81" s="230">
        <v>554117</v>
      </c>
      <c r="EG81" s="230">
        <v>795437</v>
      </c>
      <c r="EH81" s="229">
        <v>-0.3034</v>
      </c>
      <c r="EI81" s="229">
        <v>0.4924</v>
      </c>
      <c r="EJ81" s="231">
        <v>86469.89</v>
      </c>
      <c r="EK81" s="231">
        <v>38405.879999999997</v>
      </c>
      <c r="EL81" s="231">
        <v>21453.21</v>
      </c>
      <c r="EM81" s="228">
        <v>0</v>
      </c>
      <c r="EN81" s="231">
        <v>146328.98000000001</v>
      </c>
      <c r="EO81" s="231">
        <v>191747.1</v>
      </c>
      <c r="EP81" s="231">
        <v>-45418.12</v>
      </c>
      <c r="EQ81" s="229">
        <v>-0.2369</v>
      </c>
      <c r="ER81" s="231">
        <v>88041</v>
      </c>
      <c r="ES81" s="231">
        <v>74560</v>
      </c>
      <c r="ET81" s="231">
        <v>223323</v>
      </c>
      <c r="EU81" s="231">
        <v>214162344</v>
      </c>
      <c r="EV81" s="231">
        <v>385924</v>
      </c>
      <c r="EW81" s="231">
        <v>382699</v>
      </c>
      <c r="EX81" s="231">
        <v>3225</v>
      </c>
      <c r="EY81" s="229">
        <v>8.3999999999999995E-3</v>
      </c>
      <c r="EZ81" s="229">
        <v>0.22850000000000001</v>
      </c>
      <c r="FA81" s="227" t="s">
        <v>556</v>
      </c>
      <c r="FB81" s="161">
        <f t="shared" si="1"/>
        <v>1313400</v>
      </c>
    </row>
    <row r="82" spans="1:158" ht="17.25" hidden="1" thickBot="1" x14ac:dyDescent="0.3">
      <c r="A82" s="226">
        <v>45889</v>
      </c>
      <c r="B82" s="227" t="s">
        <v>162</v>
      </c>
      <c r="C82" s="227" t="s">
        <v>226</v>
      </c>
      <c r="D82" s="228">
        <v>150</v>
      </c>
      <c r="E82" s="231">
        <v>5127.3999999999996</v>
      </c>
      <c r="F82" s="231">
        <v>5125.8</v>
      </c>
      <c r="G82" s="228">
        <v>1.6</v>
      </c>
      <c r="H82" s="229">
        <v>2.9999999999999997E-4</v>
      </c>
      <c r="I82" s="231">
        <v>5136</v>
      </c>
      <c r="J82" s="231">
        <v>5118.2</v>
      </c>
      <c r="K82" s="228">
        <v>17.8</v>
      </c>
      <c r="L82" s="229">
        <v>3.5000000000000001E-3</v>
      </c>
      <c r="M82" s="231">
        <v>5127.3999999999996</v>
      </c>
      <c r="N82" s="231">
        <v>5125.8</v>
      </c>
      <c r="O82" s="228">
        <v>1.6</v>
      </c>
      <c r="P82" s="229">
        <v>2.9999999999999997E-4</v>
      </c>
      <c r="Q82" s="231">
        <v>5115.8999999999996</v>
      </c>
      <c r="R82" s="231">
        <v>5121</v>
      </c>
      <c r="S82" s="228">
        <v>-5.0999999999999996</v>
      </c>
      <c r="T82" s="229">
        <v>-1E-3</v>
      </c>
      <c r="U82" s="231">
        <v>5120.2</v>
      </c>
      <c r="V82" s="231">
        <v>5122.3999999999996</v>
      </c>
      <c r="W82" s="228">
        <v>-2.2000000000000002</v>
      </c>
      <c r="X82" s="229">
        <v>-4.0000000000000002E-4</v>
      </c>
      <c r="Y82" s="228">
        <v>-8.6</v>
      </c>
      <c r="Z82" s="228">
        <v>7.6</v>
      </c>
      <c r="AA82" s="228">
        <v>-16.2</v>
      </c>
      <c r="AB82" s="229">
        <v>-1.6999999999999999E-3</v>
      </c>
      <c r="AC82" s="228">
        <v>-8.6</v>
      </c>
      <c r="AD82" s="228">
        <v>7.6</v>
      </c>
      <c r="AE82" s="228">
        <v>-16.2</v>
      </c>
      <c r="AF82" s="229">
        <v>-1.6999999999999999E-3</v>
      </c>
      <c r="AG82" s="228">
        <v>-20.100000000000001</v>
      </c>
      <c r="AH82" s="228">
        <v>2.8</v>
      </c>
      <c r="AI82" s="228">
        <v>-22.9</v>
      </c>
      <c r="AJ82" s="229">
        <v>-3.8999999999999998E-3</v>
      </c>
      <c r="AK82" s="228">
        <v>-15.8</v>
      </c>
      <c r="AL82" s="228">
        <v>4.2</v>
      </c>
      <c r="AM82" s="228">
        <v>-20</v>
      </c>
      <c r="AN82" s="229">
        <v>-3.0999999999999999E-3</v>
      </c>
      <c r="AO82" s="231">
        <v>5140.4799999999996</v>
      </c>
      <c r="AP82" s="231">
        <v>5128.84</v>
      </c>
      <c r="AQ82" s="228">
        <v>0</v>
      </c>
      <c r="AR82" s="230">
        <v>1464900</v>
      </c>
      <c r="AS82" s="230">
        <v>2311950</v>
      </c>
      <c r="AT82" s="230">
        <v>-847050</v>
      </c>
      <c r="AU82" s="229">
        <v>-0.3664</v>
      </c>
      <c r="AV82" s="230">
        <v>1219950</v>
      </c>
      <c r="AW82" s="230">
        <v>1978800</v>
      </c>
      <c r="AX82" s="230">
        <v>-758850</v>
      </c>
      <c r="AY82" s="229">
        <v>-0.38350000000000001</v>
      </c>
      <c r="AZ82" s="230">
        <v>227250</v>
      </c>
      <c r="BA82" s="230">
        <v>297150</v>
      </c>
      <c r="BB82" s="230">
        <v>-69900</v>
      </c>
      <c r="BC82" s="229">
        <v>-0.23519999999999999</v>
      </c>
      <c r="BD82" s="230">
        <v>17700</v>
      </c>
      <c r="BE82" s="230">
        <v>36000</v>
      </c>
      <c r="BF82" s="230">
        <v>-18300</v>
      </c>
      <c r="BG82" s="229">
        <v>-0.50829999999999997</v>
      </c>
      <c r="BH82" s="230">
        <v>11590650</v>
      </c>
      <c r="BI82" s="230">
        <v>24999300</v>
      </c>
      <c r="BJ82" s="230">
        <v>-13408650</v>
      </c>
      <c r="BK82" s="229">
        <v>-0.53639999999999999</v>
      </c>
      <c r="BL82" s="230">
        <v>6792900</v>
      </c>
      <c r="BM82" s="230">
        <v>11665050</v>
      </c>
      <c r="BN82" s="230">
        <v>-4872150</v>
      </c>
      <c r="BO82" s="229">
        <v>-0.41770000000000002</v>
      </c>
      <c r="BP82" s="230">
        <v>19848450</v>
      </c>
      <c r="BQ82" s="230">
        <v>38976300</v>
      </c>
      <c r="BR82" s="230">
        <v>-19127850</v>
      </c>
      <c r="BS82" s="229">
        <v>-0.49080000000000001</v>
      </c>
      <c r="BT82" s="230">
        <v>950647</v>
      </c>
      <c r="BU82" s="230">
        <v>1589267</v>
      </c>
      <c r="BV82" s="230">
        <v>-638620</v>
      </c>
      <c r="BW82" s="229">
        <v>-0.40179999999999999</v>
      </c>
      <c r="BX82" s="230">
        <v>7279950</v>
      </c>
      <c r="BY82" s="230">
        <v>7111350</v>
      </c>
      <c r="BZ82" s="230">
        <v>168600</v>
      </c>
      <c r="CA82" s="229">
        <v>2.3699999999999999E-2</v>
      </c>
      <c r="CB82" s="230">
        <v>6600150</v>
      </c>
      <c r="CC82" s="230">
        <v>6505350</v>
      </c>
      <c r="CD82" s="230">
        <v>94800</v>
      </c>
      <c r="CE82" s="229">
        <v>1.46E-2</v>
      </c>
      <c r="CF82" s="230">
        <v>637500</v>
      </c>
      <c r="CG82" s="230">
        <v>571200</v>
      </c>
      <c r="CH82" s="230">
        <v>66300</v>
      </c>
      <c r="CI82" s="229">
        <v>0.11609999999999999</v>
      </c>
      <c r="CJ82" s="230">
        <v>42300</v>
      </c>
      <c r="CK82" s="230">
        <v>34800</v>
      </c>
      <c r="CL82" s="230">
        <v>7500</v>
      </c>
      <c r="CM82" s="229">
        <v>0.2155</v>
      </c>
      <c r="CN82" s="230">
        <v>4658100</v>
      </c>
      <c r="CO82" s="230">
        <v>4316400</v>
      </c>
      <c r="CP82" s="230">
        <v>341700</v>
      </c>
      <c r="CQ82" s="229">
        <v>7.9200000000000007E-2</v>
      </c>
      <c r="CR82" s="230">
        <v>4376700</v>
      </c>
      <c r="CS82" s="230">
        <v>4297350</v>
      </c>
      <c r="CT82" s="230">
        <v>79350</v>
      </c>
      <c r="CU82" s="229">
        <v>1.8499999999999999E-2</v>
      </c>
      <c r="CV82" s="230">
        <v>16314750</v>
      </c>
      <c r="CW82" s="230">
        <v>15725100</v>
      </c>
      <c r="CX82" s="230">
        <v>589650</v>
      </c>
      <c r="CY82" s="229">
        <v>3.7499999999999999E-2</v>
      </c>
      <c r="CZ82" s="228">
        <v>27.56</v>
      </c>
      <c r="DA82" s="228">
        <v>26.82</v>
      </c>
      <c r="DB82" s="228">
        <v>0.74</v>
      </c>
      <c r="DC82" s="228">
        <v>0.74</v>
      </c>
      <c r="DD82" s="228">
        <v>32.270000000000003</v>
      </c>
      <c r="DE82" s="228">
        <v>32.340000000000003</v>
      </c>
      <c r="DF82" s="228">
        <v>-4.71</v>
      </c>
      <c r="DG82" s="228">
        <v>-7.0000000000000007E-2</v>
      </c>
      <c r="DH82" s="228">
        <v>26.73</v>
      </c>
      <c r="DI82" s="228">
        <v>25.84</v>
      </c>
      <c r="DJ82" s="228">
        <v>0.89</v>
      </c>
      <c r="DK82" s="228">
        <v>0.89</v>
      </c>
      <c r="DL82" s="228">
        <v>28.98</v>
      </c>
      <c r="DM82" s="228">
        <v>28.9</v>
      </c>
      <c r="DN82" s="228">
        <v>0.08</v>
      </c>
      <c r="DO82" s="228">
        <v>0.08</v>
      </c>
      <c r="DP82" s="228">
        <v>0.94</v>
      </c>
      <c r="DQ82" s="228">
        <v>1</v>
      </c>
      <c r="DR82" s="228">
        <v>-0.06</v>
      </c>
      <c r="DS82" s="229">
        <v>-0.06</v>
      </c>
      <c r="DT82" s="231">
        <v>4600</v>
      </c>
      <c r="DU82" s="231">
        <v>5000</v>
      </c>
      <c r="DV82" s="228">
        <v>0.59</v>
      </c>
      <c r="DW82" s="228">
        <v>0.47</v>
      </c>
      <c r="DX82" s="228">
        <v>0.12</v>
      </c>
      <c r="DY82" s="229">
        <v>0.25530000000000003</v>
      </c>
      <c r="DZ82" s="229">
        <v>9.3399999999999997E-2</v>
      </c>
      <c r="EA82" s="230">
        <v>606000</v>
      </c>
      <c r="EB82" s="229">
        <v>-2.2000000000000001E-3</v>
      </c>
      <c r="EC82" s="229">
        <v>9.3399999999999997E-2</v>
      </c>
      <c r="ED82" s="228">
        <v>-11.64</v>
      </c>
      <c r="EE82" s="229">
        <v>-2.3E-3</v>
      </c>
      <c r="EF82" s="230">
        <v>489958</v>
      </c>
      <c r="EG82" s="230">
        <v>600513</v>
      </c>
      <c r="EH82" s="229">
        <v>-0.18410000000000001</v>
      </c>
      <c r="EI82" s="229">
        <v>0.51539999999999997</v>
      </c>
      <c r="EJ82" s="231">
        <v>614664.11</v>
      </c>
      <c r="EK82" s="231">
        <v>339393.82</v>
      </c>
      <c r="EL82" s="231">
        <v>75274.5</v>
      </c>
      <c r="EM82" s="228">
        <v>0</v>
      </c>
      <c r="EN82" s="231">
        <v>1029332.43</v>
      </c>
      <c r="EO82" s="231">
        <v>2010390.18</v>
      </c>
      <c r="EP82" s="231">
        <v>-981057.75</v>
      </c>
      <c r="EQ82" s="229">
        <v>-0.48799999999999999</v>
      </c>
      <c r="ER82" s="231">
        <v>234486</v>
      </c>
      <c r="ES82" s="231">
        <v>204109</v>
      </c>
      <c r="ET82" s="231">
        <v>373196</v>
      </c>
      <c r="EU82" s="231">
        <v>26105505</v>
      </c>
      <c r="EV82" s="231">
        <v>811790</v>
      </c>
      <c r="EW82" s="231">
        <v>779256</v>
      </c>
      <c r="EX82" s="231">
        <v>32534</v>
      </c>
      <c r="EY82" s="229">
        <v>4.1799999999999997E-2</v>
      </c>
      <c r="EZ82" s="229">
        <v>0.625</v>
      </c>
      <c r="FA82" s="227" t="s">
        <v>555</v>
      </c>
      <c r="FB82" s="161">
        <f t="shared" si="1"/>
        <v>679800</v>
      </c>
    </row>
    <row r="83" spans="1:158" ht="17.25" hidden="1" thickBot="1" x14ac:dyDescent="0.3">
      <c r="A83" s="226">
        <v>45889</v>
      </c>
      <c r="B83" s="227" t="s">
        <v>221</v>
      </c>
      <c r="C83" s="227" t="s">
        <v>577</v>
      </c>
      <c r="D83" s="228">
        <v>6450</v>
      </c>
      <c r="E83" s="228">
        <v>75.36</v>
      </c>
      <c r="F83" s="228">
        <v>74.760000000000005</v>
      </c>
      <c r="G83" s="228">
        <v>0.6</v>
      </c>
      <c r="H83" s="229">
        <v>8.0000000000000002E-3</v>
      </c>
      <c r="I83" s="228">
        <v>75.27</v>
      </c>
      <c r="J83" s="228">
        <v>74.38</v>
      </c>
      <c r="K83" s="228">
        <v>0.89</v>
      </c>
      <c r="L83" s="229">
        <v>1.2E-2</v>
      </c>
      <c r="M83" s="228">
        <v>75.36</v>
      </c>
      <c r="N83" s="228">
        <v>74.760000000000005</v>
      </c>
      <c r="O83" s="228">
        <v>0.6</v>
      </c>
      <c r="P83" s="229">
        <v>8.0000000000000002E-3</v>
      </c>
      <c r="Q83" s="228">
        <v>75.77</v>
      </c>
      <c r="R83" s="228">
        <v>75.010000000000005</v>
      </c>
      <c r="S83" s="228">
        <v>0.76</v>
      </c>
      <c r="T83" s="229">
        <v>1.01E-2</v>
      </c>
      <c r="U83" s="228">
        <v>76.19</v>
      </c>
      <c r="V83" s="228">
        <v>75.61</v>
      </c>
      <c r="W83" s="228">
        <v>0.57999999999999996</v>
      </c>
      <c r="X83" s="229">
        <v>7.7000000000000002E-3</v>
      </c>
      <c r="Y83" s="228">
        <v>0.09</v>
      </c>
      <c r="Z83" s="228">
        <v>0.38</v>
      </c>
      <c r="AA83" s="228">
        <v>-0.28999999999999998</v>
      </c>
      <c r="AB83" s="229">
        <v>1.1999999999999999E-3</v>
      </c>
      <c r="AC83" s="228">
        <v>0.09</v>
      </c>
      <c r="AD83" s="228">
        <v>0.38</v>
      </c>
      <c r="AE83" s="228">
        <v>-0.28999999999999998</v>
      </c>
      <c r="AF83" s="229">
        <v>1.1999999999999999E-3</v>
      </c>
      <c r="AG83" s="228">
        <v>0.5</v>
      </c>
      <c r="AH83" s="228">
        <v>0.63</v>
      </c>
      <c r="AI83" s="228">
        <v>-0.13</v>
      </c>
      <c r="AJ83" s="229">
        <v>6.6E-3</v>
      </c>
      <c r="AK83" s="228">
        <v>0.92</v>
      </c>
      <c r="AL83" s="228">
        <v>1.23</v>
      </c>
      <c r="AM83" s="228">
        <v>-0.31</v>
      </c>
      <c r="AN83" s="229">
        <v>1.2200000000000001E-2</v>
      </c>
      <c r="AO83" s="228">
        <v>75.349999999999994</v>
      </c>
      <c r="AP83" s="228">
        <v>75.86</v>
      </c>
      <c r="AQ83" s="228">
        <v>0</v>
      </c>
      <c r="AR83" s="230">
        <v>8655900</v>
      </c>
      <c r="AS83" s="230">
        <v>12442050</v>
      </c>
      <c r="AT83" s="230">
        <v>-3786150</v>
      </c>
      <c r="AU83" s="229">
        <v>-0.30430000000000001</v>
      </c>
      <c r="AV83" s="230">
        <v>5682450</v>
      </c>
      <c r="AW83" s="230">
        <v>8430150</v>
      </c>
      <c r="AX83" s="230">
        <v>-2747700</v>
      </c>
      <c r="AY83" s="229">
        <v>-0.32590000000000002</v>
      </c>
      <c r="AZ83" s="230">
        <v>2818650</v>
      </c>
      <c r="BA83" s="230">
        <v>3721650</v>
      </c>
      <c r="BB83" s="230">
        <v>-903000</v>
      </c>
      <c r="BC83" s="229">
        <v>-0.24260000000000001</v>
      </c>
      <c r="BD83" s="230">
        <v>154800</v>
      </c>
      <c r="BE83" s="230">
        <v>290250</v>
      </c>
      <c r="BF83" s="230">
        <v>-135450</v>
      </c>
      <c r="BG83" s="229">
        <v>-0.4667</v>
      </c>
      <c r="BH83" s="230">
        <v>12880650</v>
      </c>
      <c r="BI83" s="230">
        <v>18582450</v>
      </c>
      <c r="BJ83" s="230">
        <v>-5701800</v>
      </c>
      <c r="BK83" s="229">
        <v>-0.30680000000000002</v>
      </c>
      <c r="BL83" s="230">
        <v>4605300</v>
      </c>
      <c r="BM83" s="230">
        <v>6172650</v>
      </c>
      <c r="BN83" s="230">
        <v>-1567350</v>
      </c>
      <c r="BO83" s="229">
        <v>-0.25390000000000001</v>
      </c>
      <c r="BP83" s="230">
        <v>26141850</v>
      </c>
      <c r="BQ83" s="230">
        <v>37197150</v>
      </c>
      <c r="BR83" s="230">
        <v>-11055300</v>
      </c>
      <c r="BS83" s="229">
        <v>-0.29720000000000002</v>
      </c>
      <c r="BT83" s="230">
        <v>5089173</v>
      </c>
      <c r="BU83" s="230">
        <v>8251347</v>
      </c>
      <c r="BV83" s="230">
        <v>-3162174</v>
      </c>
      <c r="BW83" s="229">
        <v>-0.38319999999999999</v>
      </c>
      <c r="BX83" s="230">
        <v>95621250</v>
      </c>
      <c r="BY83" s="230">
        <v>94873050</v>
      </c>
      <c r="BZ83" s="230">
        <v>748200</v>
      </c>
      <c r="CA83" s="229">
        <v>7.9000000000000008E-3</v>
      </c>
      <c r="CB83" s="230">
        <v>85030350</v>
      </c>
      <c r="CC83" s="230">
        <v>85707600</v>
      </c>
      <c r="CD83" s="230">
        <v>-677250</v>
      </c>
      <c r="CE83" s="229">
        <v>-7.9000000000000008E-3</v>
      </c>
      <c r="CF83" s="230">
        <v>9720150</v>
      </c>
      <c r="CG83" s="230">
        <v>8385000</v>
      </c>
      <c r="CH83" s="230">
        <v>1335150</v>
      </c>
      <c r="CI83" s="229">
        <v>0.15920000000000001</v>
      </c>
      <c r="CJ83" s="230">
        <v>870750</v>
      </c>
      <c r="CK83" s="230">
        <v>780450</v>
      </c>
      <c r="CL83" s="230">
        <v>90300</v>
      </c>
      <c r="CM83" s="229">
        <v>0.1157</v>
      </c>
      <c r="CN83" s="230">
        <v>31256700</v>
      </c>
      <c r="CO83" s="230">
        <v>32282250</v>
      </c>
      <c r="CP83" s="230">
        <v>-1025550</v>
      </c>
      <c r="CQ83" s="229">
        <v>-3.1800000000000002E-2</v>
      </c>
      <c r="CR83" s="230">
        <v>17853600</v>
      </c>
      <c r="CS83" s="230">
        <v>17544000</v>
      </c>
      <c r="CT83" s="230">
        <v>309600</v>
      </c>
      <c r="CU83" s="229">
        <v>1.7600000000000001E-2</v>
      </c>
      <c r="CV83" s="230">
        <v>144731550</v>
      </c>
      <c r="CW83" s="230">
        <v>144699300</v>
      </c>
      <c r="CX83" s="230">
        <v>32250</v>
      </c>
      <c r="CY83" s="229">
        <v>2.0000000000000001E-4</v>
      </c>
      <c r="CZ83" s="228">
        <v>38.15</v>
      </c>
      <c r="DA83" s="228">
        <v>40.58</v>
      </c>
      <c r="DB83" s="228">
        <v>-2.4300000000000002</v>
      </c>
      <c r="DC83" s="228">
        <v>-2.4300000000000002</v>
      </c>
      <c r="DD83" s="228">
        <v>56.74</v>
      </c>
      <c r="DE83" s="228">
        <v>56.87</v>
      </c>
      <c r="DF83" s="228">
        <v>-18.59</v>
      </c>
      <c r="DG83" s="228">
        <v>-0.13</v>
      </c>
      <c r="DH83" s="228">
        <v>38.72</v>
      </c>
      <c r="DI83" s="228">
        <v>40.68</v>
      </c>
      <c r="DJ83" s="228">
        <v>-1.96</v>
      </c>
      <c r="DK83" s="228">
        <v>-1.96</v>
      </c>
      <c r="DL83" s="228">
        <v>36.56</v>
      </c>
      <c r="DM83" s="228">
        <v>40.28</v>
      </c>
      <c r="DN83" s="228">
        <v>-3.72</v>
      </c>
      <c r="DO83" s="228">
        <v>-3.72</v>
      </c>
      <c r="DP83" s="228">
        <v>0.56999999999999995</v>
      </c>
      <c r="DQ83" s="228">
        <v>0.54</v>
      </c>
      <c r="DR83" s="228">
        <v>0.03</v>
      </c>
      <c r="DS83" s="229">
        <v>5.5599999999999997E-2</v>
      </c>
      <c r="DT83" s="228">
        <v>75</v>
      </c>
      <c r="DU83" s="228">
        <v>70</v>
      </c>
      <c r="DV83" s="228">
        <v>0.36</v>
      </c>
      <c r="DW83" s="228">
        <v>0.33</v>
      </c>
      <c r="DX83" s="228">
        <v>0.03</v>
      </c>
      <c r="DY83" s="229">
        <v>9.0899999999999995E-2</v>
      </c>
      <c r="DZ83" s="229">
        <v>0.1108</v>
      </c>
      <c r="EA83" s="230">
        <v>9165450</v>
      </c>
      <c r="EB83" s="229">
        <v>5.4000000000000003E-3</v>
      </c>
      <c r="EC83" s="229">
        <v>0.1108</v>
      </c>
      <c r="ED83" s="228">
        <v>0.51</v>
      </c>
      <c r="EE83" s="229">
        <v>6.7999999999999996E-3</v>
      </c>
      <c r="EF83" s="230">
        <v>1491786</v>
      </c>
      <c r="EG83" s="230">
        <v>3217427</v>
      </c>
      <c r="EH83" s="229">
        <v>-0.5363</v>
      </c>
      <c r="EI83" s="229">
        <v>0.29310000000000003</v>
      </c>
      <c r="EJ83" s="231">
        <v>10166.58</v>
      </c>
      <c r="EK83" s="231">
        <v>3554.57</v>
      </c>
      <c r="EL83" s="231">
        <v>6537.71</v>
      </c>
      <c r="EM83" s="228">
        <v>0</v>
      </c>
      <c r="EN83" s="231">
        <v>20258.86</v>
      </c>
      <c r="EO83" s="231">
        <v>28473.99</v>
      </c>
      <c r="EP83" s="231">
        <v>-8215.1299999999992</v>
      </c>
      <c r="EQ83" s="229">
        <v>-0.28849999999999998</v>
      </c>
      <c r="ER83" s="231">
        <v>25513</v>
      </c>
      <c r="ES83" s="231">
        <v>13641</v>
      </c>
      <c r="ET83" s="231">
        <v>72107</v>
      </c>
      <c r="EU83" s="231">
        <v>197306132</v>
      </c>
      <c r="EV83" s="231">
        <v>111261</v>
      </c>
      <c r="EW83" s="231">
        <v>110675</v>
      </c>
      <c r="EX83" s="228">
        <v>586</v>
      </c>
      <c r="EY83" s="229">
        <v>5.3E-3</v>
      </c>
      <c r="EZ83" s="229">
        <v>0.73350000000000004</v>
      </c>
      <c r="FA83" s="227" t="s">
        <v>555</v>
      </c>
      <c r="FB83" s="161">
        <f t="shared" si="1"/>
        <v>10590900</v>
      </c>
    </row>
    <row r="84" spans="1:158" ht="17.25" hidden="1" thickBot="1" x14ac:dyDescent="0.3">
      <c r="A84" s="226">
        <v>45889</v>
      </c>
      <c r="B84" s="227" t="s">
        <v>227</v>
      </c>
      <c r="C84" s="227" t="s">
        <v>228</v>
      </c>
      <c r="D84" s="228">
        <v>1400</v>
      </c>
      <c r="E84" s="228">
        <v>702.15</v>
      </c>
      <c r="F84" s="228">
        <v>709.1</v>
      </c>
      <c r="G84" s="228">
        <v>-6.95</v>
      </c>
      <c r="H84" s="229">
        <v>-9.7999999999999997E-3</v>
      </c>
      <c r="I84" s="228">
        <v>700.85</v>
      </c>
      <c r="J84" s="228">
        <v>706.7</v>
      </c>
      <c r="K84" s="228">
        <v>-5.85</v>
      </c>
      <c r="L84" s="229">
        <v>-8.3000000000000001E-3</v>
      </c>
      <c r="M84" s="228">
        <v>702.15</v>
      </c>
      <c r="N84" s="228">
        <v>709.1</v>
      </c>
      <c r="O84" s="228">
        <v>-6.95</v>
      </c>
      <c r="P84" s="229">
        <v>-9.7999999999999997E-3</v>
      </c>
      <c r="Q84" s="228">
        <v>706.35</v>
      </c>
      <c r="R84" s="228">
        <v>712.8</v>
      </c>
      <c r="S84" s="228">
        <v>-6.45</v>
      </c>
      <c r="T84" s="229">
        <v>-8.9999999999999993E-3</v>
      </c>
      <c r="U84" s="228">
        <v>710.2</v>
      </c>
      <c r="V84" s="228">
        <v>716.25</v>
      </c>
      <c r="W84" s="228">
        <v>-6.05</v>
      </c>
      <c r="X84" s="229">
        <v>-8.3999999999999995E-3</v>
      </c>
      <c r="Y84" s="228">
        <v>1.3</v>
      </c>
      <c r="Z84" s="228">
        <v>2.4</v>
      </c>
      <c r="AA84" s="228">
        <v>-1.1000000000000001</v>
      </c>
      <c r="AB84" s="229">
        <v>1.9E-3</v>
      </c>
      <c r="AC84" s="228">
        <v>1.3</v>
      </c>
      <c r="AD84" s="228">
        <v>2.4</v>
      </c>
      <c r="AE84" s="228">
        <v>-1.1000000000000001</v>
      </c>
      <c r="AF84" s="229">
        <v>1.9E-3</v>
      </c>
      <c r="AG84" s="228">
        <v>5.5</v>
      </c>
      <c r="AH84" s="228">
        <v>6.1</v>
      </c>
      <c r="AI84" s="228">
        <v>-0.6</v>
      </c>
      <c r="AJ84" s="229">
        <v>7.7999999999999996E-3</v>
      </c>
      <c r="AK84" s="228">
        <v>9.35</v>
      </c>
      <c r="AL84" s="228">
        <v>9.5500000000000007</v>
      </c>
      <c r="AM84" s="228">
        <v>-0.2</v>
      </c>
      <c r="AN84" s="229">
        <v>1.3299999999999999E-2</v>
      </c>
      <c r="AO84" s="228">
        <v>702.59</v>
      </c>
      <c r="AP84" s="228">
        <v>706.83</v>
      </c>
      <c r="AQ84" s="228">
        <v>0</v>
      </c>
      <c r="AR84" s="230">
        <v>8922200</v>
      </c>
      <c r="AS84" s="230">
        <v>12828200</v>
      </c>
      <c r="AT84" s="230">
        <v>-3906000</v>
      </c>
      <c r="AU84" s="229">
        <v>-0.30449999999999999</v>
      </c>
      <c r="AV84" s="230">
        <v>6997200</v>
      </c>
      <c r="AW84" s="230">
        <v>9234400</v>
      </c>
      <c r="AX84" s="230">
        <v>-2237200</v>
      </c>
      <c r="AY84" s="229">
        <v>-0.24229999999999999</v>
      </c>
      <c r="AZ84" s="230">
        <v>1724800</v>
      </c>
      <c r="BA84" s="230">
        <v>3280200</v>
      </c>
      <c r="BB84" s="230">
        <v>-1555400</v>
      </c>
      <c r="BC84" s="229">
        <v>-0.47420000000000001</v>
      </c>
      <c r="BD84" s="230">
        <v>200200</v>
      </c>
      <c r="BE84" s="230">
        <v>313600</v>
      </c>
      <c r="BF84" s="230">
        <v>-113400</v>
      </c>
      <c r="BG84" s="229">
        <v>-0.36159999999999998</v>
      </c>
      <c r="BH84" s="230">
        <v>28551600</v>
      </c>
      <c r="BI84" s="230">
        <v>30129400</v>
      </c>
      <c r="BJ84" s="230">
        <v>-1577800</v>
      </c>
      <c r="BK84" s="229">
        <v>-5.2400000000000002E-2</v>
      </c>
      <c r="BL84" s="230">
        <v>20918800</v>
      </c>
      <c r="BM84" s="230">
        <v>23961000</v>
      </c>
      <c r="BN84" s="230">
        <v>-3042200</v>
      </c>
      <c r="BO84" s="229">
        <v>-0.127</v>
      </c>
      <c r="BP84" s="230">
        <v>58392600</v>
      </c>
      <c r="BQ84" s="230">
        <v>66918600</v>
      </c>
      <c r="BR84" s="230">
        <v>-8526000</v>
      </c>
      <c r="BS84" s="229">
        <v>-0.12740000000000001</v>
      </c>
      <c r="BT84" s="230">
        <v>5570276</v>
      </c>
      <c r="BU84" s="230">
        <v>5907124</v>
      </c>
      <c r="BV84" s="230">
        <v>-336848</v>
      </c>
      <c r="BW84" s="229">
        <v>-5.7000000000000002E-2</v>
      </c>
      <c r="BX84" s="230">
        <v>53698400</v>
      </c>
      <c r="BY84" s="230">
        <v>52414600</v>
      </c>
      <c r="BZ84" s="230">
        <v>1283800</v>
      </c>
      <c r="CA84" s="229">
        <v>2.4500000000000001E-2</v>
      </c>
      <c r="CB84" s="230">
        <v>45690400</v>
      </c>
      <c r="CC84" s="230">
        <v>45285800</v>
      </c>
      <c r="CD84" s="230">
        <v>404600</v>
      </c>
      <c r="CE84" s="229">
        <v>8.8999999999999999E-3</v>
      </c>
      <c r="CF84" s="230">
        <v>6322400</v>
      </c>
      <c r="CG84" s="230">
        <v>5587400</v>
      </c>
      <c r="CH84" s="230">
        <v>735000</v>
      </c>
      <c r="CI84" s="229">
        <v>0.13150000000000001</v>
      </c>
      <c r="CJ84" s="230">
        <v>1685600</v>
      </c>
      <c r="CK84" s="230">
        <v>1541400</v>
      </c>
      <c r="CL84" s="230">
        <v>144200</v>
      </c>
      <c r="CM84" s="229">
        <v>9.3600000000000003E-2</v>
      </c>
      <c r="CN84" s="230">
        <v>18131400</v>
      </c>
      <c r="CO84" s="230">
        <v>17908800</v>
      </c>
      <c r="CP84" s="230">
        <v>222600</v>
      </c>
      <c r="CQ84" s="229">
        <v>1.24E-2</v>
      </c>
      <c r="CR84" s="230">
        <v>12325600</v>
      </c>
      <c r="CS84" s="230">
        <v>13190800</v>
      </c>
      <c r="CT84" s="230">
        <v>-865200</v>
      </c>
      <c r="CU84" s="229">
        <v>-6.5600000000000006E-2</v>
      </c>
      <c r="CV84" s="230">
        <v>84155400</v>
      </c>
      <c r="CW84" s="230">
        <v>83514200</v>
      </c>
      <c r="CX84" s="230">
        <v>641200</v>
      </c>
      <c r="CY84" s="229">
        <v>7.7000000000000002E-3</v>
      </c>
      <c r="CZ84" s="228">
        <v>24.05</v>
      </c>
      <c r="DA84" s="228">
        <v>23.73</v>
      </c>
      <c r="DB84" s="228">
        <v>0.32</v>
      </c>
      <c r="DC84" s="228">
        <v>0.32</v>
      </c>
      <c r="DD84" s="228">
        <v>35.28</v>
      </c>
      <c r="DE84" s="228">
        <v>35.35</v>
      </c>
      <c r="DF84" s="228">
        <v>-11.23</v>
      </c>
      <c r="DG84" s="228">
        <v>-7.0000000000000007E-2</v>
      </c>
      <c r="DH84" s="228">
        <v>23.6</v>
      </c>
      <c r="DI84" s="228">
        <v>23.4</v>
      </c>
      <c r="DJ84" s="228">
        <v>0.2</v>
      </c>
      <c r="DK84" s="228">
        <v>0.2</v>
      </c>
      <c r="DL84" s="228">
        <v>24.65</v>
      </c>
      <c r="DM84" s="228">
        <v>24.14</v>
      </c>
      <c r="DN84" s="228">
        <v>0.51</v>
      </c>
      <c r="DO84" s="228">
        <v>0.51</v>
      </c>
      <c r="DP84" s="228">
        <v>0.68</v>
      </c>
      <c r="DQ84" s="228">
        <v>0.74</v>
      </c>
      <c r="DR84" s="228">
        <v>-0.06</v>
      </c>
      <c r="DS84" s="229">
        <v>-8.1100000000000005E-2</v>
      </c>
      <c r="DT84" s="228">
        <v>720</v>
      </c>
      <c r="DU84" s="228">
        <v>660</v>
      </c>
      <c r="DV84" s="228">
        <v>0.73</v>
      </c>
      <c r="DW84" s="228">
        <v>0.8</v>
      </c>
      <c r="DX84" s="228">
        <v>-7.0000000000000007E-2</v>
      </c>
      <c r="DY84" s="229">
        <v>-8.7499999999999994E-2</v>
      </c>
      <c r="DZ84" s="229">
        <v>0.14910000000000001</v>
      </c>
      <c r="EA84" s="230">
        <v>7128800</v>
      </c>
      <c r="EB84" s="229">
        <v>6.0000000000000001E-3</v>
      </c>
      <c r="EC84" s="229">
        <v>0.14910000000000001</v>
      </c>
      <c r="ED84" s="228">
        <v>4.24</v>
      </c>
      <c r="EE84" s="229">
        <v>6.0000000000000001E-3</v>
      </c>
      <c r="EF84" s="230">
        <v>3498671</v>
      </c>
      <c r="EG84" s="230">
        <v>4128207</v>
      </c>
      <c r="EH84" s="229">
        <v>-0.1525</v>
      </c>
      <c r="EI84" s="229">
        <v>0.62809999999999999</v>
      </c>
      <c r="EJ84" s="231">
        <v>206737.99</v>
      </c>
      <c r="EK84" s="231">
        <v>144682.5</v>
      </c>
      <c r="EL84" s="231">
        <v>62775.16</v>
      </c>
      <c r="EM84" s="228">
        <v>0</v>
      </c>
      <c r="EN84" s="231">
        <v>414195.65</v>
      </c>
      <c r="EO84" s="231">
        <v>479620.53</v>
      </c>
      <c r="EP84" s="231">
        <v>-65424.88</v>
      </c>
      <c r="EQ84" s="229">
        <v>-0.13639999999999999</v>
      </c>
      <c r="ER84" s="231">
        <v>130960</v>
      </c>
      <c r="ES84" s="231">
        <v>82181</v>
      </c>
      <c r="ET84" s="231">
        <v>377445</v>
      </c>
      <c r="EU84" s="231">
        <v>291718772</v>
      </c>
      <c r="EV84" s="231">
        <v>590585</v>
      </c>
      <c r="EW84" s="231">
        <v>589680</v>
      </c>
      <c r="EX84" s="228">
        <v>905</v>
      </c>
      <c r="EY84" s="229">
        <v>1.5E-3</v>
      </c>
      <c r="EZ84" s="229">
        <v>0.28849999999999998</v>
      </c>
      <c r="FA84" s="227" t="s">
        <v>567</v>
      </c>
      <c r="FB84" s="161">
        <f t="shared" si="1"/>
        <v>8008000</v>
      </c>
    </row>
    <row r="85" spans="1:158" ht="17.25" hidden="1" thickBot="1" x14ac:dyDescent="0.3">
      <c r="A85" s="226">
        <v>45889</v>
      </c>
      <c r="B85" s="227" t="s">
        <v>193</v>
      </c>
      <c r="C85" s="227" t="s">
        <v>229</v>
      </c>
      <c r="D85" s="228">
        <v>2025</v>
      </c>
      <c r="E85" s="228">
        <v>391.75</v>
      </c>
      <c r="F85" s="228">
        <v>396.35</v>
      </c>
      <c r="G85" s="228">
        <v>-4.5999999999999996</v>
      </c>
      <c r="H85" s="229">
        <v>-1.1599999999999999E-2</v>
      </c>
      <c r="I85" s="228">
        <v>390.8</v>
      </c>
      <c r="J85" s="228">
        <v>395.6</v>
      </c>
      <c r="K85" s="228">
        <v>-4.8</v>
      </c>
      <c r="L85" s="229">
        <v>-1.21E-2</v>
      </c>
      <c r="M85" s="228">
        <v>391.75</v>
      </c>
      <c r="N85" s="228">
        <v>396.35</v>
      </c>
      <c r="O85" s="228">
        <v>-4.5999999999999996</v>
      </c>
      <c r="P85" s="229">
        <v>-1.1599999999999999E-2</v>
      </c>
      <c r="Q85" s="228">
        <v>394.05</v>
      </c>
      <c r="R85" s="228">
        <v>398.6</v>
      </c>
      <c r="S85" s="228">
        <v>-4.55</v>
      </c>
      <c r="T85" s="229">
        <v>-1.14E-2</v>
      </c>
      <c r="U85" s="228">
        <v>395.95</v>
      </c>
      <c r="V85" s="228">
        <v>400.75</v>
      </c>
      <c r="W85" s="228">
        <v>-4.8</v>
      </c>
      <c r="X85" s="229">
        <v>-1.2E-2</v>
      </c>
      <c r="Y85" s="228">
        <v>0.95</v>
      </c>
      <c r="Z85" s="228">
        <v>0.75</v>
      </c>
      <c r="AA85" s="228">
        <v>0.2</v>
      </c>
      <c r="AB85" s="229">
        <v>2.3999999999999998E-3</v>
      </c>
      <c r="AC85" s="228">
        <v>0.95</v>
      </c>
      <c r="AD85" s="228">
        <v>0.75</v>
      </c>
      <c r="AE85" s="228">
        <v>0.2</v>
      </c>
      <c r="AF85" s="229">
        <v>2.3999999999999998E-3</v>
      </c>
      <c r="AG85" s="228">
        <v>3.25</v>
      </c>
      <c r="AH85" s="228">
        <v>3</v>
      </c>
      <c r="AI85" s="228">
        <v>0.25</v>
      </c>
      <c r="AJ85" s="229">
        <v>8.3000000000000001E-3</v>
      </c>
      <c r="AK85" s="228">
        <v>5.15</v>
      </c>
      <c r="AL85" s="228">
        <v>5.15</v>
      </c>
      <c r="AM85" s="228">
        <v>0</v>
      </c>
      <c r="AN85" s="229">
        <v>1.32E-2</v>
      </c>
      <c r="AO85" s="228">
        <v>394.03</v>
      </c>
      <c r="AP85" s="228">
        <v>395.91</v>
      </c>
      <c r="AQ85" s="228">
        <v>0</v>
      </c>
      <c r="AR85" s="230">
        <v>8705475</v>
      </c>
      <c r="AS85" s="230">
        <v>11032200</v>
      </c>
      <c r="AT85" s="230">
        <v>-2326725</v>
      </c>
      <c r="AU85" s="229">
        <v>-0.2109</v>
      </c>
      <c r="AV85" s="230">
        <v>6328125</v>
      </c>
      <c r="AW85" s="230">
        <v>8855325</v>
      </c>
      <c r="AX85" s="230">
        <v>-2527200</v>
      </c>
      <c r="AY85" s="229">
        <v>-0.28539999999999999</v>
      </c>
      <c r="AZ85" s="230">
        <v>1808325</v>
      </c>
      <c r="BA85" s="230">
        <v>1482300</v>
      </c>
      <c r="BB85" s="230">
        <v>326025</v>
      </c>
      <c r="BC85" s="229">
        <v>0.21990000000000001</v>
      </c>
      <c r="BD85" s="230">
        <v>569025</v>
      </c>
      <c r="BE85" s="230">
        <v>694575</v>
      </c>
      <c r="BF85" s="230">
        <v>-125550</v>
      </c>
      <c r="BG85" s="229">
        <v>-0.18079999999999999</v>
      </c>
      <c r="BH85" s="230">
        <v>20766375</v>
      </c>
      <c r="BI85" s="230">
        <v>28384425</v>
      </c>
      <c r="BJ85" s="230">
        <v>-7618050</v>
      </c>
      <c r="BK85" s="229">
        <v>-0.26840000000000003</v>
      </c>
      <c r="BL85" s="230">
        <v>9027450</v>
      </c>
      <c r="BM85" s="230">
        <v>13154400</v>
      </c>
      <c r="BN85" s="230">
        <v>-4126950</v>
      </c>
      <c r="BO85" s="229">
        <v>-0.31369999999999998</v>
      </c>
      <c r="BP85" s="230">
        <v>38499300</v>
      </c>
      <c r="BQ85" s="230">
        <v>52571025</v>
      </c>
      <c r="BR85" s="230">
        <v>-14071725</v>
      </c>
      <c r="BS85" s="229">
        <v>-0.26769999999999999</v>
      </c>
      <c r="BT85" s="230">
        <v>5755827</v>
      </c>
      <c r="BU85" s="230">
        <v>4407757</v>
      </c>
      <c r="BV85" s="230">
        <v>1348070</v>
      </c>
      <c r="BW85" s="229">
        <v>0.30580000000000002</v>
      </c>
      <c r="BX85" s="230">
        <v>52524450</v>
      </c>
      <c r="BY85" s="230">
        <v>52899075</v>
      </c>
      <c r="BZ85" s="230">
        <v>-374625</v>
      </c>
      <c r="CA85" s="229">
        <v>-7.1000000000000004E-3</v>
      </c>
      <c r="CB85" s="230">
        <v>49320900</v>
      </c>
      <c r="CC85" s="230">
        <v>50428575</v>
      </c>
      <c r="CD85" s="230">
        <v>-1107675</v>
      </c>
      <c r="CE85" s="229">
        <v>-2.1999999999999999E-2</v>
      </c>
      <c r="CF85" s="230">
        <v>2423925</v>
      </c>
      <c r="CG85" s="230">
        <v>1603800</v>
      </c>
      <c r="CH85" s="230">
        <v>820125</v>
      </c>
      <c r="CI85" s="229">
        <v>0.51139999999999997</v>
      </c>
      <c r="CJ85" s="230">
        <v>779625</v>
      </c>
      <c r="CK85" s="230">
        <v>866700</v>
      </c>
      <c r="CL85" s="230">
        <v>-87075</v>
      </c>
      <c r="CM85" s="229">
        <v>-0.10050000000000001</v>
      </c>
      <c r="CN85" s="230">
        <v>19980675</v>
      </c>
      <c r="CO85" s="230">
        <v>21238200</v>
      </c>
      <c r="CP85" s="230">
        <v>-1257525</v>
      </c>
      <c r="CQ85" s="229">
        <v>-5.9200000000000003E-2</v>
      </c>
      <c r="CR85" s="230">
        <v>11192175</v>
      </c>
      <c r="CS85" s="230">
        <v>11453400</v>
      </c>
      <c r="CT85" s="230">
        <v>-261225</v>
      </c>
      <c r="CU85" s="229">
        <v>-2.2800000000000001E-2</v>
      </c>
      <c r="CV85" s="230">
        <v>83697300</v>
      </c>
      <c r="CW85" s="230">
        <v>85590675</v>
      </c>
      <c r="CX85" s="230">
        <v>-1893375</v>
      </c>
      <c r="CY85" s="229">
        <v>-2.2100000000000002E-2</v>
      </c>
      <c r="CZ85" s="228">
        <v>31.67</v>
      </c>
      <c r="DA85" s="228">
        <v>32.68</v>
      </c>
      <c r="DB85" s="228">
        <v>-1.01</v>
      </c>
      <c r="DC85" s="228">
        <v>-1.01</v>
      </c>
      <c r="DD85" s="228">
        <v>43.07</v>
      </c>
      <c r="DE85" s="228">
        <v>43.15</v>
      </c>
      <c r="DF85" s="228">
        <v>-11.4</v>
      </c>
      <c r="DG85" s="228">
        <v>-0.08</v>
      </c>
      <c r="DH85" s="228">
        <v>31.99</v>
      </c>
      <c r="DI85" s="228">
        <v>32.869999999999997</v>
      </c>
      <c r="DJ85" s="228">
        <v>-0.88</v>
      </c>
      <c r="DK85" s="228">
        <v>-0.88</v>
      </c>
      <c r="DL85" s="228">
        <v>30.92</v>
      </c>
      <c r="DM85" s="228">
        <v>32.26</v>
      </c>
      <c r="DN85" s="228">
        <v>-1.34</v>
      </c>
      <c r="DO85" s="228">
        <v>-1.34</v>
      </c>
      <c r="DP85" s="228">
        <v>0.56000000000000005</v>
      </c>
      <c r="DQ85" s="228">
        <v>0.54</v>
      </c>
      <c r="DR85" s="228">
        <v>0.02</v>
      </c>
      <c r="DS85" s="229">
        <v>3.6999999999999998E-2</v>
      </c>
      <c r="DT85" s="228">
        <v>399.5</v>
      </c>
      <c r="DU85" s="228">
        <v>389.5</v>
      </c>
      <c r="DV85" s="228">
        <v>0.43</v>
      </c>
      <c r="DW85" s="228">
        <v>0.46</v>
      </c>
      <c r="DX85" s="228">
        <v>-0.03</v>
      </c>
      <c r="DY85" s="229">
        <v>-6.5199999999999994E-2</v>
      </c>
      <c r="DZ85" s="229">
        <v>6.0999999999999999E-2</v>
      </c>
      <c r="EA85" s="230">
        <v>2470500</v>
      </c>
      <c r="EB85" s="229">
        <v>5.8999999999999999E-3</v>
      </c>
      <c r="EC85" s="229">
        <v>6.0999999999999999E-2</v>
      </c>
      <c r="ED85" s="228">
        <v>1.88</v>
      </c>
      <c r="EE85" s="229">
        <v>4.7999999999999996E-3</v>
      </c>
      <c r="EF85" s="230">
        <v>3471719</v>
      </c>
      <c r="EG85" s="230">
        <v>1767784</v>
      </c>
      <c r="EH85" s="229">
        <v>0.96389999999999998</v>
      </c>
      <c r="EI85" s="229">
        <v>0.60319999999999996</v>
      </c>
      <c r="EJ85" s="231">
        <v>85453.62</v>
      </c>
      <c r="EK85" s="231">
        <v>35300.230000000003</v>
      </c>
      <c r="EL85" s="231">
        <v>34358.04</v>
      </c>
      <c r="EM85" s="228">
        <v>0</v>
      </c>
      <c r="EN85" s="231">
        <v>155111.89000000001</v>
      </c>
      <c r="EO85" s="231">
        <v>211683.22</v>
      </c>
      <c r="EP85" s="231">
        <v>-56571.33</v>
      </c>
      <c r="EQ85" s="229">
        <v>-0.26719999999999999</v>
      </c>
      <c r="ER85" s="231">
        <v>83258</v>
      </c>
      <c r="ES85" s="231">
        <v>43142</v>
      </c>
      <c r="ET85" s="231">
        <v>205853</v>
      </c>
      <c r="EU85" s="231">
        <v>191910891</v>
      </c>
      <c r="EV85" s="231">
        <v>332253</v>
      </c>
      <c r="EW85" s="231">
        <v>342582</v>
      </c>
      <c r="EX85" s="231">
        <v>-10329</v>
      </c>
      <c r="EY85" s="229">
        <v>-3.0200000000000001E-2</v>
      </c>
      <c r="EZ85" s="229">
        <v>0.43609999999999999</v>
      </c>
      <c r="FA85" s="227" t="s">
        <v>568</v>
      </c>
      <c r="FB85" s="161">
        <f t="shared" si="1"/>
        <v>3203550</v>
      </c>
    </row>
    <row r="86" spans="1:158" ht="17.25" hidden="1" thickBot="1" x14ac:dyDescent="0.3">
      <c r="A86" s="226">
        <v>45889</v>
      </c>
      <c r="B86" s="227" t="s">
        <v>168</v>
      </c>
      <c r="C86" s="227" t="s">
        <v>230</v>
      </c>
      <c r="D86" s="228">
        <v>300</v>
      </c>
      <c r="E86" s="231">
        <v>2670.8</v>
      </c>
      <c r="F86" s="231">
        <v>2606.4</v>
      </c>
      <c r="G86" s="228">
        <v>64.400000000000006</v>
      </c>
      <c r="H86" s="229">
        <v>2.47E-2</v>
      </c>
      <c r="I86" s="231">
        <v>2669.8</v>
      </c>
      <c r="J86" s="231">
        <v>2604.8000000000002</v>
      </c>
      <c r="K86" s="228">
        <v>65</v>
      </c>
      <c r="L86" s="229">
        <v>2.5000000000000001E-2</v>
      </c>
      <c r="M86" s="231">
        <v>2670.8</v>
      </c>
      <c r="N86" s="231">
        <v>2606.4</v>
      </c>
      <c r="O86" s="228">
        <v>64.400000000000006</v>
      </c>
      <c r="P86" s="229">
        <v>2.47E-2</v>
      </c>
      <c r="Q86" s="231">
        <v>2685</v>
      </c>
      <c r="R86" s="231">
        <v>2621.5</v>
      </c>
      <c r="S86" s="228">
        <v>63.5</v>
      </c>
      <c r="T86" s="229">
        <v>2.4199999999999999E-2</v>
      </c>
      <c r="U86" s="231">
        <v>2694.6</v>
      </c>
      <c r="V86" s="231">
        <v>2630.5</v>
      </c>
      <c r="W86" s="228">
        <v>64.099999999999994</v>
      </c>
      <c r="X86" s="229">
        <v>2.4400000000000002E-2</v>
      </c>
      <c r="Y86" s="228">
        <v>1</v>
      </c>
      <c r="Z86" s="228">
        <v>1.6</v>
      </c>
      <c r="AA86" s="228">
        <v>-0.6</v>
      </c>
      <c r="AB86" s="229">
        <v>4.0000000000000002E-4</v>
      </c>
      <c r="AC86" s="228">
        <v>1</v>
      </c>
      <c r="AD86" s="228">
        <v>1.6</v>
      </c>
      <c r="AE86" s="228">
        <v>-0.6</v>
      </c>
      <c r="AF86" s="229">
        <v>4.0000000000000002E-4</v>
      </c>
      <c r="AG86" s="228">
        <v>15.2</v>
      </c>
      <c r="AH86" s="228">
        <v>16.7</v>
      </c>
      <c r="AI86" s="228">
        <v>-1.5</v>
      </c>
      <c r="AJ86" s="229">
        <v>5.7000000000000002E-3</v>
      </c>
      <c r="AK86" s="228">
        <v>24.8</v>
      </c>
      <c r="AL86" s="228">
        <v>25.7</v>
      </c>
      <c r="AM86" s="228">
        <v>-0.9</v>
      </c>
      <c r="AN86" s="229">
        <v>9.2999999999999992E-3</v>
      </c>
      <c r="AO86" s="231">
        <v>2654.91</v>
      </c>
      <c r="AP86" s="231">
        <v>2673.39</v>
      </c>
      <c r="AQ86" s="228">
        <v>0</v>
      </c>
      <c r="AR86" s="230">
        <v>4727400</v>
      </c>
      <c r="AS86" s="230">
        <v>2155800</v>
      </c>
      <c r="AT86" s="230">
        <v>2571600</v>
      </c>
      <c r="AU86" s="229">
        <v>1.1929000000000001</v>
      </c>
      <c r="AV86" s="230">
        <v>3894900</v>
      </c>
      <c r="AW86" s="230">
        <v>1912200</v>
      </c>
      <c r="AX86" s="230">
        <v>1982700</v>
      </c>
      <c r="AY86" s="229">
        <v>1.0368999999999999</v>
      </c>
      <c r="AZ86" s="230">
        <v>799500</v>
      </c>
      <c r="BA86" s="230">
        <v>232800</v>
      </c>
      <c r="BB86" s="230">
        <v>566700</v>
      </c>
      <c r="BC86" s="229">
        <v>2.4342999999999999</v>
      </c>
      <c r="BD86" s="230">
        <v>33000</v>
      </c>
      <c r="BE86" s="230">
        <v>10800</v>
      </c>
      <c r="BF86" s="230">
        <v>22200</v>
      </c>
      <c r="BG86" s="229">
        <v>2.0556000000000001</v>
      </c>
      <c r="BH86" s="230">
        <v>45103500</v>
      </c>
      <c r="BI86" s="230">
        <v>15073200</v>
      </c>
      <c r="BJ86" s="230">
        <v>30030300</v>
      </c>
      <c r="BK86" s="229">
        <v>1.9923</v>
      </c>
      <c r="BL86" s="230">
        <v>18018600</v>
      </c>
      <c r="BM86" s="230">
        <v>6978600</v>
      </c>
      <c r="BN86" s="230">
        <v>11040000</v>
      </c>
      <c r="BO86" s="229">
        <v>1.5820000000000001</v>
      </c>
      <c r="BP86" s="230">
        <v>67849500</v>
      </c>
      <c r="BQ86" s="230">
        <v>24207600</v>
      </c>
      <c r="BR86" s="230">
        <v>43641900</v>
      </c>
      <c r="BS86" s="229">
        <v>1.8028</v>
      </c>
      <c r="BT86" s="230">
        <v>3222252</v>
      </c>
      <c r="BU86" s="230">
        <v>1466187</v>
      </c>
      <c r="BV86" s="230">
        <v>1756065</v>
      </c>
      <c r="BW86" s="229">
        <v>1.1977</v>
      </c>
      <c r="BX86" s="230">
        <v>15919500</v>
      </c>
      <c r="BY86" s="230">
        <v>15366600</v>
      </c>
      <c r="BZ86" s="230">
        <v>552900</v>
      </c>
      <c r="CA86" s="229">
        <v>3.5999999999999997E-2</v>
      </c>
      <c r="CB86" s="230">
        <v>14473800</v>
      </c>
      <c r="CC86" s="230">
        <v>14307000</v>
      </c>
      <c r="CD86" s="230">
        <v>166800</v>
      </c>
      <c r="CE86" s="229">
        <v>1.17E-2</v>
      </c>
      <c r="CF86" s="230">
        <v>1114500</v>
      </c>
      <c r="CG86" s="230">
        <v>737700</v>
      </c>
      <c r="CH86" s="230">
        <v>376800</v>
      </c>
      <c r="CI86" s="229">
        <v>0.51080000000000003</v>
      </c>
      <c r="CJ86" s="230">
        <v>331200</v>
      </c>
      <c r="CK86" s="230">
        <v>321900</v>
      </c>
      <c r="CL86" s="230">
        <v>9300</v>
      </c>
      <c r="CM86" s="229">
        <v>2.8899999999999999E-2</v>
      </c>
      <c r="CN86" s="230">
        <v>8148600</v>
      </c>
      <c r="CO86" s="230">
        <v>8267700</v>
      </c>
      <c r="CP86" s="230">
        <v>-119100</v>
      </c>
      <c r="CQ86" s="229">
        <v>-1.44E-2</v>
      </c>
      <c r="CR86" s="230">
        <v>5634000</v>
      </c>
      <c r="CS86" s="230">
        <v>4340400</v>
      </c>
      <c r="CT86" s="230">
        <v>1293600</v>
      </c>
      <c r="CU86" s="229">
        <v>0.29799999999999999</v>
      </c>
      <c r="CV86" s="230">
        <v>29702100</v>
      </c>
      <c r="CW86" s="230">
        <v>27974700</v>
      </c>
      <c r="CX86" s="230">
        <v>1727400</v>
      </c>
      <c r="CY86" s="229">
        <v>6.1699999999999998E-2</v>
      </c>
      <c r="CZ86" s="228">
        <v>19.88</v>
      </c>
      <c r="DA86" s="228">
        <v>18.21</v>
      </c>
      <c r="DB86" s="228">
        <v>1.67</v>
      </c>
      <c r="DC86" s="228">
        <v>1.67</v>
      </c>
      <c r="DD86" s="228">
        <v>23.63</v>
      </c>
      <c r="DE86" s="228">
        <v>23.45</v>
      </c>
      <c r="DF86" s="228">
        <v>-3.75</v>
      </c>
      <c r="DG86" s="228">
        <v>0.18</v>
      </c>
      <c r="DH86" s="228">
        <v>19.260000000000002</v>
      </c>
      <c r="DI86" s="228">
        <v>17.489999999999998</v>
      </c>
      <c r="DJ86" s="228">
        <v>1.77</v>
      </c>
      <c r="DK86" s="228">
        <v>1.77</v>
      </c>
      <c r="DL86" s="228">
        <v>21.45</v>
      </c>
      <c r="DM86" s="228">
        <v>19.77</v>
      </c>
      <c r="DN86" s="228">
        <v>1.68</v>
      </c>
      <c r="DO86" s="228">
        <v>1.68</v>
      </c>
      <c r="DP86" s="228">
        <v>0.69</v>
      </c>
      <c r="DQ86" s="228">
        <v>0.52</v>
      </c>
      <c r="DR86" s="228">
        <v>0.17</v>
      </c>
      <c r="DS86" s="229">
        <v>0.32690000000000002</v>
      </c>
      <c r="DT86" s="231">
        <v>2600</v>
      </c>
      <c r="DU86" s="231">
        <v>2600</v>
      </c>
      <c r="DV86" s="228">
        <v>0.4</v>
      </c>
      <c r="DW86" s="228">
        <v>0.46</v>
      </c>
      <c r="DX86" s="228">
        <v>-0.06</v>
      </c>
      <c r="DY86" s="229">
        <v>-0.13039999999999999</v>
      </c>
      <c r="DZ86" s="229">
        <v>9.0800000000000006E-2</v>
      </c>
      <c r="EA86" s="230">
        <v>1059600</v>
      </c>
      <c r="EB86" s="229">
        <v>5.3E-3</v>
      </c>
      <c r="EC86" s="229">
        <v>9.0800000000000006E-2</v>
      </c>
      <c r="ED86" s="228">
        <v>18.48</v>
      </c>
      <c r="EE86" s="229">
        <v>7.0000000000000001E-3</v>
      </c>
      <c r="EF86" s="230">
        <v>2120389</v>
      </c>
      <c r="EG86" s="230">
        <v>1058280</v>
      </c>
      <c r="EH86" s="229">
        <v>1.0036</v>
      </c>
      <c r="EI86" s="229">
        <v>0.65800000000000003</v>
      </c>
      <c r="EJ86" s="231">
        <v>1226500.08</v>
      </c>
      <c r="EK86" s="231">
        <v>467309.3</v>
      </c>
      <c r="EL86" s="231">
        <v>125665.96</v>
      </c>
      <c r="EM86" s="228">
        <v>0</v>
      </c>
      <c r="EN86" s="231">
        <v>1819475.34</v>
      </c>
      <c r="EO86" s="231">
        <v>633230.5</v>
      </c>
      <c r="EP86" s="231">
        <v>1186244.8400000001</v>
      </c>
      <c r="EQ86" s="229">
        <v>1.8733</v>
      </c>
      <c r="ER86" s="231">
        <v>218367</v>
      </c>
      <c r="ES86" s="231">
        <v>140975</v>
      </c>
      <c r="ET86" s="231">
        <v>425415</v>
      </c>
      <c r="EU86" s="231">
        <v>179035680</v>
      </c>
      <c r="EV86" s="231">
        <v>784757</v>
      </c>
      <c r="EW86" s="231">
        <v>727123</v>
      </c>
      <c r="EX86" s="231">
        <v>57634</v>
      </c>
      <c r="EY86" s="229">
        <v>7.9299999999999995E-2</v>
      </c>
      <c r="EZ86" s="229">
        <v>0.16589999999999999</v>
      </c>
      <c r="FA86" s="227" t="s">
        <v>555</v>
      </c>
      <c r="FB86" s="161">
        <f t="shared" si="1"/>
        <v>1445700</v>
      </c>
    </row>
    <row r="87" spans="1:158" ht="17.25" hidden="1" thickBot="1" x14ac:dyDescent="0.3">
      <c r="A87" s="226">
        <v>45889</v>
      </c>
      <c r="B87" s="227" t="s">
        <v>227</v>
      </c>
      <c r="C87" s="227" t="s">
        <v>670</v>
      </c>
      <c r="D87" s="228">
        <v>1225</v>
      </c>
      <c r="E87" s="228">
        <v>430.4</v>
      </c>
      <c r="F87" s="228">
        <v>429.75</v>
      </c>
      <c r="G87" s="228">
        <v>0.65</v>
      </c>
      <c r="H87" s="229">
        <v>1.5E-3</v>
      </c>
      <c r="I87" s="228">
        <v>430</v>
      </c>
      <c r="J87" s="228">
        <v>428.65</v>
      </c>
      <c r="K87" s="228">
        <v>1.35</v>
      </c>
      <c r="L87" s="229">
        <v>3.0999999999999999E-3</v>
      </c>
      <c r="M87" s="228">
        <v>430.4</v>
      </c>
      <c r="N87" s="228">
        <v>429.75</v>
      </c>
      <c r="O87" s="228">
        <v>0.65</v>
      </c>
      <c r="P87" s="229">
        <v>1.5E-3</v>
      </c>
      <c r="Q87" s="228">
        <v>432.8</v>
      </c>
      <c r="R87" s="228">
        <v>432.25</v>
      </c>
      <c r="S87" s="228">
        <v>0.55000000000000004</v>
      </c>
      <c r="T87" s="229">
        <v>1.2999999999999999E-3</v>
      </c>
      <c r="U87" s="228">
        <v>435.15</v>
      </c>
      <c r="V87" s="228">
        <v>434.4</v>
      </c>
      <c r="W87" s="228">
        <v>0.75</v>
      </c>
      <c r="X87" s="229">
        <v>1.6999999999999999E-3</v>
      </c>
      <c r="Y87" s="228">
        <v>0.4</v>
      </c>
      <c r="Z87" s="228">
        <v>1.1000000000000001</v>
      </c>
      <c r="AA87" s="228">
        <v>-0.7</v>
      </c>
      <c r="AB87" s="229">
        <v>8.9999999999999998E-4</v>
      </c>
      <c r="AC87" s="228">
        <v>0.4</v>
      </c>
      <c r="AD87" s="228">
        <v>1.1000000000000001</v>
      </c>
      <c r="AE87" s="228">
        <v>-0.7</v>
      </c>
      <c r="AF87" s="229">
        <v>8.9999999999999998E-4</v>
      </c>
      <c r="AG87" s="228">
        <v>2.8</v>
      </c>
      <c r="AH87" s="228">
        <v>3.6</v>
      </c>
      <c r="AI87" s="228">
        <v>-0.8</v>
      </c>
      <c r="AJ87" s="229">
        <v>6.4999999999999997E-3</v>
      </c>
      <c r="AK87" s="228">
        <v>5.15</v>
      </c>
      <c r="AL87" s="228">
        <v>5.75</v>
      </c>
      <c r="AM87" s="228">
        <v>-0.6</v>
      </c>
      <c r="AN87" s="229">
        <v>1.2E-2</v>
      </c>
      <c r="AO87" s="228">
        <v>429.57</v>
      </c>
      <c r="AP87" s="228">
        <v>431.91</v>
      </c>
      <c r="AQ87" s="228">
        <v>0</v>
      </c>
      <c r="AR87" s="230">
        <v>4509225</v>
      </c>
      <c r="AS87" s="230">
        <v>4270350</v>
      </c>
      <c r="AT87" s="230">
        <v>238875</v>
      </c>
      <c r="AU87" s="229">
        <v>5.5899999999999998E-2</v>
      </c>
      <c r="AV87" s="230">
        <v>3124975</v>
      </c>
      <c r="AW87" s="230">
        <v>3273200</v>
      </c>
      <c r="AX87" s="230">
        <v>-148225</v>
      </c>
      <c r="AY87" s="229">
        <v>-4.53E-2</v>
      </c>
      <c r="AZ87" s="230">
        <v>1357300</v>
      </c>
      <c r="BA87" s="230">
        <v>978775</v>
      </c>
      <c r="BB87" s="230">
        <v>378525</v>
      </c>
      <c r="BC87" s="229">
        <v>0.38669999999999999</v>
      </c>
      <c r="BD87" s="230">
        <v>26950</v>
      </c>
      <c r="BE87" s="230">
        <v>18375</v>
      </c>
      <c r="BF87" s="230">
        <v>8575</v>
      </c>
      <c r="BG87" s="229">
        <v>0.4667</v>
      </c>
      <c r="BH87" s="230">
        <v>7693000</v>
      </c>
      <c r="BI87" s="230">
        <v>11758775</v>
      </c>
      <c r="BJ87" s="230">
        <v>-4065775</v>
      </c>
      <c r="BK87" s="229">
        <v>-0.3458</v>
      </c>
      <c r="BL87" s="230">
        <v>4496975</v>
      </c>
      <c r="BM87" s="230">
        <v>3973900</v>
      </c>
      <c r="BN87" s="230">
        <v>523075</v>
      </c>
      <c r="BO87" s="229">
        <v>0.13159999999999999</v>
      </c>
      <c r="BP87" s="230">
        <v>16699200</v>
      </c>
      <c r="BQ87" s="230">
        <v>20003025</v>
      </c>
      <c r="BR87" s="230">
        <v>-3303825</v>
      </c>
      <c r="BS87" s="229">
        <v>-0.16520000000000001</v>
      </c>
      <c r="BT87" s="230">
        <v>2084273</v>
      </c>
      <c r="BU87" s="230">
        <v>3328596</v>
      </c>
      <c r="BV87" s="230">
        <v>-1244323</v>
      </c>
      <c r="BW87" s="229">
        <v>-0.37380000000000002</v>
      </c>
      <c r="BX87" s="230">
        <v>29870400</v>
      </c>
      <c r="BY87" s="230">
        <v>29816500</v>
      </c>
      <c r="BZ87" s="230">
        <v>53900</v>
      </c>
      <c r="CA87" s="229">
        <v>1.8E-3</v>
      </c>
      <c r="CB87" s="230">
        <v>27453475</v>
      </c>
      <c r="CC87" s="230">
        <v>28059850</v>
      </c>
      <c r="CD87" s="230">
        <v>-606375</v>
      </c>
      <c r="CE87" s="229">
        <v>-2.1600000000000001E-2</v>
      </c>
      <c r="CF87" s="230">
        <v>2338525</v>
      </c>
      <c r="CG87" s="230">
        <v>1688050</v>
      </c>
      <c r="CH87" s="230">
        <v>650475</v>
      </c>
      <c r="CI87" s="229">
        <v>0.38529999999999998</v>
      </c>
      <c r="CJ87" s="230">
        <v>78400</v>
      </c>
      <c r="CK87" s="230">
        <v>68600</v>
      </c>
      <c r="CL87" s="230">
        <v>9800</v>
      </c>
      <c r="CM87" s="229">
        <v>0.1429</v>
      </c>
      <c r="CN87" s="230">
        <v>10018050</v>
      </c>
      <c r="CO87" s="230">
        <v>9802450</v>
      </c>
      <c r="CP87" s="230">
        <v>215600</v>
      </c>
      <c r="CQ87" s="229">
        <v>2.1999999999999999E-2</v>
      </c>
      <c r="CR87" s="230">
        <v>6099275</v>
      </c>
      <c r="CS87" s="230">
        <v>5655825</v>
      </c>
      <c r="CT87" s="230">
        <v>443450</v>
      </c>
      <c r="CU87" s="229">
        <v>7.8399999999999997E-2</v>
      </c>
      <c r="CV87" s="230">
        <v>45987725</v>
      </c>
      <c r="CW87" s="230">
        <v>45274775</v>
      </c>
      <c r="CX87" s="230">
        <v>712950</v>
      </c>
      <c r="CY87" s="229">
        <v>1.5699999999999999E-2</v>
      </c>
      <c r="CZ87" s="228">
        <v>24.79</v>
      </c>
      <c r="DA87" s="228">
        <v>25.68</v>
      </c>
      <c r="DB87" s="228">
        <v>-0.89</v>
      </c>
      <c r="DC87" s="228">
        <v>-0.89</v>
      </c>
      <c r="DD87" s="228">
        <v>45.69</v>
      </c>
      <c r="DE87" s="228">
        <v>45.81</v>
      </c>
      <c r="DF87" s="228">
        <v>-20.9</v>
      </c>
      <c r="DG87" s="228">
        <v>-0.12</v>
      </c>
      <c r="DH87" s="228">
        <v>24.84</v>
      </c>
      <c r="DI87" s="228">
        <v>26</v>
      </c>
      <c r="DJ87" s="228">
        <v>-1.1599999999999999</v>
      </c>
      <c r="DK87" s="228">
        <v>-1.1599999999999999</v>
      </c>
      <c r="DL87" s="228">
        <v>24.71</v>
      </c>
      <c r="DM87" s="228">
        <v>24.76</v>
      </c>
      <c r="DN87" s="228">
        <v>-0.05</v>
      </c>
      <c r="DO87" s="228">
        <v>-0.05</v>
      </c>
      <c r="DP87" s="228">
        <v>0.61</v>
      </c>
      <c r="DQ87" s="228">
        <v>0.57999999999999996</v>
      </c>
      <c r="DR87" s="228">
        <v>0.03</v>
      </c>
      <c r="DS87" s="229">
        <v>5.1700000000000003E-2</v>
      </c>
      <c r="DT87" s="228">
        <v>450</v>
      </c>
      <c r="DU87" s="228">
        <v>410</v>
      </c>
      <c r="DV87" s="228">
        <v>0.57999999999999996</v>
      </c>
      <c r="DW87" s="228">
        <v>0.34</v>
      </c>
      <c r="DX87" s="228">
        <v>0.24</v>
      </c>
      <c r="DY87" s="229">
        <v>0.70589999999999997</v>
      </c>
      <c r="DZ87" s="229">
        <v>8.09E-2</v>
      </c>
      <c r="EA87" s="230">
        <v>1756650</v>
      </c>
      <c r="EB87" s="229">
        <v>5.5999999999999999E-3</v>
      </c>
      <c r="EC87" s="229">
        <v>8.09E-2</v>
      </c>
      <c r="ED87" s="228">
        <v>2.34</v>
      </c>
      <c r="EE87" s="229">
        <v>5.4000000000000003E-3</v>
      </c>
      <c r="EF87" s="230">
        <v>883129</v>
      </c>
      <c r="EG87" s="230">
        <v>982958</v>
      </c>
      <c r="EH87" s="229">
        <v>-0.1016</v>
      </c>
      <c r="EI87" s="229">
        <v>0.42370000000000002</v>
      </c>
      <c r="EJ87" s="231">
        <v>34115.93</v>
      </c>
      <c r="EK87" s="231">
        <v>18932.27</v>
      </c>
      <c r="EL87" s="231">
        <v>19403.36</v>
      </c>
      <c r="EM87" s="228">
        <v>0</v>
      </c>
      <c r="EN87" s="231">
        <v>72451.56</v>
      </c>
      <c r="EO87" s="231">
        <v>87475.86</v>
      </c>
      <c r="EP87" s="231">
        <v>-15024.3</v>
      </c>
      <c r="EQ87" s="229">
        <v>-0.17180000000000001</v>
      </c>
      <c r="ER87" s="231">
        <v>45105</v>
      </c>
      <c r="ES87" s="231">
        <v>25873</v>
      </c>
      <c r="ET87" s="231">
        <v>128622</v>
      </c>
      <c r="EU87" s="231">
        <v>322494116</v>
      </c>
      <c r="EV87" s="231">
        <v>199600</v>
      </c>
      <c r="EW87" s="231">
        <v>196456</v>
      </c>
      <c r="EX87" s="231">
        <v>3144</v>
      </c>
      <c r="EY87" s="229">
        <v>1.6E-2</v>
      </c>
      <c r="EZ87" s="229">
        <v>0.1426</v>
      </c>
      <c r="FA87" s="227" t="s">
        <v>555</v>
      </c>
      <c r="FB87" s="161">
        <f t="shared" si="1"/>
        <v>2416925</v>
      </c>
    </row>
    <row r="88" spans="1:158" ht="17.25" hidden="1" thickBot="1" x14ac:dyDescent="0.3">
      <c r="A88" s="226">
        <v>45889</v>
      </c>
      <c r="B88" s="227" t="s">
        <v>206</v>
      </c>
      <c r="C88" s="227" t="s">
        <v>609</v>
      </c>
      <c r="D88" s="228">
        <v>2775</v>
      </c>
      <c r="E88" s="228">
        <v>214.29</v>
      </c>
      <c r="F88" s="228">
        <v>214.64</v>
      </c>
      <c r="G88" s="228">
        <v>-0.35</v>
      </c>
      <c r="H88" s="229">
        <v>-1.6000000000000001E-3</v>
      </c>
      <c r="I88" s="228">
        <v>214.39</v>
      </c>
      <c r="J88" s="228">
        <v>214.23</v>
      </c>
      <c r="K88" s="228">
        <v>0.16</v>
      </c>
      <c r="L88" s="229">
        <v>6.9999999999999999E-4</v>
      </c>
      <c r="M88" s="228">
        <v>214.29</v>
      </c>
      <c r="N88" s="228">
        <v>214.64</v>
      </c>
      <c r="O88" s="228">
        <v>-0.35</v>
      </c>
      <c r="P88" s="229">
        <v>-1.6000000000000001E-3</v>
      </c>
      <c r="Q88" s="228">
        <v>215.02</v>
      </c>
      <c r="R88" s="228">
        <v>215.12</v>
      </c>
      <c r="S88" s="228">
        <v>-0.1</v>
      </c>
      <c r="T88" s="229">
        <v>-5.0000000000000001E-4</v>
      </c>
      <c r="U88" s="228">
        <v>215.67</v>
      </c>
      <c r="V88" s="228">
        <v>216.01</v>
      </c>
      <c r="W88" s="228">
        <v>-0.34</v>
      </c>
      <c r="X88" s="229">
        <v>-1.6000000000000001E-3</v>
      </c>
      <c r="Y88" s="228">
        <v>-0.1</v>
      </c>
      <c r="Z88" s="228">
        <v>0.41</v>
      </c>
      <c r="AA88" s="228">
        <v>-0.51</v>
      </c>
      <c r="AB88" s="229">
        <v>-5.0000000000000001E-4</v>
      </c>
      <c r="AC88" s="228">
        <v>-0.1</v>
      </c>
      <c r="AD88" s="228">
        <v>0.41</v>
      </c>
      <c r="AE88" s="228">
        <v>-0.51</v>
      </c>
      <c r="AF88" s="229">
        <v>-5.0000000000000001E-4</v>
      </c>
      <c r="AG88" s="228">
        <v>0.63</v>
      </c>
      <c r="AH88" s="228">
        <v>0.89</v>
      </c>
      <c r="AI88" s="228">
        <v>-0.26</v>
      </c>
      <c r="AJ88" s="229">
        <v>2.8999999999999998E-3</v>
      </c>
      <c r="AK88" s="228">
        <v>1.28</v>
      </c>
      <c r="AL88" s="228">
        <v>1.78</v>
      </c>
      <c r="AM88" s="228">
        <v>-0.5</v>
      </c>
      <c r="AN88" s="229">
        <v>6.0000000000000001E-3</v>
      </c>
      <c r="AO88" s="228">
        <v>214.29</v>
      </c>
      <c r="AP88" s="228">
        <v>215</v>
      </c>
      <c r="AQ88" s="228">
        <v>0</v>
      </c>
      <c r="AR88" s="230">
        <v>5935725</v>
      </c>
      <c r="AS88" s="230">
        <v>8164050</v>
      </c>
      <c r="AT88" s="230">
        <v>-2228325</v>
      </c>
      <c r="AU88" s="229">
        <v>-0.27289999999999998</v>
      </c>
      <c r="AV88" s="230">
        <v>4237425</v>
      </c>
      <c r="AW88" s="230">
        <v>6154950</v>
      </c>
      <c r="AX88" s="230">
        <v>-1917525</v>
      </c>
      <c r="AY88" s="229">
        <v>-0.3115</v>
      </c>
      <c r="AZ88" s="230">
        <v>1640025</v>
      </c>
      <c r="BA88" s="230">
        <v>1917525</v>
      </c>
      <c r="BB88" s="230">
        <v>-277500</v>
      </c>
      <c r="BC88" s="229">
        <v>-0.1447</v>
      </c>
      <c r="BD88" s="230">
        <v>58275</v>
      </c>
      <c r="BE88" s="230">
        <v>91575</v>
      </c>
      <c r="BF88" s="230">
        <v>-33300</v>
      </c>
      <c r="BG88" s="229">
        <v>-0.36359999999999998</v>
      </c>
      <c r="BH88" s="230">
        <v>14749125</v>
      </c>
      <c r="BI88" s="230">
        <v>17951475</v>
      </c>
      <c r="BJ88" s="230">
        <v>-3202350</v>
      </c>
      <c r="BK88" s="229">
        <v>-0.1784</v>
      </c>
      <c r="BL88" s="230">
        <v>5991225</v>
      </c>
      <c r="BM88" s="230">
        <v>8630250</v>
      </c>
      <c r="BN88" s="230">
        <v>-2639025</v>
      </c>
      <c r="BO88" s="229">
        <v>-0.30580000000000002</v>
      </c>
      <c r="BP88" s="230">
        <v>26676075</v>
      </c>
      <c r="BQ88" s="230">
        <v>34745775</v>
      </c>
      <c r="BR88" s="230">
        <v>-8069700</v>
      </c>
      <c r="BS88" s="229">
        <v>-0.23219999999999999</v>
      </c>
      <c r="BT88" s="230">
        <v>2090867</v>
      </c>
      <c r="BU88" s="230">
        <v>3298679</v>
      </c>
      <c r="BV88" s="230">
        <v>-1207812</v>
      </c>
      <c r="BW88" s="229">
        <v>-0.36620000000000003</v>
      </c>
      <c r="BX88" s="230">
        <v>36527325</v>
      </c>
      <c r="BY88" s="230">
        <v>35200875</v>
      </c>
      <c r="BZ88" s="230">
        <v>1326450</v>
      </c>
      <c r="CA88" s="229">
        <v>3.7699999999999997E-2</v>
      </c>
      <c r="CB88" s="230">
        <v>32656200</v>
      </c>
      <c r="CC88" s="230">
        <v>32084550</v>
      </c>
      <c r="CD88" s="230">
        <v>571650</v>
      </c>
      <c r="CE88" s="229">
        <v>1.78E-2</v>
      </c>
      <c r="CF88" s="230">
        <v>3693525</v>
      </c>
      <c r="CG88" s="230">
        <v>2977575</v>
      </c>
      <c r="CH88" s="230">
        <v>715950</v>
      </c>
      <c r="CI88" s="229">
        <v>0.2404</v>
      </c>
      <c r="CJ88" s="230">
        <v>177600</v>
      </c>
      <c r="CK88" s="230">
        <v>138750</v>
      </c>
      <c r="CL88" s="230">
        <v>38850</v>
      </c>
      <c r="CM88" s="229">
        <v>0.28000000000000003</v>
      </c>
      <c r="CN88" s="230">
        <v>13861125</v>
      </c>
      <c r="CO88" s="230">
        <v>13394925</v>
      </c>
      <c r="CP88" s="230">
        <v>466200</v>
      </c>
      <c r="CQ88" s="229">
        <v>3.4799999999999998E-2</v>
      </c>
      <c r="CR88" s="230">
        <v>8252850</v>
      </c>
      <c r="CS88" s="230">
        <v>8535900</v>
      </c>
      <c r="CT88" s="230">
        <v>-283050</v>
      </c>
      <c r="CU88" s="229">
        <v>-3.32E-2</v>
      </c>
      <c r="CV88" s="230">
        <v>58641300</v>
      </c>
      <c r="CW88" s="230">
        <v>57131700</v>
      </c>
      <c r="CX88" s="230">
        <v>1509600</v>
      </c>
      <c r="CY88" s="229">
        <v>2.64E-2</v>
      </c>
      <c r="CZ88" s="228">
        <v>31.14</v>
      </c>
      <c r="DA88" s="228">
        <v>30.96</v>
      </c>
      <c r="DB88" s="228">
        <v>0.18</v>
      </c>
      <c r="DC88" s="228">
        <v>0.18</v>
      </c>
      <c r="DD88" s="228">
        <v>56.56</v>
      </c>
      <c r="DE88" s="228">
        <v>56.7</v>
      </c>
      <c r="DF88" s="228">
        <v>-25.42</v>
      </c>
      <c r="DG88" s="228">
        <v>-0.14000000000000001</v>
      </c>
      <c r="DH88" s="228">
        <v>31.28</v>
      </c>
      <c r="DI88" s="228">
        <v>31.09</v>
      </c>
      <c r="DJ88" s="228">
        <v>0.19</v>
      </c>
      <c r="DK88" s="228">
        <v>0.19</v>
      </c>
      <c r="DL88" s="228">
        <v>30.79</v>
      </c>
      <c r="DM88" s="228">
        <v>30.7</v>
      </c>
      <c r="DN88" s="228">
        <v>0.09</v>
      </c>
      <c r="DO88" s="228">
        <v>0.09</v>
      </c>
      <c r="DP88" s="228">
        <v>0.6</v>
      </c>
      <c r="DQ88" s="228">
        <v>0.64</v>
      </c>
      <c r="DR88" s="228">
        <v>-0.04</v>
      </c>
      <c r="DS88" s="229">
        <v>-6.25E-2</v>
      </c>
      <c r="DT88" s="228">
        <v>220</v>
      </c>
      <c r="DU88" s="228">
        <v>200</v>
      </c>
      <c r="DV88" s="228">
        <v>0.41</v>
      </c>
      <c r="DW88" s="228">
        <v>0.48</v>
      </c>
      <c r="DX88" s="228">
        <v>-7.0000000000000007E-2</v>
      </c>
      <c r="DY88" s="229">
        <v>-0.14580000000000001</v>
      </c>
      <c r="DZ88" s="229">
        <v>0.106</v>
      </c>
      <c r="EA88" s="230">
        <v>3116325</v>
      </c>
      <c r="EB88" s="229">
        <v>3.3999999999999998E-3</v>
      </c>
      <c r="EC88" s="229">
        <v>0.106</v>
      </c>
      <c r="ED88" s="228">
        <v>0.71</v>
      </c>
      <c r="EE88" s="229">
        <v>3.3E-3</v>
      </c>
      <c r="EF88" s="230">
        <v>659708</v>
      </c>
      <c r="EG88" s="230">
        <v>1144188</v>
      </c>
      <c r="EH88" s="229">
        <v>-0.4234</v>
      </c>
      <c r="EI88" s="229">
        <v>0.3155</v>
      </c>
      <c r="EJ88" s="231">
        <v>32716.14</v>
      </c>
      <c r="EK88" s="231">
        <v>12825.15</v>
      </c>
      <c r="EL88" s="231">
        <v>12732.36</v>
      </c>
      <c r="EM88" s="228">
        <v>0</v>
      </c>
      <c r="EN88" s="231">
        <v>58273.65</v>
      </c>
      <c r="EO88" s="231">
        <v>75627.149999999994</v>
      </c>
      <c r="EP88" s="231">
        <v>-17353.5</v>
      </c>
      <c r="EQ88" s="229">
        <v>-0.22950000000000001</v>
      </c>
      <c r="ER88" s="231">
        <v>31025</v>
      </c>
      <c r="ES88" s="231">
        <v>17348</v>
      </c>
      <c r="ET88" s="231">
        <v>78304</v>
      </c>
      <c r="EU88" s="231">
        <v>100095000</v>
      </c>
      <c r="EV88" s="231">
        <v>126677</v>
      </c>
      <c r="EW88" s="231">
        <v>123578</v>
      </c>
      <c r="EX88" s="231">
        <v>3099</v>
      </c>
      <c r="EY88" s="229">
        <v>2.5100000000000001E-2</v>
      </c>
      <c r="EZ88" s="229">
        <v>0.58589999999999998</v>
      </c>
      <c r="FA88" s="227" t="s">
        <v>567</v>
      </c>
      <c r="FB88" s="161">
        <f t="shared" si="1"/>
        <v>3871125</v>
      </c>
    </row>
    <row r="89" spans="1:158" ht="17.25" hidden="1" thickBot="1" x14ac:dyDescent="0.3">
      <c r="A89" s="226">
        <v>45889</v>
      </c>
      <c r="B89" s="227" t="s">
        <v>172</v>
      </c>
      <c r="C89" s="227" t="s">
        <v>232</v>
      </c>
      <c r="D89" s="228">
        <v>700</v>
      </c>
      <c r="E89" s="231">
        <v>1431.1</v>
      </c>
      <c r="F89" s="231">
        <v>1437.3</v>
      </c>
      <c r="G89" s="228">
        <v>-6.2</v>
      </c>
      <c r="H89" s="229">
        <v>-4.3E-3</v>
      </c>
      <c r="I89" s="231">
        <v>1430.6</v>
      </c>
      <c r="J89" s="231">
        <v>1436.3</v>
      </c>
      <c r="K89" s="228">
        <v>-5.7</v>
      </c>
      <c r="L89" s="229">
        <v>-4.0000000000000001E-3</v>
      </c>
      <c r="M89" s="231">
        <v>1431.1</v>
      </c>
      <c r="N89" s="231">
        <v>1437.3</v>
      </c>
      <c r="O89" s="228">
        <v>-6.2</v>
      </c>
      <c r="P89" s="229">
        <v>-4.3E-3</v>
      </c>
      <c r="Q89" s="231">
        <v>1439.5</v>
      </c>
      <c r="R89" s="231">
        <v>1445.8</v>
      </c>
      <c r="S89" s="228">
        <v>-6.3</v>
      </c>
      <c r="T89" s="229">
        <v>-4.4000000000000003E-3</v>
      </c>
      <c r="U89" s="231">
        <v>1445.8</v>
      </c>
      <c r="V89" s="231">
        <v>1452.2</v>
      </c>
      <c r="W89" s="228">
        <v>-6.4</v>
      </c>
      <c r="X89" s="229">
        <v>-4.4000000000000003E-3</v>
      </c>
      <c r="Y89" s="228">
        <v>0.5</v>
      </c>
      <c r="Z89" s="228">
        <v>1</v>
      </c>
      <c r="AA89" s="228">
        <v>-0.5</v>
      </c>
      <c r="AB89" s="229">
        <v>2.9999999999999997E-4</v>
      </c>
      <c r="AC89" s="228">
        <v>0.5</v>
      </c>
      <c r="AD89" s="228">
        <v>1</v>
      </c>
      <c r="AE89" s="228">
        <v>-0.5</v>
      </c>
      <c r="AF89" s="229">
        <v>2.9999999999999997E-4</v>
      </c>
      <c r="AG89" s="228">
        <v>8.9</v>
      </c>
      <c r="AH89" s="228">
        <v>9.5</v>
      </c>
      <c r="AI89" s="228">
        <v>-0.6</v>
      </c>
      <c r="AJ89" s="229">
        <v>6.1999999999999998E-3</v>
      </c>
      <c r="AK89" s="228">
        <v>15.2</v>
      </c>
      <c r="AL89" s="228">
        <v>15.9</v>
      </c>
      <c r="AM89" s="228">
        <v>-0.7</v>
      </c>
      <c r="AN89" s="229">
        <v>1.06E-2</v>
      </c>
      <c r="AO89" s="231">
        <v>1430.42</v>
      </c>
      <c r="AP89" s="231">
        <v>1439.08</v>
      </c>
      <c r="AQ89" s="228">
        <v>0</v>
      </c>
      <c r="AR89" s="230">
        <v>12173700</v>
      </c>
      <c r="AS89" s="230">
        <v>7948500</v>
      </c>
      <c r="AT89" s="230">
        <v>4225200</v>
      </c>
      <c r="AU89" s="229">
        <v>0.53159999999999996</v>
      </c>
      <c r="AV89" s="230">
        <v>8782900</v>
      </c>
      <c r="AW89" s="230">
        <v>6778100</v>
      </c>
      <c r="AX89" s="230">
        <v>2004800</v>
      </c>
      <c r="AY89" s="229">
        <v>0.29580000000000001</v>
      </c>
      <c r="AZ89" s="230">
        <v>2725800</v>
      </c>
      <c r="BA89" s="230">
        <v>427700</v>
      </c>
      <c r="BB89" s="230">
        <v>2298100</v>
      </c>
      <c r="BC89" s="229">
        <v>5.3731999999999998</v>
      </c>
      <c r="BD89" s="230">
        <v>665000</v>
      </c>
      <c r="BE89" s="230">
        <v>742700</v>
      </c>
      <c r="BF89" s="230">
        <v>-77700</v>
      </c>
      <c r="BG89" s="229">
        <v>-0.1046</v>
      </c>
      <c r="BH89" s="230">
        <v>24442600</v>
      </c>
      <c r="BI89" s="230">
        <v>23620100</v>
      </c>
      <c r="BJ89" s="230">
        <v>822500</v>
      </c>
      <c r="BK89" s="229">
        <v>3.4799999999999998E-2</v>
      </c>
      <c r="BL89" s="230">
        <v>13213900</v>
      </c>
      <c r="BM89" s="230">
        <v>12052600</v>
      </c>
      <c r="BN89" s="230">
        <v>1161300</v>
      </c>
      <c r="BO89" s="229">
        <v>9.64E-2</v>
      </c>
      <c r="BP89" s="230">
        <v>49830200</v>
      </c>
      <c r="BQ89" s="230">
        <v>43621200</v>
      </c>
      <c r="BR89" s="230">
        <v>6209000</v>
      </c>
      <c r="BS89" s="229">
        <v>0.14230000000000001</v>
      </c>
      <c r="BT89" s="230">
        <v>5959903</v>
      </c>
      <c r="BU89" s="230">
        <v>7029824</v>
      </c>
      <c r="BV89" s="230">
        <v>-1069921</v>
      </c>
      <c r="BW89" s="229">
        <v>-0.1522</v>
      </c>
      <c r="BX89" s="230">
        <v>106148700</v>
      </c>
      <c r="BY89" s="230">
        <v>105702800</v>
      </c>
      <c r="BZ89" s="230">
        <v>445900</v>
      </c>
      <c r="CA89" s="229">
        <v>4.1999999999999997E-3</v>
      </c>
      <c r="CB89" s="230">
        <v>92726900</v>
      </c>
      <c r="CC89" s="230">
        <v>95272800</v>
      </c>
      <c r="CD89" s="230">
        <v>-2545900</v>
      </c>
      <c r="CE89" s="229">
        <v>-2.6700000000000002E-2</v>
      </c>
      <c r="CF89" s="230">
        <v>8631700</v>
      </c>
      <c r="CG89" s="230">
        <v>6284600</v>
      </c>
      <c r="CH89" s="230">
        <v>2347100</v>
      </c>
      <c r="CI89" s="229">
        <v>0.3735</v>
      </c>
      <c r="CJ89" s="230">
        <v>4790100</v>
      </c>
      <c r="CK89" s="230">
        <v>4145400</v>
      </c>
      <c r="CL89" s="230">
        <v>644700</v>
      </c>
      <c r="CM89" s="229">
        <v>0.1555</v>
      </c>
      <c r="CN89" s="230">
        <v>24348100</v>
      </c>
      <c r="CO89" s="230">
        <v>22897000</v>
      </c>
      <c r="CP89" s="230">
        <v>1451100</v>
      </c>
      <c r="CQ89" s="229">
        <v>6.3399999999999998E-2</v>
      </c>
      <c r="CR89" s="230">
        <v>14119700</v>
      </c>
      <c r="CS89" s="230">
        <v>14056000</v>
      </c>
      <c r="CT89" s="230">
        <v>63700</v>
      </c>
      <c r="CU89" s="229">
        <v>4.4999999999999997E-3</v>
      </c>
      <c r="CV89" s="230">
        <v>144616500</v>
      </c>
      <c r="CW89" s="230">
        <v>142655800</v>
      </c>
      <c r="CX89" s="230">
        <v>1960700</v>
      </c>
      <c r="CY89" s="229">
        <v>1.37E-2</v>
      </c>
      <c r="CZ89" s="228">
        <v>14.75</v>
      </c>
      <c r="DA89" s="228">
        <v>14.48</v>
      </c>
      <c r="DB89" s="228">
        <v>0.27</v>
      </c>
      <c r="DC89" s="228">
        <v>0.27</v>
      </c>
      <c r="DD89" s="228">
        <v>22.07</v>
      </c>
      <c r="DE89" s="228">
        <v>22.11</v>
      </c>
      <c r="DF89" s="228">
        <v>-7.32</v>
      </c>
      <c r="DG89" s="228">
        <v>-0.04</v>
      </c>
      <c r="DH89" s="228">
        <v>14.97</v>
      </c>
      <c r="DI89" s="228">
        <v>14.33</v>
      </c>
      <c r="DJ89" s="228">
        <v>0.64</v>
      </c>
      <c r="DK89" s="228">
        <v>0.64</v>
      </c>
      <c r="DL89" s="228">
        <v>14.34</v>
      </c>
      <c r="DM89" s="228">
        <v>14.77</v>
      </c>
      <c r="DN89" s="228">
        <v>-0.43</v>
      </c>
      <c r="DO89" s="228">
        <v>-0.43</v>
      </c>
      <c r="DP89" s="228">
        <v>0.57999999999999996</v>
      </c>
      <c r="DQ89" s="228">
        <v>0.61</v>
      </c>
      <c r="DR89" s="228">
        <v>-0.03</v>
      </c>
      <c r="DS89" s="229">
        <v>-4.9200000000000001E-2</v>
      </c>
      <c r="DT89" s="231">
        <v>1500</v>
      </c>
      <c r="DU89" s="231">
        <v>1420</v>
      </c>
      <c r="DV89" s="228">
        <v>0.54</v>
      </c>
      <c r="DW89" s="228">
        <v>0.51</v>
      </c>
      <c r="DX89" s="228">
        <v>0.03</v>
      </c>
      <c r="DY89" s="229">
        <v>5.8799999999999998E-2</v>
      </c>
      <c r="DZ89" s="229">
        <v>0.12640000000000001</v>
      </c>
      <c r="EA89" s="230">
        <v>10430000</v>
      </c>
      <c r="EB89" s="229">
        <v>5.8999999999999999E-3</v>
      </c>
      <c r="EC89" s="229">
        <v>0.12640000000000001</v>
      </c>
      <c r="ED89" s="228">
        <v>8.66</v>
      </c>
      <c r="EE89" s="229">
        <v>6.1000000000000004E-3</v>
      </c>
      <c r="EF89" s="230">
        <v>4125973</v>
      </c>
      <c r="EG89" s="230">
        <v>4524878</v>
      </c>
      <c r="EH89" s="229">
        <v>-8.8200000000000001E-2</v>
      </c>
      <c r="EI89" s="229">
        <v>0.69230000000000003</v>
      </c>
      <c r="EJ89" s="231">
        <v>355449.66</v>
      </c>
      <c r="EK89" s="231">
        <v>188810.31</v>
      </c>
      <c r="EL89" s="231">
        <v>174471.96</v>
      </c>
      <c r="EM89" s="228">
        <v>0</v>
      </c>
      <c r="EN89" s="231">
        <v>718731.93</v>
      </c>
      <c r="EO89" s="231">
        <v>631564.12</v>
      </c>
      <c r="EP89" s="231">
        <v>87167.81</v>
      </c>
      <c r="EQ89" s="229">
        <v>0.13800000000000001</v>
      </c>
      <c r="ER89" s="231">
        <v>361019</v>
      </c>
      <c r="ES89" s="231">
        <v>199375</v>
      </c>
      <c r="ET89" s="231">
        <v>1520523</v>
      </c>
      <c r="EU89" s="231">
        <v>1159570344</v>
      </c>
      <c r="EV89" s="231">
        <v>2080918</v>
      </c>
      <c r="EW89" s="231">
        <v>2059187</v>
      </c>
      <c r="EX89" s="231">
        <v>21731</v>
      </c>
      <c r="EY89" s="229">
        <v>1.06E-2</v>
      </c>
      <c r="EZ89" s="229">
        <v>0.12470000000000001</v>
      </c>
      <c r="FA89" s="227" t="s">
        <v>567</v>
      </c>
      <c r="FB89" s="161">
        <f t="shared" si="1"/>
        <v>13421800</v>
      </c>
    </row>
    <row r="90" spans="1:158" ht="17.25" hidden="1" thickBot="1" x14ac:dyDescent="0.3">
      <c r="A90" s="226">
        <v>45889</v>
      </c>
      <c r="B90" s="227" t="s">
        <v>175</v>
      </c>
      <c r="C90" s="227" t="s">
        <v>472</v>
      </c>
      <c r="D90" s="228">
        <v>325</v>
      </c>
      <c r="E90" s="231">
        <v>1975.2</v>
      </c>
      <c r="F90" s="231">
        <v>1953.2</v>
      </c>
      <c r="G90" s="228">
        <v>22</v>
      </c>
      <c r="H90" s="229">
        <v>1.1299999999999999E-2</v>
      </c>
      <c r="I90" s="231">
        <v>1968.5</v>
      </c>
      <c r="J90" s="231">
        <v>1952.9</v>
      </c>
      <c r="K90" s="228">
        <v>15.6</v>
      </c>
      <c r="L90" s="229">
        <v>8.0000000000000002E-3</v>
      </c>
      <c r="M90" s="231">
        <v>1975.2</v>
      </c>
      <c r="N90" s="231">
        <v>1953.2</v>
      </c>
      <c r="O90" s="228">
        <v>22</v>
      </c>
      <c r="P90" s="229">
        <v>1.1299999999999999E-2</v>
      </c>
      <c r="Q90" s="231">
        <v>1984.1</v>
      </c>
      <c r="R90" s="231">
        <v>1962.1</v>
      </c>
      <c r="S90" s="228">
        <v>22</v>
      </c>
      <c r="T90" s="229">
        <v>1.12E-2</v>
      </c>
      <c r="U90" s="231">
        <v>1957</v>
      </c>
      <c r="V90" s="231">
        <v>1957</v>
      </c>
      <c r="W90" s="228">
        <v>0</v>
      </c>
      <c r="X90" s="229">
        <v>0</v>
      </c>
      <c r="Y90" s="228">
        <v>6.7</v>
      </c>
      <c r="Z90" s="228">
        <v>0.3</v>
      </c>
      <c r="AA90" s="228">
        <v>6.4</v>
      </c>
      <c r="AB90" s="229">
        <v>3.3999999999999998E-3</v>
      </c>
      <c r="AC90" s="228">
        <v>6.7</v>
      </c>
      <c r="AD90" s="228">
        <v>0.3</v>
      </c>
      <c r="AE90" s="228">
        <v>6.4</v>
      </c>
      <c r="AF90" s="229">
        <v>3.3999999999999998E-3</v>
      </c>
      <c r="AG90" s="228">
        <v>15.6</v>
      </c>
      <c r="AH90" s="228">
        <v>9.1999999999999993</v>
      </c>
      <c r="AI90" s="228">
        <v>6.4</v>
      </c>
      <c r="AJ90" s="229">
        <v>7.9000000000000008E-3</v>
      </c>
      <c r="AK90" s="228">
        <v>-11.5</v>
      </c>
      <c r="AL90" s="228">
        <v>4.0999999999999996</v>
      </c>
      <c r="AM90" s="228">
        <v>-15.6</v>
      </c>
      <c r="AN90" s="229">
        <v>-5.7999999999999996E-3</v>
      </c>
      <c r="AO90" s="231">
        <v>1969.15</v>
      </c>
      <c r="AP90" s="231">
        <v>1976.31</v>
      </c>
      <c r="AQ90" s="228">
        <v>0</v>
      </c>
      <c r="AR90" s="230">
        <v>348400</v>
      </c>
      <c r="AS90" s="230">
        <v>473525</v>
      </c>
      <c r="AT90" s="230">
        <v>-125125</v>
      </c>
      <c r="AU90" s="229">
        <v>-0.26419999999999999</v>
      </c>
      <c r="AV90" s="230">
        <v>306475</v>
      </c>
      <c r="AW90" s="230">
        <v>433225</v>
      </c>
      <c r="AX90" s="230">
        <v>-126750</v>
      </c>
      <c r="AY90" s="229">
        <v>-0.29260000000000003</v>
      </c>
      <c r="AZ90" s="230">
        <v>41925</v>
      </c>
      <c r="BA90" s="230">
        <v>37700</v>
      </c>
      <c r="BB90" s="230">
        <v>4225</v>
      </c>
      <c r="BC90" s="229">
        <v>0.11210000000000001</v>
      </c>
      <c r="BD90" s="228">
        <v>0</v>
      </c>
      <c r="BE90" s="230">
        <v>2600</v>
      </c>
      <c r="BF90" s="230">
        <v>-2600</v>
      </c>
      <c r="BG90" s="229">
        <v>-1</v>
      </c>
      <c r="BH90" s="230">
        <v>1068925</v>
      </c>
      <c r="BI90" s="230">
        <v>733850</v>
      </c>
      <c r="BJ90" s="230">
        <v>335075</v>
      </c>
      <c r="BK90" s="229">
        <v>0.45660000000000001</v>
      </c>
      <c r="BL90" s="230">
        <v>326950</v>
      </c>
      <c r="BM90" s="230">
        <v>455650</v>
      </c>
      <c r="BN90" s="230">
        <v>-128700</v>
      </c>
      <c r="BO90" s="229">
        <v>-0.28249999999999997</v>
      </c>
      <c r="BP90" s="230">
        <v>1744275</v>
      </c>
      <c r="BQ90" s="230">
        <v>1663025</v>
      </c>
      <c r="BR90" s="230">
        <v>81250</v>
      </c>
      <c r="BS90" s="229">
        <v>4.8899999999999999E-2</v>
      </c>
      <c r="BT90" s="230">
        <v>184272</v>
      </c>
      <c r="BU90" s="230">
        <v>459429</v>
      </c>
      <c r="BV90" s="230">
        <v>-275157</v>
      </c>
      <c r="BW90" s="229">
        <v>-0.59889999999999999</v>
      </c>
      <c r="BX90" s="230">
        <v>5077475</v>
      </c>
      <c r="BY90" s="230">
        <v>5001425</v>
      </c>
      <c r="BZ90" s="230">
        <v>76050</v>
      </c>
      <c r="CA90" s="229">
        <v>1.52E-2</v>
      </c>
      <c r="CB90" s="230">
        <v>4997850</v>
      </c>
      <c r="CC90" s="230">
        <v>4939350</v>
      </c>
      <c r="CD90" s="230">
        <v>58500</v>
      </c>
      <c r="CE90" s="229">
        <v>1.18E-2</v>
      </c>
      <c r="CF90" s="230">
        <v>76700</v>
      </c>
      <c r="CG90" s="230">
        <v>59150</v>
      </c>
      <c r="CH90" s="230">
        <v>17550</v>
      </c>
      <c r="CI90" s="229">
        <v>0.29670000000000002</v>
      </c>
      <c r="CJ90" s="230">
        <v>2925</v>
      </c>
      <c r="CK90" s="230">
        <v>2925</v>
      </c>
      <c r="CL90" s="228">
        <v>0</v>
      </c>
      <c r="CM90" s="229">
        <v>0</v>
      </c>
      <c r="CN90" s="230">
        <v>710775</v>
      </c>
      <c r="CO90" s="230">
        <v>632450</v>
      </c>
      <c r="CP90" s="230">
        <v>78325</v>
      </c>
      <c r="CQ90" s="229">
        <v>0.12379999999999999</v>
      </c>
      <c r="CR90" s="230">
        <v>555425</v>
      </c>
      <c r="CS90" s="230">
        <v>558675</v>
      </c>
      <c r="CT90" s="230">
        <v>-3250</v>
      </c>
      <c r="CU90" s="229">
        <v>-5.7999999999999996E-3</v>
      </c>
      <c r="CV90" s="230">
        <v>6343675</v>
      </c>
      <c r="CW90" s="230">
        <v>6192550</v>
      </c>
      <c r="CX90" s="230">
        <v>151125</v>
      </c>
      <c r="CY90" s="229">
        <v>2.4400000000000002E-2</v>
      </c>
      <c r="CZ90" s="228">
        <v>22.77</v>
      </c>
      <c r="DA90" s="228">
        <v>23.06</v>
      </c>
      <c r="DB90" s="228">
        <v>-0.28999999999999998</v>
      </c>
      <c r="DC90" s="228">
        <v>-0.28999999999999998</v>
      </c>
      <c r="DD90" s="228">
        <v>29.21</v>
      </c>
      <c r="DE90" s="228">
        <v>29.26</v>
      </c>
      <c r="DF90" s="228">
        <v>-6.44</v>
      </c>
      <c r="DG90" s="228">
        <v>-0.05</v>
      </c>
      <c r="DH90" s="228">
        <v>22.59</v>
      </c>
      <c r="DI90" s="228">
        <v>22.22</v>
      </c>
      <c r="DJ90" s="228">
        <v>0.37</v>
      </c>
      <c r="DK90" s="228">
        <v>0.37</v>
      </c>
      <c r="DL90" s="228">
        <v>23.35</v>
      </c>
      <c r="DM90" s="228">
        <v>24.41</v>
      </c>
      <c r="DN90" s="228">
        <v>-1.06</v>
      </c>
      <c r="DO90" s="228">
        <v>-1.06</v>
      </c>
      <c r="DP90" s="228">
        <v>0.78</v>
      </c>
      <c r="DQ90" s="228">
        <v>0.88</v>
      </c>
      <c r="DR90" s="228">
        <v>-0.1</v>
      </c>
      <c r="DS90" s="229">
        <v>-0.11360000000000001</v>
      </c>
      <c r="DT90" s="231">
        <v>2000</v>
      </c>
      <c r="DU90" s="231">
        <v>2000</v>
      </c>
      <c r="DV90" s="228">
        <v>0.31</v>
      </c>
      <c r="DW90" s="228">
        <v>0.62</v>
      </c>
      <c r="DX90" s="228">
        <v>-0.31</v>
      </c>
      <c r="DY90" s="229">
        <v>-0.5</v>
      </c>
      <c r="DZ90" s="229">
        <v>1.5699999999999999E-2</v>
      </c>
      <c r="EA90" s="230">
        <v>62075</v>
      </c>
      <c r="EB90" s="229">
        <v>4.4999999999999997E-3</v>
      </c>
      <c r="EC90" s="229">
        <v>1.5699999999999999E-2</v>
      </c>
      <c r="ED90" s="228">
        <v>7.16</v>
      </c>
      <c r="EE90" s="229">
        <v>3.5999999999999999E-3</v>
      </c>
      <c r="EF90" s="230">
        <v>108694</v>
      </c>
      <c r="EG90" s="230">
        <v>270946</v>
      </c>
      <c r="EH90" s="229">
        <v>-0.5988</v>
      </c>
      <c r="EI90" s="229">
        <v>0.58989999999999998</v>
      </c>
      <c r="EJ90" s="231">
        <v>21882.43</v>
      </c>
      <c r="EK90" s="231">
        <v>6349.69</v>
      </c>
      <c r="EL90" s="231">
        <v>6863.53</v>
      </c>
      <c r="EM90" s="228">
        <v>0</v>
      </c>
      <c r="EN90" s="231">
        <v>35095.65</v>
      </c>
      <c r="EO90" s="231">
        <v>32570.69</v>
      </c>
      <c r="EP90" s="231">
        <v>2524.96</v>
      </c>
      <c r="EQ90" s="229">
        <v>7.7499999999999999E-2</v>
      </c>
      <c r="ER90" s="231">
        <v>14273</v>
      </c>
      <c r="ES90" s="231">
        <v>10582</v>
      </c>
      <c r="ET90" s="231">
        <v>100297</v>
      </c>
      <c r="EU90" s="231">
        <v>48215701</v>
      </c>
      <c r="EV90" s="231">
        <v>125152</v>
      </c>
      <c r="EW90" s="231">
        <v>120979</v>
      </c>
      <c r="EX90" s="231">
        <v>4173</v>
      </c>
      <c r="EY90" s="229">
        <v>3.4500000000000003E-2</v>
      </c>
      <c r="EZ90" s="229">
        <v>0.13159999999999999</v>
      </c>
      <c r="FA90" s="227" t="s">
        <v>555</v>
      </c>
      <c r="FB90" s="161">
        <f t="shared" si="1"/>
        <v>79625</v>
      </c>
    </row>
    <row r="91" spans="1:158" ht="17.25" hidden="1" thickBot="1" x14ac:dyDescent="0.3">
      <c r="A91" s="226">
        <v>45889</v>
      </c>
      <c r="B91" s="227" t="s">
        <v>175</v>
      </c>
      <c r="C91" s="227" t="s">
        <v>233</v>
      </c>
      <c r="D91" s="228">
        <v>925</v>
      </c>
      <c r="E91" s="228">
        <v>634.04999999999995</v>
      </c>
      <c r="F91" s="228">
        <v>634.1</v>
      </c>
      <c r="G91" s="228">
        <v>-0.05</v>
      </c>
      <c r="H91" s="229">
        <v>-1E-4</v>
      </c>
      <c r="I91" s="228">
        <v>632.04999999999995</v>
      </c>
      <c r="J91" s="228">
        <v>633.45000000000005</v>
      </c>
      <c r="K91" s="228">
        <v>-1.4</v>
      </c>
      <c r="L91" s="229">
        <v>-2.2000000000000001E-3</v>
      </c>
      <c r="M91" s="228">
        <v>634.04999999999995</v>
      </c>
      <c r="N91" s="228">
        <v>634.1</v>
      </c>
      <c r="O91" s="228">
        <v>-0.05</v>
      </c>
      <c r="P91" s="229">
        <v>-1E-4</v>
      </c>
      <c r="Q91" s="228">
        <v>637.20000000000005</v>
      </c>
      <c r="R91" s="228">
        <v>638.1</v>
      </c>
      <c r="S91" s="228">
        <v>-0.9</v>
      </c>
      <c r="T91" s="229">
        <v>-1.4E-3</v>
      </c>
      <c r="U91" s="228">
        <v>640.6</v>
      </c>
      <c r="V91" s="228">
        <v>641.04999999999995</v>
      </c>
      <c r="W91" s="228">
        <v>-0.45</v>
      </c>
      <c r="X91" s="229">
        <v>-6.9999999999999999E-4</v>
      </c>
      <c r="Y91" s="228">
        <v>2</v>
      </c>
      <c r="Z91" s="228">
        <v>0.65</v>
      </c>
      <c r="AA91" s="228">
        <v>1.35</v>
      </c>
      <c r="AB91" s="229">
        <v>3.2000000000000002E-3</v>
      </c>
      <c r="AC91" s="228">
        <v>2</v>
      </c>
      <c r="AD91" s="228">
        <v>0.65</v>
      </c>
      <c r="AE91" s="228">
        <v>1.35</v>
      </c>
      <c r="AF91" s="229">
        <v>3.2000000000000002E-3</v>
      </c>
      <c r="AG91" s="228">
        <v>5.15</v>
      </c>
      <c r="AH91" s="228">
        <v>4.6500000000000004</v>
      </c>
      <c r="AI91" s="228">
        <v>0.5</v>
      </c>
      <c r="AJ91" s="229">
        <v>8.0999999999999996E-3</v>
      </c>
      <c r="AK91" s="228">
        <v>8.5500000000000007</v>
      </c>
      <c r="AL91" s="228">
        <v>7.6</v>
      </c>
      <c r="AM91" s="228">
        <v>0.95</v>
      </c>
      <c r="AN91" s="229">
        <v>1.35E-2</v>
      </c>
      <c r="AO91" s="228">
        <v>635.41999999999996</v>
      </c>
      <c r="AP91" s="228">
        <v>638.47</v>
      </c>
      <c r="AQ91" s="228">
        <v>0</v>
      </c>
      <c r="AR91" s="230">
        <v>1077625</v>
      </c>
      <c r="AS91" s="230">
        <v>1196025</v>
      </c>
      <c r="AT91" s="230">
        <v>-118400</v>
      </c>
      <c r="AU91" s="229">
        <v>-9.9000000000000005E-2</v>
      </c>
      <c r="AV91" s="230">
        <v>840825</v>
      </c>
      <c r="AW91" s="230">
        <v>1044325</v>
      </c>
      <c r="AX91" s="230">
        <v>-203500</v>
      </c>
      <c r="AY91" s="229">
        <v>-0.19489999999999999</v>
      </c>
      <c r="AZ91" s="230">
        <v>234025</v>
      </c>
      <c r="BA91" s="230">
        <v>142450</v>
      </c>
      <c r="BB91" s="230">
        <v>91575</v>
      </c>
      <c r="BC91" s="229">
        <v>0.64290000000000003</v>
      </c>
      <c r="BD91" s="230">
        <v>2775</v>
      </c>
      <c r="BE91" s="230">
        <v>9250</v>
      </c>
      <c r="BF91" s="230">
        <v>-6475</v>
      </c>
      <c r="BG91" s="229">
        <v>-0.7</v>
      </c>
      <c r="BH91" s="230">
        <v>1731600</v>
      </c>
      <c r="BI91" s="230">
        <v>3008100</v>
      </c>
      <c r="BJ91" s="230">
        <v>-1276500</v>
      </c>
      <c r="BK91" s="229">
        <v>-0.4244</v>
      </c>
      <c r="BL91" s="230">
        <v>499500</v>
      </c>
      <c r="BM91" s="230">
        <v>1023975</v>
      </c>
      <c r="BN91" s="230">
        <v>-524475</v>
      </c>
      <c r="BO91" s="229">
        <v>-0.51219999999999999</v>
      </c>
      <c r="BP91" s="230">
        <v>3308725</v>
      </c>
      <c r="BQ91" s="230">
        <v>5228100</v>
      </c>
      <c r="BR91" s="230">
        <v>-1919375</v>
      </c>
      <c r="BS91" s="229">
        <v>-0.36709999999999998</v>
      </c>
      <c r="BT91" s="230">
        <v>425318</v>
      </c>
      <c r="BU91" s="230">
        <v>445452</v>
      </c>
      <c r="BV91" s="230">
        <v>-20134</v>
      </c>
      <c r="BW91" s="229">
        <v>-4.5199999999999997E-2</v>
      </c>
      <c r="BX91" s="230">
        <v>12884325</v>
      </c>
      <c r="BY91" s="230">
        <v>12726150</v>
      </c>
      <c r="BZ91" s="230">
        <v>158175</v>
      </c>
      <c r="CA91" s="229">
        <v>1.24E-2</v>
      </c>
      <c r="CB91" s="230">
        <v>12498600</v>
      </c>
      <c r="CC91" s="230">
        <v>12440325</v>
      </c>
      <c r="CD91" s="230">
        <v>58275</v>
      </c>
      <c r="CE91" s="229">
        <v>4.7000000000000002E-3</v>
      </c>
      <c r="CF91" s="230">
        <v>370925</v>
      </c>
      <c r="CG91" s="230">
        <v>271025</v>
      </c>
      <c r="CH91" s="230">
        <v>99900</v>
      </c>
      <c r="CI91" s="229">
        <v>0.36859999999999998</v>
      </c>
      <c r="CJ91" s="230">
        <v>14800</v>
      </c>
      <c r="CK91" s="230">
        <v>14800</v>
      </c>
      <c r="CL91" s="228">
        <v>0</v>
      </c>
      <c r="CM91" s="229">
        <v>0</v>
      </c>
      <c r="CN91" s="230">
        <v>2861950</v>
      </c>
      <c r="CO91" s="230">
        <v>2874900</v>
      </c>
      <c r="CP91" s="230">
        <v>-12950</v>
      </c>
      <c r="CQ91" s="229">
        <v>-4.4999999999999997E-3</v>
      </c>
      <c r="CR91" s="230">
        <v>2055350</v>
      </c>
      <c r="CS91" s="230">
        <v>1960075</v>
      </c>
      <c r="CT91" s="230">
        <v>95275</v>
      </c>
      <c r="CU91" s="229">
        <v>4.8599999999999997E-2</v>
      </c>
      <c r="CV91" s="230">
        <v>17801625</v>
      </c>
      <c r="CW91" s="230">
        <v>17561125</v>
      </c>
      <c r="CX91" s="230">
        <v>240500</v>
      </c>
      <c r="CY91" s="229">
        <v>1.37E-2</v>
      </c>
      <c r="CZ91" s="228">
        <v>26.58</v>
      </c>
      <c r="DA91" s="228">
        <v>25.62</v>
      </c>
      <c r="DB91" s="228">
        <v>0.96</v>
      </c>
      <c r="DC91" s="228">
        <v>0.96</v>
      </c>
      <c r="DD91" s="228">
        <v>29.84</v>
      </c>
      <c r="DE91" s="228">
        <v>29.92</v>
      </c>
      <c r="DF91" s="228">
        <v>-3.26</v>
      </c>
      <c r="DG91" s="228">
        <v>-0.08</v>
      </c>
      <c r="DH91" s="228">
        <v>26.67</v>
      </c>
      <c r="DI91" s="228">
        <v>25.45</v>
      </c>
      <c r="DJ91" s="228">
        <v>1.22</v>
      </c>
      <c r="DK91" s="228">
        <v>1.22</v>
      </c>
      <c r="DL91" s="228">
        <v>26.29</v>
      </c>
      <c r="DM91" s="228">
        <v>26.12</v>
      </c>
      <c r="DN91" s="228">
        <v>0.17</v>
      </c>
      <c r="DO91" s="228">
        <v>0.17</v>
      </c>
      <c r="DP91" s="228">
        <v>0.72</v>
      </c>
      <c r="DQ91" s="228">
        <v>0.68</v>
      </c>
      <c r="DR91" s="228">
        <v>0.04</v>
      </c>
      <c r="DS91" s="229">
        <v>5.8799999999999998E-2</v>
      </c>
      <c r="DT91" s="228">
        <v>650</v>
      </c>
      <c r="DU91" s="228">
        <v>650</v>
      </c>
      <c r="DV91" s="228">
        <v>0.28999999999999998</v>
      </c>
      <c r="DW91" s="228">
        <v>0.34</v>
      </c>
      <c r="DX91" s="228">
        <v>-0.05</v>
      </c>
      <c r="DY91" s="229">
        <v>-0.14710000000000001</v>
      </c>
      <c r="DZ91" s="229">
        <v>2.9899999999999999E-2</v>
      </c>
      <c r="EA91" s="230">
        <v>285825</v>
      </c>
      <c r="EB91" s="229">
        <v>5.0000000000000001E-3</v>
      </c>
      <c r="EC91" s="229">
        <v>2.9899999999999999E-2</v>
      </c>
      <c r="ED91" s="228">
        <v>3.05</v>
      </c>
      <c r="EE91" s="229">
        <v>4.7999999999999996E-3</v>
      </c>
      <c r="EF91" s="230">
        <v>272199</v>
      </c>
      <c r="EG91" s="230">
        <v>219285</v>
      </c>
      <c r="EH91" s="229">
        <v>0.24129999999999999</v>
      </c>
      <c r="EI91" s="229">
        <v>0.64</v>
      </c>
      <c r="EJ91" s="231">
        <v>11381.09</v>
      </c>
      <c r="EK91" s="231">
        <v>3124.59</v>
      </c>
      <c r="EL91" s="231">
        <v>6854.72</v>
      </c>
      <c r="EM91" s="228">
        <v>0</v>
      </c>
      <c r="EN91" s="231">
        <v>21360.400000000001</v>
      </c>
      <c r="EO91" s="231">
        <v>33748.519999999997</v>
      </c>
      <c r="EP91" s="231">
        <v>-12388.12</v>
      </c>
      <c r="EQ91" s="229">
        <v>-0.36709999999999998</v>
      </c>
      <c r="ER91" s="231">
        <v>18619</v>
      </c>
      <c r="ES91" s="231">
        <v>12741</v>
      </c>
      <c r="ET91" s="231">
        <v>81706</v>
      </c>
      <c r="EU91" s="231">
        <v>78208959</v>
      </c>
      <c r="EV91" s="231">
        <v>113066</v>
      </c>
      <c r="EW91" s="231">
        <v>111559</v>
      </c>
      <c r="EX91" s="231">
        <v>1507</v>
      </c>
      <c r="EY91" s="229">
        <v>1.35E-2</v>
      </c>
      <c r="EZ91" s="229">
        <v>0.2276</v>
      </c>
      <c r="FA91" s="227" t="s">
        <v>567</v>
      </c>
      <c r="FB91" s="161">
        <f t="shared" si="1"/>
        <v>385725</v>
      </c>
    </row>
    <row r="92" spans="1:158" ht="17.25" hidden="1" thickBot="1" x14ac:dyDescent="0.3">
      <c r="A92" s="226">
        <v>45889</v>
      </c>
      <c r="B92" s="227" t="s">
        <v>188</v>
      </c>
      <c r="C92" s="227" t="s">
        <v>234</v>
      </c>
      <c r="D92" s="228">
        <v>71475</v>
      </c>
      <c r="E92" s="228">
        <v>6.79</v>
      </c>
      <c r="F92" s="228">
        <v>6.6</v>
      </c>
      <c r="G92" s="228">
        <v>0.19</v>
      </c>
      <c r="H92" s="229">
        <v>2.8799999999999999E-2</v>
      </c>
      <c r="I92" s="228">
        <v>6.79</v>
      </c>
      <c r="J92" s="228">
        <v>6.58</v>
      </c>
      <c r="K92" s="228">
        <v>0.21</v>
      </c>
      <c r="L92" s="229">
        <v>3.1899999999999998E-2</v>
      </c>
      <c r="M92" s="228">
        <v>6.79</v>
      </c>
      <c r="N92" s="228">
        <v>6.6</v>
      </c>
      <c r="O92" s="228">
        <v>0.19</v>
      </c>
      <c r="P92" s="229">
        <v>2.8799999999999999E-2</v>
      </c>
      <c r="Q92" s="228">
        <v>6.84</v>
      </c>
      <c r="R92" s="228">
        <v>6.64</v>
      </c>
      <c r="S92" s="228">
        <v>0.2</v>
      </c>
      <c r="T92" s="229">
        <v>3.0099999999999998E-2</v>
      </c>
      <c r="U92" s="228">
        <v>6.88</v>
      </c>
      <c r="V92" s="228">
        <v>6.68</v>
      </c>
      <c r="W92" s="228">
        <v>0.2</v>
      </c>
      <c r="X92" s="229">
        <v>2.9899999999999999E-2</v>
      </c>
      <c r="Y92" s="228">
        <v>0</v>
      </c>
      <c r="Z92" s="228">
        <v>0.02</v>
      </c>
      <c r="AA92" s="228">
        <v>-0.02</v>
      </c>
      <c r="AB92" s="229">
        <v>0</v>
      </c>
      <c r="AC92" s="228">
        <v>0</v>
      </c>
      <c r="AD92" s="228">
        <v>0.02</v>
      </c>
      <c r="AE92" s="228">
        <v>-0.02</v>
      </c>
      <c r="AF92" s="229">
        <v>0</v>
      </c>
      <c r="AG92" s="228">
        <v>0.05</v>
      </c>
      <c r="AH92" s="228">
        <v>0.06</v>
      </c>
      <c r="AI92" s="228">
        <v>-0.01</v>
      </c>
      <c r="AJ92" s="229">
        <v>7.4000000000000003E-3</v>
      </c>
      <c r="AK92" s="228">
        <v>0.09</v>
      </c>
      <c r="AL92" s="228">
        <v>0.1</v>
      </c>
      <c r="AM92" s="228">
        <v>-0.01</v>
      </c>
      <c r="AN92" s="229">
        <v>1.3299999999999999E-2</v>
      </c>
      <c r="AO92" s="228">
        <v>6.8</v>
      </c>
      <c r="AP92" s="228">
        <v>6.85</v>
      </c>
      <c r="AQ92" s="228">
        <v>0</v>
      </c>
      <c r="AR92" s="230">
        <v>1010013225</v>
      </c>
      <c r="AS92" s="230">
        <v>1583886000</v>
      </c>
      <c r="AT92" s="230">
        <v>-573872775</v>
      </c>
      <c r="AU92" s="229">
        <v>-0.36230000000000001</v>
      </c>
      <c r="AV92" s="230">
        <v>679155450</v>
      </c>
      <c r="AW92" s="230">
        <v>936608400</v>
      </c>
      <c r="AX92" s="230">
        <v>-257452950</v>
      </c>
      <c r="AY92" s="229">
        <v>-0.27489999999999998</v>
      </c>
      <c r="AZ92" s="230">
        <v>301981875</v>
      </c>
      <c r="BA92" s="230">
        <v>629623275</v>
      </c>
      <c r="BB92" s="230">
        <v>-327641400</v>
      </c>
      <c r="BC92" s="229">
        <v>-0.52039999999999997</v>
      </c>
      <c r="BD92" s="230">
        <v>28875900</v>
      </c>
      <c r="BE92" s="230">
        <v>17654325</v>
      </c>
      <c r="BF92" s="230">
        <v>11221575</v>
      </c>
      <c r="BG92" s="229">
        <v>0.63560000000000005</v>
      </c>
      <c r="BH92" s="230">
        <v>1047823500</v>
      </c>
      <c r="BI92" s="230">
        <v>475809075</v>
      </c>
      <c r="BJ92" s="230">
        <v>572014425</v>
      </c>
      <c r="BK92" s="229">
        <v>1.2021999999999999</v>
      </c>
      <c r="BL92" s="230">
        <v>295549125</v>
      </c>
      <c r="BM92" s="230">
        <v>123794700</v>
      </c>
      <c r="BN92" s="230">
        <v>171754425</v>
      </c>
      <c r="BO92" s="229">
        <v>1.3874</v>
      </c>
      <c r="BP92" s="230">
        <v>2353385850</v>
      </c>
      <c r="BQ92" s="230">
        <v>2183489775</v>
      </c>
      <c r="BR92" s="230">
        <v>169896075</v>
      </c>
      <c r="BS92" s="229">
        <v>7.7799999999999994E-2</v>
      </c>
      <c r="BT92" s="230">
        <v>612005677</v>
      </c>
      <c r="BU92" s="230">
        <v>396053206</v>
      </c>
      <c r="BV92" s="230">
        <v>215952471</v>
      </c>
      <c r="BW92" s="229">
        <v>0.54530000000000001</v>
      </c>
      <c r="BX92" s="230">
        <v>5528591250</v>
      </c>
      <c r="BY92" s="230">
        <v>5469195525</v>
      </c>
      <c r="BZ92" s="230">
        <v>59395725</v>
      </c>
      <c r="CA92" s="229">
        <v>1.09E-2</v>
      </c>
      <c r="CB92" s="230">
        <v>4413366825</v>
      </c>
      <c r="CC92" s="230">
        <v>4500280425</v>
      </c>
      <c r="CD92" s="230">
        <v>-86913600</v>
      </c>
      <c r="CE92" s="229">
        <v>-1.9300000000000001E-2</v>
      </c>
      <c r="CF92" s="230">
        <v>1045822200</v>
      </c>
      <c r="CG92" s="230">
        <v>907803975</v>
      </c>
      <c r="CH92" s="230">
        <v>138018225</v>
      </c>
      <c r="CI92" s="229">
        <v>0.152</v>
      </c>
      <c r="CJ92" s="230">
        <v>69402225</v>
      </c>
      <c r="CK92" s="230">
        <v>61111125</v>
      </c>
      <c r="CL92" s="230">
        <v>8291100</v>
      </c>
      <c r="CM92" s="229">
        <v>0.13569999999999999</v>
      </c>
      <c r="CN92" s="230">
        <v>1406413575</v>
      </c>
      <c r="CO92" s="230">
        <v>1413346650</v>
      </c>
      <c r="CP92" s="230">
        <v>-6933075</v>
      </c>
      <c r="CQ92" s="229">
        <v>-4.8999999999999998E-3</v>
      </c>
      <c r="CR92" s="230">
        <v>707459550</v>
      </c>
      <c r="CS92" s="230">
        <v>706816275</v>
      </c>
      <c r="CT92" s="230">
        <v>643275</v>
      </c>
      <c r="CU92" s="229">
        <v>8.9999999999999998E-4</v>
      </c>
      <c r="CV92" s="230">
        <v>7642464375</v>
      </c>
      <c r="CW92" s="230">
        <v>7589358450</v>
      </c>
      <c r="CX92" s="230">
        <v>53105925</v>
      </c>
      <c r="CY92" s="229">
        <v>7.0000000000000001E-3</v>
      </c>
      <c r="CZ92" s="228">
        <v>59.13</v>
      </c>
      <c r="DA92" s="228">
        <v>58.23</v>
      </c>
      <c r="DB92" s="228">
        <v>0.9</v>
      </c>
      <c r="DC92" s="228">
        <v>0.9</v>
      </c>
      <c r="DD92" s="228">
        <v>65.88</v>
      </c>
      <c r="DE92" s="228">
        <v>65.94</v>
      </c>
      <c r="DF92" s="228">
        <v>-6.75</v>
      </c>
      <c r="DG92" s="228">
        <v>-0.06</v>
      </c>
      <c r="DH92" s="228">
        <v>58.85</v>
      </c>
      <c r="DI92" s="228">
        <v>58.07</v>
      </c>
      <c r="DJ92" s="228">
        <v>0.78</v>
      </c>
      <c r="DK92" s="228">
        <v>0.78</v>
      </c>
      <c r="DL92" s="228">
        <v>60.15</v>
      </c>
      <c r="DM92" s="228">
        <v>58.84</v>
      </c>
      <c r="DN92" s="228">
        <v>1.31</v>
      </c>
      <c r="DO92" s="228">
        <v>1.31</v>
      </c>
      <c r="DP92" s="228">
        <v>0.5</v>
      </c>
      <c r="DQ92" s="228">
        <v>0.5</v>
      </c>
      <c r="DR92" s="228">
        <v>0</v>
      </c>
      <c r="DS92" s="229">
        <v>0</v>
      </c>
      <c r="DT92" s="228">
        <v>8</v>
      </c>
      <c r="DU92" s="228">
        <v>6</v>
      </c>
      <c r="DV92" s="228">
        <v>0.28000000000000003</v>
      </c>
      <c r="DW92" s="228">
        <v>0.26</v>
      </c>
      <c r="DX92" s="228">
        <v>0.02</v>
      </c>
      <c r="DY92" s="229">
        <v>7.6899999999999996E-2</v>
      </c>
      <c r="DZ92" s="229">
        <v>0.20169999999999999</v>
      </c>
      <c r="EA92" s="230">
        <v>968915100</v>
      </c>
      <c r="EB92" s="229">
        <v>7.4000000000000003E-3</v>
      </c>
      <c r="EC92" s="229">
        <v>0.20169999999999999</v>
      </c>
      <c r="ED92" s="228">
        <v>0.05</v>
      </c>
      <c r="EE92" s="229">
        <v>7.4000000000000003E-3</v>
      </c>
      <c r="EF92" s="230">
        <v>159605101</v>
      </c>
      <c r="EG92" s="230">
        <v>83779496</v>
      </c>
      <c r="EH92" s="229">
        <v>0.90510000000000002</v>
      </c>
      <c r="EI92" s="229">
        <v>0.26079999999999998</v>
      </c>
      <c r="EJ92" s="231">
        <v>78744.05</v>
      </c>
      <c r="EK92" s="231">
        <v>23048.79</v>
      </c>
      <c r="EL92" s="231">
        <v>68895.19</v>
      </c>
      <c r="EM92" s="228">
        <v>0</v>
      </c>
      <c r="EN92" s="231">
        <v>170688.03</v>
      </c>
      <c r="EO92" s="231">
        <v>148600.71</v>
      </c>
      <c r="EP92" s="231">
        <v>22087.32</v>
      </c>
      <c r="EQ92" s="229">
        <v>0.14860000000000001</v>
      </c>
      <c r="ER92" s="231">
        <v>109838</v>
      </c>
      <c r="ES92" s="231">
        <v>47911</v>
      </c>
      <c r="ET92" s="231">
        <v>375977</v>
      </c>
      <c r="EU92" s="231">
        <v>16128051291</v>
      </c>
      <c r="EV92" s="231">
        <v>533726</v>
      </c>
      <c r="EW92" s="231">
        <v>518804</v>
      </c>
      <c r="EX92" s="231">
        <v>14922</v>
      </c>
      <c r="EY92" s="229">
        <v>2.8799999999999999E-2</v>
      </c>
      <c r="EZ92" s="229">
        <v>0.47389999999999999</v>
      </c>
      <c r="FA92" s="227" t="s">
        <v>555</v>
      </c>
      <c r="FB92" s="161">
        <f t="shared" si="1"/>
        <v>1115224425</v>
      </c>
    </row>
    <row r="93" spans="1:158" ht="17.25" hidden="1" thickBot="1" x14ac:dyDescent="0.3">
      <c r="A93" s="226">
        <v>45889</v>
      </c>
      <c r="B93" s="227" t="s">
        <v>172</v>
      </c>
      <c r="C93" s="227" t="s">
        <v>235</v>
      </c>
      <c r="D93" s="228">
        <v>9275</v>
      </c>
      <c r="E93" s="228">
        <v>71.27</v>
      </c>
      <c r="F93" s="228">
        <v>71.489999999999995</v>
      </c>
      <c r="G93" s="228">
        <v>-0.22</v>
      </c>
      <c r="H93" s="229">
        <v>-3.0999999999999999E-3</v>
      </c>
      <c r="I93" s="228">
        <v>71.25</v>
      </c>
      <c r="J93" s="228">
        <v>71.290000000000006</v>
      </c>
      <c r="K93" s="228">
        <v>-0.04</v>
      </c>
      <c r="L93" s="229">
        <v>-5.9999999999999995E-4</v>
      </c>
      <c r="M93" s="228">
        <v>71.27</v>
      </c>
      <c r="N93" s="228">
        <v>71.489999999999995</v>
      </c>
      <c r="O93" s="228">
        <v>-0.22</v>
      </c>
      <c r="P93" s="229">
        <v>-3.0999999999999999E-3</v>
      </c>
      <c r="Q93" s="228">
        <v>71.69</v>
      </c>
      <c r="R93" s="228">
        <v>71.91</v>
      </c>
      <c r="S93" s="228">
        <v>-0.22</v>
      </c>
      <c r="T93" s="229">
        <v>-3.0999999999999999E-3</v>
      </c>
      <c r="U93" s="228">
        <v>72.040000000000006</v>
      </c>
      <c r="V93" s="228">
        <v>72.260000000000005</v>
      </c>
      <c r="W93" s="228">
        <v>-0.22</v>
      </c>
      <c r="X93" s="229">
        <v>-3.0000000000000001E-3</v>
      </c>
      <c r="Y93" s="228">
        <v>0.02</v>
      </c>
      <c r="Z93" s="228">
        <v>0.2</v>
      </c>
      <c r="AA93" s="228">
        <v>-0.18</v>
      </c>
      <c r="AB93" s="229">
        <v>2.9999999999999997E-4</v>
      </c>
      <c r="AC93" s="228">
        <v>0.02</v>
      </c>
      <c r="AD93" s="228">
        <v>0.2</v>
      </c>
      <c r="AE93" s="228">
        <v>-0.18</v>
      </c>
      <c r="AF93" s="229">
        <v>2.9999999999999997E-4</v>
      </c>
      <c r="AG93" s="228">
        <v>0.44</v>
      </c>
      <c r="AH93" s="228">
        <v>0.62</v>
      </c>
      <c r="AI93" s="228">
        <v>-0.18</v>
      </c>
      <c r="AJ93" s="229">
        <v>6.1999999999999998E-3</v>
      </c>
      <c r="AK93" s="228">
        <v>0.79</v>
      </c>
      <c r="AL93" s="228">
        <v>0.97</v>
      </c>
      <c r="AM93" s="228">
        <v>-0.18</v>
      </c>
      <c r="AN93" s="229">
        <v>1.11E-2</v>
      </c>
      <c r="AO93" s="228">
        <v>71.400000000000006</v>
      </c>
      <c r="AP93" s="228">
        <v>71.81</v>
      </c>
      <c r="AQ93" s="228">
        <v>0</v>
      </c>
      <c r="AR93" s="230">
        <v>51726675</v>
      </c>
      <c r="AS93" s="230">
        <v>71361850</v>
      </c>
      <c r="AT93" s="230">
        <v>-19635175</v>
      </c>
      <c r="AU93" s="229">
        <v>-0.27510000000000001</v>
      </c>
      <c r="AV93" s="230">
        <v>34215475</v>
      </c>
      <c r="AW93" s="230">
        <v>54722500</v>
      </c>
      <c r="AX93" s="230">
        <v>-20507025</v>
      </c>
      <c r="AY93" s="229">
        <v>-0.37469999999999998</v>
      </c>
      <c r="AZ93" s="230">
        <v>16305450</v>
      </c>
      <c r="BA93" s="230">
        <v>14200025</v>
      </c>
      <c r="BB93" s="230">
        <v>2105425</v>
      </c>
      <c r="BC93" s="229">
        <v>0.14829999999999999</v>
      </c>
      <c r="BD93" s="230">
        <v>1205750</v>
      </c>
      <c r="BE93" s="230">
        <v>2439325</v>
      </c>
      <c r="BF93" s="230">
        <v>-1233575</v>
      </c>
      <c r="BG93" s="229">
        <v>-0.50570000000000004</v>
      </c>
      <c r="BH93" s="230">
        <v>45475325</v>
      </c>
      <c r="BI93" s="230">
        <v>108638075</v>
      </c>
      <c r="BJ93" s="230">
        <v>-63162750</v>
      </c>
      <c r="BK93" s="229">
        <v>-0.58140000000000003</v>
      </c>
      <c r="BL93" s="230">
        <v>29791300</v>
      </c>
      <c r="BM93" s="230">
        <v>75628350</v>
      </c>
      <c r="BN93" s="230">
        <v>-45837050</v>
      </c>
      <c r="BO93" s="229">
        <v>-0.60609999999999997</v>
      </c>
      <c r="BP93" s="230">
        <v>126993300</v>
      </c>
      <c r="BQ93" s="230">
        <v>255628275</v>
      </c>
      <c r="BR93" s="230">
        <v>-128634975</v>
      </c>
      <c r="BS93" s="229">
        <v>-0.50319999999999998</v>
      </c>
      <c r="BT93" s="230">
        <v>9752254</v>
      </c>
      <c r="BU93" s="230">
        <v>20192235</v>
      </c>
      <c r="BV93" s="230">
        <v>-10439981</v>
      </c>
      <c r="BW93" s="229">
        <v>-0.51700000000000002</v>
      </c>
      <c r="BX93" s="230">
        <v>416187800</v>
      </c>
      <c r="BY93" s="230">
        <v>410678450</v>
      </c>
      <c r="BZ93" s="230">
        <v>5509350</v>
      </c>
      <c r="CA93" s="229">
        <v>1.34E-2</v>
      </c>
      <c r="CB93" s="230">
        <v>371779100</v>
      </c>
      <c r="CC93" s="230">
        <v>378151025</v>
      </c>
      <c r="CD93" s="230">
        <v>-6371925</v>
      </c>
      <c r="CE93" s="229">
        <v>-1.6899999999999998E-2</v>
      </c>
      <c r="CF93" s="230">
        <v>39761925</v>
      </c>
      <c r="CG93" s="230">
        <v>28706125</v>
      </c>
      <c r="CH93" s="230">
        <v>11055800</v>
      </c>
      <c r="CI93" s="229">
        <v>0.3851</v>
      </c>
      <c r="CJ93" s="230">
        <v>4646775</v>
      </c>
      <c r="CK93" s="230">
        <v>3821300</v>
      </c>
      <c r="CL93" s="230">
        <v>825475</v>
      </c>
      <c r="CM93" s="229">
        <v>0.216</v>
      </c>
      <c r="CN93" s="230">
        <v>96506375</v>
      </c>
      <c r="CO93" s="230">
        <v>94354575</v>
      </c>
      <c r="CP93" s="230">
        <v>2151800</v>
      </c>
      <c r="CQ93" s="229">
        <v>2.2800000000000001E-2</v>
      </c>
      <c r="CR93" s="230">
        <v>75034750</v>
      </c>
      <c r="CS93" s="230">
        <v>76899025</v>
      </c>
      <c r="CT93" s="230">
        <v>-1864275</v>
      </c>
      <c r="CU93" s="229">
        <v>-2.4199999999999999E-2</v>
      </c>
      <c r="CV93" s="230">
        <v>587728925</v>
      </c>
      <c r="CW93" s="230">
        <v>581932050</v>
      </c>
      <c r="CX93" s="230">
        <v>5796875</v>
      </c>
      <c r="CY93" s="229">
        <v>0.01</v>
      </c>
      <c r="CZ93" s="228">
        <v>24.42</v>
      </c>
      <c r="DA93" s="228">
        <v>24.74</v>
      </c>
      <c r="DB93" s="228">
        <v>-0.32</v>
      </c>
      <c r="DC93" s="228">
        <v>-0.32</v>
      </c>
      <c r="DD93" s="228">
        <v>35.69</v>
      </c>
      <c r="DE93" s="228">
        <v>35.78</v>
      </c>
      <c r="DF93" s="228">
        <v>-11.27</v>
      </c>
      <c r="DG93" s="228">
        <v>-0.09</v>
      </c>
      <c r="DH93" s="228">
        <v>23.57</v>
      </c>
      <c r="DI93" s="228">
        <v>23.87</v>
      </c>
      <c r="DJ93" s="228">
        <v>-0.3</v>
      </c>
      <c r="DK93" s="228">
        <v>-0.3</v>
      </c>
      <c r="DL93" s="228">
        <v>25.72</v>
      </c>
      <c r="DM93" s="228">
        <v>25.99</v>
      </c>
      <c r="DN93" s="228">
        <v>-0.27</v>
      </c>
      <c r="DO93" s="228">
        <v>-0.27</v>
      </c>
      <c r="DP93" s="228">
        <v>0.78</v>
      </c>
      <c r="DQ93" s="228">
        <v>0.82</v>
      </c>
      <c r="DR93" s="228">
        <v>-0.04</v>
      </c>
      <c r="DS93" s="229">
        <v>-4.8800000000000003E-2</v>
      </c>
      <c r="DT93" s="228">
        <v>75</v>
      </c>
      <c r="DU93" s="228">
        <v>70</v>
      </c>
      <c r="DV93" s="228">
        <v>0.66</v>
      </c>
      <c r="DW93" s="228">
        <v>0.7</v>
      </c>
      <c r="DX93" s="228">
        <v>-0.04</v>
      </c>
      <c r="DY93" s="229">
        <v>-5.7099999999999998E-2</v>
      </c>
      <c r="DZ93" s="229">
        <v>0.1067</v>
      </c>
      <c r="EA93" s="230">
        <v>32527425</v>
      </c>
      <c r="EB93" s="229">
        <v>5.8999999999999999E-3</v>
      </c>
      <c r="EC93" s="229">
        <v>0.1067</v>
      </c>
      <c r="ED93" s="228">
        <v>0.41</v>
      </c>
      <c r="EE93" s="229">
        <v>5.7000000000000002E-3</v>
      </c>
      <c r="EF93" s="230">
        <v>4825155</v>
      </c>
      <c r="EG93" s="230">
        <v>10735039</v>
      </c>
      <c r="EH93" s="229">
        <v>-0.55049999999999999</v>
      </c>
      <c r="EI93" s="229">
        <v>0.49480000000000002</v>
      </c>
      <c r="EJ93" s="231">
        <v>33409.81</v>
      </c>
      <c r="EK93" s="231">
        <v>21146.18</v>
      </c>
      <c r="EL93" s="231">
        <v>37010.129999999997</v>
      </c>
      <c r="EM93" s="228">
        <v>0</v>
      </c>
      <c r="EN93" s="231">
        <v>91566.12</v>
      </c>
      <c r="EO93" s="231">
        <v>183200.52</v>
      </c>
      <c r="EP93" s="231">
        <v>-91634.4</v>
      </c>
      <c r="EQ93" s="229">
        <v>-0.50019999999999998</v>
      </c>
      <c r="ER93" s="231">
        <v>71559</v>
      </c>
      <c r="ES93" s="231">
        <v>51612</v>
      </c>
      <c r="ET93" s="231">
        <v>296820</v>
      </c>
      <c r="EU93" s="231">
        <v>1466865171</v>
      </c>
      <c r="EV93" s="231">
        <v>419991</v>
      </c>
      <c r="EW93" s="231">
        <v>416494</v>
      </c>
      <c r="EX93" s="231">
        <v>3497</v>
      </c>
      <c r="EY93" s="229">
        <v>8.3999999999999995E-3</v>
      </c>
      <c r="EZ93" s="229">
        <v>0.4007</v>
      </c>
      <c r="FA93" s="227" t="s">
        <v>567</v>
      </c>
      <c r="FB93" s="161">
        <f t="shared" si="1"/>
        <v>44408700</v>
      </c>
    </row>
    <row r="94" spans="1:158" ht="17.25" hidden="1" thickBot="1" x14ac:dyDescent="0.3">
      <c r="A94" s="226">
        <v>45889</v>
      </c>
      <c r="B94" s="227" t="s">
        <v>161</v>
      </c>
      <c r="C94" s="227" t="s">
        <v>514</v>
      </c>
      <c r="D94" s="228">
        <v>3750</v>
      </c>
      <c r="E94" s="228">
        <v>143.63999999999999</v>
      </c>
      <c r="F94" s="228">
        <v>142.19999999999999</v>
      </c>
      <c r="G94" s="228">
        <v>1.44</v>
      </c>
      <c r="H94" s="229">
        <v>1.01E-2</v>
      </c>
      <c r="I94" s="228">
        <v>143.15</v>
      </c>
      <c r="J94" s="228">
        <v>141.59</v>
      </c>
      <c r="K94" s="228">
        <v>1.56</v>
      </c>
      <c r="L94" s="229">
        <v>1.0999999999999999E-2</v>
      </c>
      <c r="M94" s="228">
        <v>143.63999999999999</v>
      </c>
      <c r="N94" s="228">
        <v>142.19999999999999</v>
      </c>
      <c r="O94" s="228">
        <v>1.44</v>
      </c>
      <c r="P94" s="229">
        <v>1.01E-2</v>
      </c>
      <c r="Q94" s="228">
        <v>144.19</v>
      </c>
      <c r="R94" s="228">
        <v>142.75</v>
      </c>
      <c r="S94" s="228">
        <v>1.44</v>
      </c>
      <c r="T94" s="229">
        <v>1.01E-2</v>
      </c>
      <c r="U94" s="228">
        <v>144.65</v>
      </c>
      <c r="V94" s="228">
        <v>143.31</v>
      </c>
      <c r="W94" s="228">
        <v>1.34</v>
      </c>
      <c r="X94" s="229">
        <v>9.4000000000000004E-3</v>
      </c>
      <c r="Y94" s="228">
        <v>0.49</v>
      </c>
      <c r="Z94" s="228">
        <v>0.61</v>
      </c>
      <c r="AA94" s="228">
        <v>-0.12</v>
      </c>
      <c r="AB94" s="229">
        <v>3.3999999999999998E-3</v>
      </c>
      <c r="AC94" s="228">
        <v>0.49</v>
      </c>
      <c r="AD94" s="228">
        <v>0.61</v>
      </c>
      <c r="AE94" s="228">
        <v>-0.12</v>
      </c>
      <c r="AF94" s="229">
        <v>3.3999999999999998E-3</v>
      </c>
      <c r="AG94" s="228">
        <v>1.04</v>
      </c>
      <c r="AH94" s="228">
        <v>1.1599999999999999</v>
      </c>
      <c r="AI94" s="228">
        <v>-0.12</v>
      </c>
      <c r="AJ94" s="229">
        <v>7.3000000000000001E-3</v>
      </c>
      <c r="AK94" s="228">
        <v>1.5</v>
      </c>
      <c r="AL94" s="228">
        <v>1.72</v>
      </c>
      <c r="AM94" s="228">
        <v>-0.22</v>
      </c>
      <c r="AN94" s="229">
        <v>1.0500000000000001E-2</v>
      </c>
      <c r="AO94" s="228">
        <v>143.28</v>
      </c>
      <c r="AP94" s="228">
        <v>143.83000000000001</v>
      </c>
      <c r="AQ94" s="228">
        <v>0</v>
      </c>
      <c r="AR94" s="230">
        <v>9191250</v>
      </c>
      <c r="AS94" s="230">
        <v>8456250</v>
      </c>
      <c r="AT94" s="230">
        <v>735000</v>
      </c>
      <c r="AU94" s="229">
        <v>8.6900000000000005E-2</v>
      </c>
      <c r="AV94" s="230">
        <v>6780000</v>
      </c>
      <c r="AW94" s="230">
        <v>6480000</v>
      </c>
      <c r="AX94" s="230">
        <v>300000</v>
      </c>
      <c r="AY94" s="229">
        <v>4.6300000000000001E-2</v>
      </c>
      <c r="AZ94" s="230">
        <v>2276250</v>
      </c>
      <c r="BA94" s="230">
        <v>1901250</v>
      </c>
      <c r="BB94" s="230">
        <v>375000</v>
      </c>
      <c r="BC94" s="229">
        <v>0.19719999999999999</v>
      </c>
      <c r="BD94" s="230">
        <v>135000</v>
      </c>
      <c r="BE94" s="230">
        <v>75000</v>
      </c>
      <c r="BF94" s="230">
        <v>60000</v>
      </c>
      <c r="BG94" s="229">
        <v>0.8</v>
      </c>
      <c r="BH94" s="230">
        <v>32313750</v>
      </c>
      <c r="BI94" s="230">
        <v>22777500</v>
      </c>
      <c r="BJ94" s="230">
        <v>9536250</v>
      </c>
      <c r="BK94" s="229">
        <v>0.41870000000000002</v>
      </c>
      <c r="BL94" s="230">
        <v>20928750</v>
      </c>
      <c r="BM94" s="230">
        <v>16140000</v>
      </c>
      <c r="BN94" s="230">
        <v>4788750</v>
      </c>
      <c r="BO94" s="229">
        <v>0.29670000000000002</v>
      </c>
      <c r="BP94" s="230">
        <v>62433750</v>
      </c>
      <c r="BQ94" s="230">
        <v>47373750</v>
      </c>
      <c r="BR94" s="230">
        <v>15060000</v>
      </c>
      <c r="BS94" s="229">
        <v>0.31790000000000002</v>
      </c>
      <c r="BT94" s="230">
        <v>8187525</v>
      </c>
      <c r="BU94" s="230">
        <v>8084304</v>
      </c>
      <c r="BV94" s="230">
        <v>103221</v>
      </c>
      <c r="BW94" s="229">
        <v>1.2800000000000001E-2</v>
      </c>
      <c r="BX94" s="230">
        <v>47171250</v>
      </c>
      <c r="BY94" s="230">
        <v>46781250</v>
      </c>
      <c r="BZ94" s="230">
        <v>390000</v>
      </c>
      <c r="CA94" s="229">
        <v>8.3000000000000001E-3</v>
      </c>
      <c r="CB94" s="230">
        <v>40983750</v>
      </c>
      <c r="CC94" s="230">
        <v>41613750</v>
      </c>
      <c r="CD94" s="230">
        <v>-630000</v>
      </c>
      <c r="CE94" s="229">
        <v>-1.5100000000000001E-2</v>
      </c>
      <c r="CF94" s="230">
        <v>5816250</v>
      </c>
      <c r="CG94" s="230">
        <v>4848750</v>
      </c>
      <c r="CH94" s="230">
        <v>967500</v>
      </c>
      <c r="CI94" s="229">
        <v>0.19950000000000001</v>
      </c>
      <c r="CJ94" s="230">
        <v>371250</v>
      </c>
      <c r="CK94" s="230">
        <v>318750</v>
      </c>
      <c r="CL94" s="230">
        <v>52500</v>
      </c>
      <c r="CM94" s="229">
        <v>0.16470000000000001</v>
      </c>
      <c r="CN94" s="230">
        <v>43196250</v>
      </c>
      <c r="CO94" s="230">
        <v>44688750</v>
      </c>
      <c r="CP94" s="230">
        <v>-1492500</v>
      </c>
      <c r="CQ94" s="229">
        <v>-3.3399999999999999E-2</v>
      </c>
      <c r="CR94" s="230">
        <v>32272500</v>
      </c>
      <c r="CS94" s="230">
        <v>32141250</v>
      </c>
      <c r="CT94" s="230">
        <v>131250</v>
      </c>
      <c r="CU94" s="229">
        <v>4.1000000000000003E-3</v>
      </c>
      <c r="CV94" s="230">
        <v>122640000</v>
      </c>
      <c r="CW94" s="230">
        <v>123611250</v>
      </c>
      <c r="CX94" s="230">
        <v>-971250</v>
      </c>
      <c r="CY94" s="229">
        <v>-7.9000000000000008E-3</v>
      </c>
      <c r="CZ94" s="228">
        <v>38.630000000000003</v>
      </c>
      <c r="DA94" s="228">
        <v>39.22</v>
      </c>
      <c r="DB94" s="228">
        <v>-0.59</v>
      </c>
      <c r="DC94" s="228">
        <v>-0.59</v>
      </c>
      <c r="DD94" s="228">
        <v>62.23</v>
      </c>
      <c r="DE94" s="228">
        <v>62.37</v>
      </c>
      <c r="DF94" s="228">
        <v>-23.6</v>
      </c>
      <c r="DG94" s="228">
        <v>-0.14000000000000001</v>
      </c>
      <c r="DH94" s="228">
        <v>37.83</v>
      </c>
      <c r="DI94" s="228">
        <v>38.53</v>
      </c>
      <c r="DJ94" s="228">
        <v>-0.7</v>
      </c>
      <c r="DK94" s="228">
        <v>-0.7</v>
      </c>
      <c r="DL94" s="228">
        <v>39.86</v>
      </c>
      <c r="DM94" s="228">
        <v>40.19</v>
      </c>
      <c r="DN94" s="228">
        <v>-0.33</v>
      </c>
      <c r="DO94" s="228">
        <v>-0.33</v>
      </c>
      <c r="DP94" s="228">
        <v>0.75</v>
      </c>
      <c r="DQ94" s="228">
        <v>0.72</v>
      </c>
      <c r="DR94" s="228">
        <v>0.03</v>
      </c>
      <c r="DS94" s="229">
        <v>4.1700000000000001E-2</v>
      </c>
      <c r="DT94" s="228">
        <v>150</v>
      </c>
      <c r="DU94" s="228">
        <v>135</v>
      </c>
      <c r="DV94" s="228">
        <v>0.65</v>
      </c>
      <c r="DW94" s="228">
        <v>0.71</v>
      </c>
      <c r="DX94" s="228">
        <v>-0.06</v>
      </c>
      <c r="DY94" s="229">
        <v>-8.4500000000000006E-2</v>
      </c>
      <c r="DZ94" s="229">
        <v>0.13120000000000001</v>
      </c>
      <c r="EA94" s="230">
        <v>5167500</v>
      </c>
      <c r="EB94" s="229">
        <v>3.8E-3</v>
      </c>
      <c r="EC94" s="229">
        <v>0.13120000000000001</v>
      </c>
      <c r="ED94" s="228">
        <v>0.55000000000000004</v>
      </c>
      <c r="EE94" s="229">
        <v>3.8E-3</v>
      </c>
      <c r="EF94" s="230">
        <v>3582784</v>
      </c>
      <c r="EG94" s="230">
        <v>3629165</v>
      </c>
      <c r="EH94" s="229">
        <v>-1.2800000000000001E-2</v>
      </c>
      <c r="EI94" s="229">
        <v>0.43759999999999999</v>
      </c>
      <c r="EJ94" s="231">
        <v>48531.07</v>
      </c>
      <c r="EK94" s="231">
        <v>29352.54</v>
      </c>
      <c r="EL94" s="231">
        <v>13182.94</v>
      </c>
      <c r="EM94" s="228">
        <v>0</v>
      </c>
      <c r="EN94" s="231">
        <v>91066.55</v>
      </c>
      <c r="EO94" s="231">
        <v>68283.899999999994</v>
      </c>
      <c r="EP94" s="231">
        <v>22782.65</v>
      </c>
      <c r="EQ94" s="229">
        <v>0.33360000000000001</v>
      </c>
      <c r="ER94" s="231">
        <v>68285</v>
      </c>
      <c r="ES94" s="231">
        <v>44920</v>
      </c>
      <c r="ET94" s="231">
        <v>67793</v>
      </c>
      <c r="EU94" s="231">
        <v>177860058</v>
      </c>
      <c r="EV94" s="231">
        <v>180997</v>
      </c>
      <c r="EW94" s="231">
        <v>181565</v>
      </c>
      <c r="EX94" s="228">
        <v>-568</v>
      </c>
      <c r="EY94" s="229">
        <v>-3.0999999999999999E-3</v>
      </c>
      <c r="EZ94" s="229">
        <v>0.6895</v>
      </c>
      <c r="FA94" s="227" t="s">
        <v>555</v>
      </c>
      <c r="FB94" s="161">
        <f t="shared" si="1"/>
        <v>6187500</v>
      </c>
    </row>
    <row r="95" spans="1:158" ht="17.25" hidden="1" thickBot="1" x14ac:dyDescent="0.3">
      <c r="A95" s="226">
        <v>45889</v>
      </c>
      <c r="B95" s="227" t="s">
        <v>193</v>
      </c>
      <c r="C95" s="227" t="s">
        <v>236</v>
      </c>
      <c r="D95" s="228">
        <v>2750</v>
      </c>
      <c r="E95" s="228">
        <v>205.82</v>
      </c>
      <c r="F95" s="228">
        <v>204.81</v>
      </c>
      <c r="G95" s="228">
        <v>1.01</v>
      </c>
      <c r="H95" s="229">
        <v>4.8999999999999998E-3</v>
      </c>
      <c r="I95" s="228">
        <v>205.23</v>
      </c>
      <c r="J95" s="228">
        <v>204.54</v>
      </c>
      <c r="K95" s="228">
        <v>0.69</v>
      </c>
      <c r="L95" s="229">
        <v>3.3999999999999998E-3</v>
      </c>
      <c r="M95" s="228">
        <v>205.82</v>
      </c>
      <c r="N95" s="228">
        <v>204.81</v>
      </c>
      <c r="O95" s="228">
        <v>1.01</v>
      </c>
      <c r="P95" s="229">
        <v>4.8999999999999998E-3</v>
      </c>
      <c r="Q95" s="228">
        <v>205.48</v>
      </c>
      <c r="R95" s="228">
        <v>204.47</v>
      </c>
      <c r="S95" s="228">
        <v>1.01</v>
      </c>
      <c r="T95" s="229">
        <v>4.8999999999999998E-3</v>
      </c>
      <c r="U95" s="228">
        <v>206.11</v>
      </c>
      <c r="V95" s="228">
        <v>204.45</v>
      </c>
      <c r="W95" s="228">
        <v>1.66</v>
      </c>
      <c r="X95" s="229">
        <v>8.0999999999999996E-3</v>
      </c>
      <c r="Y95" s="228">
        <v>0.59</v>
      </c>
      <c r="Z95" s="228">
        <v>0.27</v>
      </c>
      <c r="AA95" s="228">
        <v>0.32</v>
      </c>
      <c r="AB95" s="229">
        <v>2.8999999999999998E-3</v>
      </c>
      <c r="AC95" s="228">
        <v>0.59</v>
      </c>
      <c r="AD95" s="228">
        <v>0.27</v>
      </c>
      <c r="AE95" s="228">
        <v>0.32</v>
      </c>
      <c r="AF95" s="229">
        <v>2.8999999999999998E-3</v>
      </c>
      <c r="AG95" s="228">
        <v>0.25</v>
      </c>
      <c r="AH95" s="228">
        <v>-7.0000000000000007E-2</v>
      </c>
      <c r="AI95" s="228">
        <v>0.32</v>
      </c>
      <c r="AJ95" s="229">
        <v>1.1999999999999999E-3</v>
      </c>
      <c r="AK95" s="228">
        <v>0.88</v>
      </c>
      <c r="AL95" s="228">
        <v>-0.09</v>
      </c>
      <c r="AM95" s="228">
        <v>0.97</v>
      </c>
      <c r="AN95" s="229">
        <v>4.3E-3</v>
      </c>
      <c r="AO95" s="228">
        <v>205.47</v>
      </c>
      <c r="AP95" s="228">
        <v>204.94</v>
      </c>
      <c r="AQ95" s="228">
        <v>0</v>
      </c>
      <c r="AR95" s="230">
        <v>6602750</v>
      </c>
      <c r="AS95" s="230">
        <v>3808750</v>
      </c>
      <c r="AT95" s="230">
        <v>2794000</v>
      </c>
      <c r="AU95" s="229">
        <v>0.73360000000000003</v>
      </c>
      <c r="AV95" s="230">
        <v>5307500</v>
      </c>
      <c r="AW95" s="230">
        <v>2898500</v>
      </c>
      <c r="AX95" s="230">
        <v>2409000</v>
      </c>
      <c r="AY95" s="229">
        <v>0.83109999999999995</v>
      </c>
      <c r="AZ95" s="230">
        <v>1127500</v>
      </c>
      <c r="BA95" s="230">
        <v>833250</v>
      </c>
      <c r="BB95" s="230">
        <v>294250</v>
      </c>
      <c r="BC95" s="229">
        <v>0.35310000000000002</v>
      </c>
      <c r="BD95" s="230">
        <v>167750</v>
      </c>
      <c r="BE95" s="230">
        <v>77000</v>
      </c>
      <c r="BF95" s="230">
        <v>90750</v>
      </c>
      <c r="BG95" s="229">
        <v>1.1786000000000001</v>
      </c>
      <c r="BH95" s="230">
        <v>10411500</v>
      </c>
      <c r="BI95" s="230">
        <v>4350500</v>
      </c>
      <c r="BJ95" s="230">
        <v>6061000</v>
      </c>
      <c r="BK95" s="229">
        <v>1.3932</v>
      </c>
      <c r="BL95" s="230">
        <v>2835250</v>
      </c>
      <c r="BM95" s="230">
        <v>1380500</v>
      </c>
      <c r="BN95" s="230">
        <v>1454750</v>
      </c>
      <c r="BO95" s="229">
        <v>1.0538000000000001</v>
      </c>
      <c r="BP95" s="230">
        <v>19849500</v>
      </c>
      <c r="BQ95" s="230">
        <v>9539750</v>
      </c>
      <c r="BR95" s="230">
        <v>10309750</v>
      </c>
      <c r="BS95" s="229">
        <v>1.0807</v>
      </c>
      <c r="BT95" s="230">
        <v>3542431</v>
      </c>
      <c r="BU95" s="230">
        <v>912973</v>
      </c>
      <c r="BV95" s="230">
        <v>2629458</v>
      </c>
      <c r="BW95" s="229">
        <v>2.8801000000000001</v>
      </c>
      <c r="BX95" s="230">
        <v>19137250</v>
      </c>
      <c r="BY95" s="230">
        <v>18218750</v>
      </c>
      <c r="BZ95" s="230">
        <v>918500</v>
      </c>
      <c r="CA95" s="229">
        <v>5.04E-2</v>
      </c>
      <c r="CB95" s="230">
        <v>16024250</v>
      </c>
      <c r="CC95" s="230">
        <v>15496250</v>
      </c>
      <c r="CD95" s="230">
        <v>528000</v>
      </c>
      <c r="CE95" s="229">
        <v>3.4099999999999998E-2</v>
      </c>
      <c r="CF95" s="230">
        <v>2714250</v>
      </c>
      <c r="CG95" s="230">
        <v>2455750</v>
      </c>
      <c r="CH95" s="230">
        <v>258500</v>
      </c>
      <c r="CI95" s="229">
        <v>0.1053</v>
      </c>
      <c r="CJ95" s="230">
        <v>398750</v>
      </c>
      <c r="CK95" s="230">
        <v>266750</v>
      </c>
      <c r="CL95" s="230">
        <v>132000</v>
      </c>
      <c r="CM95" s="229">
        <v>0.49480000000000002</v>
      </c>
      <c r="CN95" s="230">
        <v>8607500</v>
      </c>
      <c r="CO95" s="230">
        <v>8225250</v>
      </c>
      <c r="CP95" s="230">
        <v>382250</v>
      </c>
      <c r="CQ95" s="229">
        <v>4.65E-2</v>
      </c>
      <c r="CR95" s="230">
        <v>5621000</v>
      </c>
      <c r="CS95" s="230">
        <v>5524750</v>
      </c>
      <c r="CT95" s="230">
        <v>96250</v>
      </c>
      <c r="CU95" s="229">
        <v>1.7399999999999999E-2</v>
      </c>
      <c r="CV95" s="230">
        <v>33365750</v>
      </c>
      <c r="CW95" s="230">
        <v>31968750</v>
      </c>
      <c r="CX95" s="230">
        <v>1397000</v>
      </c>
      <c r="CY95" s="229">
        <v>4.3700000000000003E-2</v>
      </c>
      <c r="CZ95" s="228">
        <v>31.54</v>
      </c>
      <c r="DA95" s="228">
        <v>31.58</v>
      </c>
      <c r="DB95" s="228">
        <v>-0.04</v>
      </c>
      <c r="DC95" s="228">
        <v>-0.04</v>
      </c>
      <c r="DD95" s="228">
        <v>44.3</v>
      </c>
      <c r="DE95" s="228">
        <v>44.41</v>
      </c>
      <c r="DF95" s="228">
        <v>-12.76</v>
      </c>
      <c r="DG95" s="228">
        <v>-0.11</v>
      </c>
      <c r="DH95" s="228">
        <v>31.77</v>
      </c>
      <c r="DI95" s="228">
        <v>32.04</v>
      </c>
      <c r="DJ95" s="228">
        <v>-0.27</v>
      </c>
      <c r="DK95" s="228">
        <v>-0.27</v>
      </c>
      <c r="DL95" s="228">
        <v>30.7</v>
      </c>
      <c r="DM95" s="228">
        <v>30.14</v>
      </c>
      <c r="DN95" s="228">
        <v>0.56000000000000005</v>
      </c>
      <c r="DO95" s="228">
        <v>0.56000000000000005</v>
      </c>
      <c r="DP95" s="228">
        <v>0.65</v>
      </c>
      <c r="DQ95" s="228">
        <v>0.67</v>
      </c>
      <c r="DR95" s="228">
        <v>-0.02</v>
      </c>
      <c r="DS95" s="229">
        <v>-2.9899999999999999E-2</v>
      </c>
      <c r="DT95" s="228">
        <v>210</v>
      </c>
      <c r="DU95" s="228">
        <v>200</v>
      </c>
      <c r="DV95" s="228">
        <v>0.27</v>
      </c>
      <c r="DW95" s="228">
        <v>0.32</v>
      </c>
      <c r="DX95" s="228">
        <v>-0.05</v>
      </c>
      <c r="DY95" s="229">
        <v>-0.15620000000000001</v>
      </c>
      <c r="DZ95" s="229">
        <v>0.16270000000000001</v>
      </c>
      <c r="EA95" s="230">
        <v>2722500</v>
      </c>
      <c r="EB95" s="229">
        <v>-1.6999999999999999E-3</v>
      </c>
      <c r="EC95" s="229">
        <v>0.16270000000000001</v>
      </c>
      <c r="ED95" s="228">
        <v>-0.53</v>
      </c>
      <c r="EE95" s="229">
        <v>-2.5999999999999999E-3</v>
      </c>
      <c r="EF95" s="230">
        <v>1741848</v>
      </c>
      <c r="EG95" s="230">
        <v>365516</v>
      </c>
      <c r="EH95" s="229">
        <v>3.7654000000000001</v>
      </c>
      <c r="EI95" s="229">
        <v>0.49170000000000003</v>
      </c>
      <c r="EJ95" s="231">
        <v>22201.15</v>
      </c>
      <c r="EK95" s="231">
        <v>5836.35</v>
      </c>
      <c r="EL95" s="231">
        <v>13560.13</v>
      </c>
      <c r="EM95" s="228">
        <v>0</v>
      </c>
      <c r="EN95" s="231">
        <v>41597.629999999997</v>
      </c>
      <c r="EO95" s="231">
        <v>19933.73</v>
      </c>
      <c r="EP95" s="231">
        <v>21663.9</v>
      </c>
      <c r="EQ95" s="229">
        <v>1.0868</v>
      </c>
      <c r="ER95" s="231">
        <v>18693</v>
      </c>
      <c r="ES95" s="231">
        <v>11188</v>
      </c>
      <c r="ET95" s="231">
        <v>39380</v>
      </c>
      <c r="EU95" s="231">
        <v>154000160</v>
      </c>
      <c r="EV95" s="231">
        <v>69261</v>
      </c>
      <c r="EW95" s="231">
        <v>66200</v>
      </c>
      <c r="EX95" s="231">
        <v>3061</v>
      </c>
      <c r="EY95" s="229">
        <v>4.6199999999999998E-2</v>
      </c>
      <c r="EZ95" s="229">
        <v>0.2167</v>
      </c>
      <c r="FA95" s="227" t="s">
        <v>555</v>
      </c>
      <c r="FB95" s="161">
        <f t="shared" si="1"/>
        <v>3113000</v>
      </c>
    </row>
    <row r="96" spans="1:158" ht="17.25" hidden="1" thickBot="1" x14ac:dyDescent="0.3">
      <c r="A96" s="226">
        <v>45889</v>
      </c>
      <c r="B96" s="227" t="s">
        <v>175</v>
      </c>
      <c r="C96" s="227" t="s">
        <v>668</v>
      </c>
      <c r="D96" s="228">
        <v>1650</v>
      </c>
      <c r="E96" s="228">
        <v>471.55</v>
      </c>
      <c r="F96" s="228">
        <v>472.25</v>
      </c>
      <c r="G96" s="228">
        <v>-0.7</v>
      </c>
      <c r="H96" s="229">
        <v>-1.5E-3</v>
      </c>
      <c r="I96" s="228">
        <v>471.5</v>
      </c>
      <c r="J96" s="228">
        <v>471.9</v>
      </c>
      <c r="K96" s="228">
        <v>-0.4</v>
      </c>
      <c r="L96" s="229">
        <v>-8.0000000000000004E-4</v>
      </c>
      <c r="M96" s="228">
        <v>471.55</v>
      </c>
      <c r="N96" s="228">
        <v>472.25</v>
      </c>
      <c r="O96" s="228">
        <v>-0.7</v>
      </c>
      <c r="P96" s="229">
        <v>-1.5E-3</v>
      </c>
      <c r="Q96" s="228">
        <v>473.45</v>
      </c>
      <c r="R96" s="228">
        <v>474.05</v>
      </c>
      <c r="S96" s="228">
        <v>-0.6</v>
      </c>
      <c r="T96" s="229">
        <v>-1.2999999999999999E-3</v>
      </c>
      <c r="U96" s="228">
        <v>474.9</v>
      </c>
      <c r="V96" s="228">
        <v>476.3</v>
      </c>
      <c r="W96" s="228">
        <v>-1.4</v>
      </c>
      <c r="X96" s="229">
        <v>-2.8999999999999998E-3</v>
      </c>
      <c r="Y96" s="228">
        <v>0.05</v>
      </c>
      <c r="Z96" s="228">
        <v>0.35</v>
      </c>
      <c r="AA96" s="228">
        <v>-0.3</v>
      </c>
      <c r="AB96" s="229">
        <v>1E-4</v>
      </c>
      <c r="AC96" s="228">
        <v>0.05</v>
      </c>
      <c r="AD96" s="228">
        <v>0.35</v>
      </c>
      <c r="AE96" s="228">
        <v>-0.3</v>
      </c>
      <c r="AF96" s="229">
        <v>1E-4</v>
      </c>
      <c r="AG96" s="228">
        <v>1.95</v>
      </c>
      <c r="AH96" s="228">
        <v>2.15</v>
      </c>
      <c r="AI96" s="228">
        <v>-0.2</v>
      </c>
      <c r="AJ96" s="229">
        <v>4.1000000000000003E-3</v>
      </c>
      <c r="AK96" s="228">
        <v>3.4</v>
      </c>
      <c r="AL96" s="228">
        <v>4.4000000000000004</v>
      </c>
      <c r="AM96" s="228">
        <v>-1</v>
      </c>
      <c r="AN96" s="229">
        <v>7.1999999999999998E-3</v>
      </c>
      <c r="AO96" s="228">
        <v>471.5</v>
      </c>
      <c r="AP96" s="228">
        <v>473.51</v>
      </c>
      <c r="AQ96" s="228">
        <v>0</v>
      </c>
      <c r="AR96" s="230">
        <v>2775300</v>
      </c>
      <c r="AS96" s="230">
        <v>6540600</v>
      </c>
      <c r="AT96" s="230">
        <v>-3765300</v>
      </c>
      <c r="AU96" s="229">
        <v>-0.57569999999999999</v>
      </c>
      <c r="AV96" s="230">
        <v>2422200</v>
      </c>
      <c r="AW96" s="230">
        <v>5941650</v>
      </c>
      <c r="AX96" s="230">
        <v>-3519450</v>
      </c>
      <c r="AY96" s="229">
        <v>-0.59230000000000005</v>
      </c>
      <c r="AZ96" s="230">
        <v>339900</v>
      </c>
      <c r="BA96" s="230">
        <v>532950</v>
      </c>
      <c r="BB96" s="230">
        <v>-193050</v>
      </c>
      <c r="BC96" s="229">
        <v>-0.36220000000000002</v>
      </c>
      <c r="BD96" s="230">
        <v>13200</v>
      </c>
      <c r="BE96" s="230">
        <v>66000</v>
      </c>
      <c r="BF96" s="230">
        <v>-52800</v>
      </c>
      <c r="BG96" s="229">
        <v>-0.8</v>
      </c>
      <c r="BH96" s="230">
        <v>5606700</v>
      </c>
      <c r="BI96" s="230">
        <v>19397400</v>
      </c>
      <c r="BJ96" s="230">
        <v>-13790700</v>
      </c>
      <c r="BK96" s="229">
        <v>-0.71099999999999997</v>
      </c>
      <c r="BL96" s="230">
        <v>2760450</v>
      </c>
      <c r="BM96" s="230">
        <v>5878950</v>
      </c>
      <c r="BN96" s="230">
        <v>-3118500</v>
      </c>
      <c r="BO96" s="229">
        <v>-0.53049999999999997</v>
      </c>
      <c r="BP96" s="230">
        <v>11142450</v>
      </c>
      <c r="BQ96" s="230">
        <v>31816950</v>
      </c>
      <c r="BR96" s="230">
        <v>-20674500</v>
      </c>
      <c r="BS96" s="229">
        <v>-0.64980000000000004</v>
      </c>
      <c r="BT96" s="230">
        <v>1012396</v>
      </c>
      <c r="BU96" s="230">
        <v>2564287</v>
      </c>
      <c r="BV96" s="230">
        <v>-1551891</v>
      </c>
      <c r="BW96" s="229">
        <v>-0.60519999999999996</v>
      </c>
      <c r="BX96" s="230">
        <v>13277550</v>
      </c>
      <c r="BY96" s="230">
        <v>13493700</v>
      </c>
      <c r="BZ96" s="230">
        <v>-216150</v>
      </c>
      <c r="CA96" s="229">
        <v>-1.6E-2</v>
      </c>
      <c r="CB96" s="230">
        <v>12724800</v>
      </c>
      <c r="CC96" s="230">
        <v>13061400</v>
      </c>
      <c r="CD96" s="230">
        <v>-336600</v>
      </c>
      <c r="CE96" s="229">
        <v>-2.58E-2</v>
      </c>
      <c r="CF96" s="230">
        <v>495000</v>
      </c>
      <c r="CG96" s="230">
        <v>377850</v>
      </c>
      <c r="CH96" s="230">
        <v>117150</v>
      </c>
      <c r="CI96" s="229">
        <v>0.31</v>
      </c>
      <c r="CJ96" s="230">
        <v>57750</v>
      </c>
      <c r="CK96" s="230">
        <v>54450</v>
      </c>
      <c r="CL96" s="230">
        <v>3300</v>
      </c>
      <c r="CM96" s="229">
        <v>6.0600000000000001E-2</v>
      </c>
      <c r="CN96" s="230">
        <v>5383950</v>
      </c>
      <c r="CO96" s="230">
        <v>5608350</v>
      </c>
      <c r="CP96" s="230">
        <v>-224400</v>
      </c>
      <c r="CQ96" s="229">
        <v>-0.04</v>
      </c>
      <c r="CR96" s="230">
        <v>3120150</v>
      </c>
      <c r="CS96" s="230">
        <v>3222450</v>
      </c>
      <c r="CT96" s="230">
        <v>-102300</v>
      </c>
      <c r="CU96" s="229">
        <v>-3.1699999999999999E-2</v>
      </c>
      <c r="CV96" s="230">
        <v>21781650</v>
      </c>
      <c r="CW96" s="230">
        <v>22324500</v>
      </c>
      <c r="CX96" s="230">
        <v>-542850</v>
      </c>
      <c r="CY96" s="229">
        <v>-2.4299999999999999E-2</v>
      </c>
      <c r="CZ96" s="228">
        <v>34.299999999999997</v>
      </c>
      <c r="DA96" s="228">
        <v>36.61</v>
      </c>
      <c r="DB96" s="228">
        <v>-2.31</v>
      </c>
      <c r="DC96" s="228">
        <v>-2.31</v>
      </c>
      <c r="DD96" s="228">
        <v>55.03</v>
      </c>
      <c r="DE96" s="228">
        <v>55.17</v>
      </c>
      <c r="DF96" s="228">
        <v>-20.73</v>
      </c>
      <c r="DG96" s="228">
        <v>-0.14000000000000001</v>
      </c>
      <c r="DH96" s="228">
        <v>34.549999999999997</v>
      </c>
      <c r="DI96" s="228">
        <v>36.15</v>
      </c>
      <c r="DJ96" s="228">
        <v>-1.6</v>
      </c>
      <c r="DK96" s="228">
        <v>-1.6</v>
      </c>
      <c r="DL96" s="228">
        <v>33.81</v>
      </c>
      <c r="DM96" s="228">
        <v>38.119999999999997</v>
      </c>
      <c r="DN96" s="228">
        <v>-4.3099999999999996</v>
      </c>
      <c r="DO96" s="228">
        <v>-4.3099999999999996</v>
      </c>
      <c r="DP96" s="228">
        <v>0.57999999999999996</v>
      </c>
      <c r="DQ96" s="228">
        <v>0.56999999999999995</v>
      </c>
      <c r="DR96" s="228">
        <v>0.01</v>
      </c>
      <c r="DS96" s="229">
        <v>1.7500000000000002E-2</v>
      </c>
      <c r="DT96" s="228">
        <v>500</v>
      </c>
      <c r="DU96" s="228">
        <v>450</v>
      </c>
      <c r="DV96" s="228">
        <v>0.49</v>
      </c>
      <c r="DW96" s="228">
        <v>0.3</v>
      </c>
      <c r="DX96" s="228">
        <v>0.19</v>
      </c>
      <c r="DY96" s="229">
        <v>0.63329999999999997</v>
      </c>
      <c r="DZ96" s="229">
        <v>4.1599999999999998E-2</v>
      </c>
      <c r="EA96" s="230">
        <v>432300</v>
      </c>
      <c r="EB96" s="229">
        <v>4.0000000000000001E-3</v>
      </c>
      <c r="EC96" s="229">
        <v>4.1599999999999998E-2</v>
      </c>
      <c r="ED96" s="228">
        <v>2.0099999999999998</v>
      </c>
      <c r="EE96" s="229">
        <v>4.3E-3</v>
      </c>
      <c r="EF96" s="230">
        <v>376142</v>
      </c>
      <c r="EG96" s="230">
        <v>913124</v>
      </c>
      <c r="EH96" s="229">
        <v>-0.58809999999999996</v>
      </c>
      <c r="EI96" s="229">
        <v>0.3715</v>
      </c>
      <c r="EJ96" s="231">
        <v>27600.39</v>
      </c>
      <c r="EK96" s="231">
        <v>12926.84</v>
      </c>
      <c r="EL96" s="231">
        <v>13093</v>
      </c>
      <c r="EM96" s="228">
        <v>0</v>
      </c>
      <c r="EN96" s="231">
        <v>53620.23</v>
      </c>
      <c r="EO96" s="231">
        <v>152024.29999999999</v>
      </c>
      <c r="EP96" s="231">
        <v>-98404.07</v>
      </c>
      <c r="EQ96" s="229">
        <v>-0.64729999999999999</v>
      </c>
      <c r="ER96" s="231">
        <v>26317</v>
      </c>
      <c r="ES96" s="231">
        <v>14049</v>
      </c>
      <c r="ET96" s="231">
        <v>62622</v>
      </c>
      <c r="EU96" s="231">
        <v>63851160</v>
      </c>
      <c r="EV96" s="231">
        <v>102988</v>
      </c>
      <c r="EW96" s="231">
        <v>105522</v>
      </c>
      <c r="EX96" s="231">
        <v>-2534</v>
      </c>
      <c r="EY96" s="229">
        <v>-2.4E-2</v>
      </c>
      <c r="EZ96" s="229">
        <v>0.34110000000000001</v>
      </c>
      <c r="FA96" s="227" t="s">
        <v>568</v>
      </c>
      <c r="FB96" s="161">
        <f t="shared" si="1"/>
        <v>552750</v>
      </c>
    </row>
    <row r="97" spans="1:158" ht="17.25" hidden="1" thickBot="1" x14ac:dyDescent="0.3">
      <c r="A97" s="226">
        <v>45889</v>
      </c>
      <c r="B97" s="227" t="s">
        <v>206</v>
      </c>
      <c r="C97" s="227" t="s">
        <v>501</v>
      </c>
      <c r="D97" s="228">
        <v>1000</v>
      </c>
      <c r="E97" s="228">
        <v>807.4</v>
      </c>
      <c r="F97" s="228">
        <v>777.6</v>
      </c>
      <c r="G97" s="228">
        <v>29.8</v>
      </c>
      <c r="H97" s="229">
        <v>3.8300000000000001E-2</v>
      </c>
      <c r="I97" s="228">
        <v>806.8</v>
      </c>
      <c r="J97" s="228">
        <v>775.15</v>
      </c>
      <c r="K97" s="228">
        <v>31.65</v>
      </c>
      <c r="L97" s="229">
        <v>4.0800000000000003E-2</v>
      </c>
      <c r="M97" s="228">
        <v>807.4</v>
      </c>
      <c r="N97" s="228">
        <v>777.6</v>
      </c>
      <c r="O97" s="228">
        <v>29.8</v>
      </c>
      <c r="P97" s="229">
        <v>3.8300000000000001E-2</v>
      </c>
      <c r="Q97" s="228">
        <v>812.1</v>
      </c>
      <c r="R97" s="228">
        <v>782.15</v>
      </c>
      <c r="S97" s="228">
        <v>29.95</v>
      </c>
      <c r="T97" s="229">
        <v>3.8300000000000001E-2</v>
      </c>
      <c r="U97" s="228">
        <v>816.3</v>
      </c>
      <c r="V97" s="228">
        <v>785.95</v>
      </c>
      <c r="W97" s="228">
        <v>30.35</v>
      </c>
      <c r="X97" s="229">
        <v>3.8600000000000002E-2</v>
      </c>
      <c r="Y97" s="228">
        <v>0.6</v>
      </c>
      <c r="Z97" s="228">
        <v>2.4500000000000002</v>
      </c>
      <c r="AA97" s="228">
        <v>-1.85</v>
      </c>
      <c r="AB97" s="229">
        <v>6.9999999999999999E-4</v>
      </c>
      <c r="AC97" s="228">
        <v>0.6</v>
      </c>
      <c r="AD97" s="228">
        <v>2.4500000000000002</v>
      </c>
      <c r="AE97" s="228">
        <v>-1.85</v>
      </c>
      <c r="AF97" s="229">
        <v>6.9999999999999999E-4</v>
      </c>
      <c r="AG97" s="228">
        <v>5.3</v>
      </c>
      <c r="AH97" s="228">
        <v>7</v>
      </c>
      <c r="AI97" s="228">
        <v>-1.7</v>
      </c>
      <c r="AJ97" s="229">
        <v>6.6E-3</v>
      </c>
      <c r="AK97" s="228">
        <v>9.5</v>
      </c>
      <c r="AL97" s="228">
        <v>10.8</v>
      </c>
      <c r="AM97" s="228">
        <v>-1.3</v>
      </c>
      <c r="AN97" s="229">
        <v>1.18E-2</v>
      </c>
      <c r="AO97" s="228">
        <v>800.41</v>
      </c>
      <c r="AP97" s="228">
        <v>805.74</v>
      </c>
      <c r="AQ97" s="228">
        <v>0</v>
      </c>
      <c r="AR97" s="230">
        <v>11269000</v>
      </c>
      <c r="AS97" s="230">
        <v>2675000</v>
      </c>
      <c r="AT97" s="230">
        <v>8594000</v>
      </c>
      <c r="AU97" s="229">
        <v>3.2126999999999999</v>
      </c>
      <c r="AV97" s="230">
        <v>9413000</v>
      </c>
      <c r="AW97" s="230">
        <v>2294000</v>
      </c>
      <c r="AX97" s="230">
        <v>7119000</v>
      </c>
      <c r="AY97" s="229">
        <v>3.1032999999999999</v>
      </c>
      <c r="AZ97" s="230">
        <v>1726000</v>
      </c>
      <c r="BA97" s="230">
        <v>340000</v>
      </c>
      <c r="BB97" s="230">
        <v>1386000</v>
      </c>
      <c r="BC97" s="229">
        <v>4.0765000000000002</v>
      </c>
      <c r="BD97" s="230">
        <v>130000</v>
      </c>
      <c r="BE97" s="230">
        <v>41000</v>
      </c>
      <c r="BF97" s="230">
        <v>89000</v>
      </c>
      <c r="BG97" s="229">
        <v>2.1707000000000001</v>
      </c>
      <c r="BH97" s="230">
        <v>93935000</v>
      </c>
      <c r="BI97" s="230">
        <v>7498000</v>
      </c>
      <c r="BJ97" s="230">
        <v>86437000</v>
      </c>
      <c r="BK97" s="229">
        <v>11.528</v>
      </c>
      <c r="BL97" s="230">
        <v>26980000</v>
      </c>
      <c r="BM97" s="230">
        <v>3336000</v>
      </c>
      <c r="BN97" s="230">
        <v>23644000</v>
      </c>
      <c r="BO97" s="229">
        <v>7.0875000000000004</v>
      </c>
      <c r="BP97" s="230">
        <v>132184000</v>
      </c>
      <c r="BQ97" s="230">
        <v>13509000</v>
      </c>
      <c r="BR97" s="230">
        <v>118675000</v>
      </c>
      <c r="BS97" s="229">
        <v>8.7849000000000004</v>
      </c>
      <c r="BT97" s="230">
        <v>9703525</v>
      </c>
      <c r="BU97" s="230">
        <v>2725669</v>
      </c>
      <c r="BV97" s="230">
        <v>6977856</v>
      </c>
      <c r="BW97" s="229">
        <v>2.5600999999999998</v>
      </c>
      <c r="BX97" s="230">
        <v>25770000</v>
      </c>
      <c r="BY97" s="230">
        <v>26444000</v>
      </c>
      <c r="BZ97" s="230">
        <v>-674000</v>
      </c>
      <c r="CA97" s="229">
        <v>-2.5499999999999998E-2</v>
      </c>
      <c r="CB97" s="230">
        <v>24191000</v>
      </c>
      <c r="CC97" s="230">
        <v>25238000</v>
      </c>
      <c r="CD97" s="230">
        <v>-1047000</v>
      </c>
      <c r="CE97" s="229">
        <v>-4.1500000000000002E-2</v>
      </c>
      <c r="CF97" s="230">
        <v>1409000</v>
      </c>
      <c r="CG97" s="230">
        <v>1059000</v>
      </c>
      <c r="CH97" s="230">
        <v>350000</v>
      </c>
      <c r="CI97" s="229">
        <v>0.33050000000000002</v>
      </c>
      <c r="CJ97" s="230">
        <v>170000</v>
      </c>
      <c r="CK97" s="230">
        <v>147000</v>
      </c>
      <c r="CL97" s="230">
        <v>23000</v>
      </c>
      <c r="CM97" s="229">
        <v>0.1565</v>
      </c>
      <c r="CN97" s="230">
        <v>8849000</v>
      </c>
      <c r="CO97" s="230">
        <v>6064000</v>
      </c>
      <c r="CP97" s="230">
        <v>2785000</v>
      </c>
      <c r="CQ97" s="229">
        <v>0.45929999999999999</v>
      </c>
      <c r="CR97" s="230">
        <v>7272000</v>
      </c>
      <c r="CS97" s="230">
        <v>4639000</v>
      </c>
      <c r="CT97" s="230">
        <v>2633000</v>
      </c>
      <c r="CU97" s="229">
        <v>0.56759999999999999</v>
      </c>
      <c r="CV97" s="230">
        <v>41891000</v>
      </c>
      <c r="CW97" s="230">
        <v>37147000</v>
      </c>
      <c r="CX97" s="230">
        <v>4744000</v>
      </c>
      <c r="CY97" s="229">
        <v>0.12770000000000001</v>
      </c>
      <c r="CZ97" s="228">
        <v>26.49</v>
      </c>
      <c r="DA97" s="228">
        <v>22.35</v>
      </c>
      <c r="DB97" s="228">
        <v>4.1399999999999997</v>
      </c>
      <c r="DC97" s="228">
        <v>4.1399999999999997</v>
      </c>
      <c r="DD97" s="228">
        <v>37.909999999999997</v>
      </c>
      <c r="DE97" s="228">
        <v>37.619999999999997</v>
      </c>
      <c r="DF97" s="228">
        <v>-11.42</v>
      </c>
      <c r="DG97" s="228">
        <v>0.28999999999999998</v>
      </c>
      <c r="DH97" s="228">
        <v>26.29</v>
      </c>
      <c r="DI97" s="228">
        <v>22.25</v>
      </c>
      <c r="DJ97" s="228">
        <v>4.04</v>
      </c>
      <c r="DK97" s="228">
        <v>4.04</v>
      </c>
      <c r="DL97" s="228">
        <v>27.2</v>
      </c>
      <c r="DM97" s="228">
        <v>22.56</v>
      </c>
      <c r="DN97" s="228">
        <v>4.6399999999999997</v>
      </c>
      <c r="DO97" s="228">
        <v>4.6399999999999997</v>
      </c>
      <c r="DP97" s="228">
        <v>0.82</v>
      </c>
      <c r="DQ97" s="228">
        <v>0.77</v>
      </c>
      <c r="DR97" s="228">
        <v>0.05</v>
      </c>
      <c r="DS97" s="229">
        <v>6.4899999999999999E-2</v>
      </c>
      <c r="DT97" s="228">
        <v>800</v>
      </c>
      <c r="DU97" s="228">
        <v>780</v>
      </c>
      <c r="DV97" s="228">
        <v>0.28999999999999998</v>
      </c>
      <c r="DW97" s="228">
        <v>0.44</v>
      </c>
      <c r="DX97" s="228">
        <v>-0.15</v>
      </c>
      <c r="DY97" s="229">
        <v>-0.34089999999999998</v>
      </c>
      <c r="DZ97" s="229">
        <v>6.13E-2</v>
      </c>
      <c r="EA97" s="230">
        <v>1206000</v>
      </c>
      <c r="EB97" s="229">
        <v>5.7999999999999996E-3</v>
      </c>
      <c r="EC97" s="229">
        <v>6.13E-2</v>
      </c>
      <c r="ED97" s="228">
        <v>5.33</v>
      </c>
      <c r="EE97" s="229">
        <v>6.7000000000000002E-3</v>
      </c>
      <c r="EF97" s="230">
        <v>4515103</v>
      </c>
      <c r="EG97" s="230">
        <v>2144152</v>
      </c>
      <c r="EH97" s="229">
        <v>1.1057999999999999</v>
      </c>
      <c r="EI97" s="229">
        <v>0.46529999999999999</v>
      </c>
      <c r="EJ97" s="231">
        <v>771875.98</v>
      </c>
      <c r="EK97" s="231">
        <v>213251.91</v>
      </c>
      <c r="EL97" s="231">
        <v>90303.92</v>
      </c>
      <c r="EM97" s="228">
        <v>0</v>
      </c>
      <c r="EN97" s="231">
        <v>1075431.81</v>
      </c>
      <c r="EO97" s="231">
        <v>106106.39</v>
      </c>
      <c r="EP97" s="231">
        <v>969325.42</v>
      </c>
      <c r="EQ97" s="229">
        <v>9.1354000000000006</v>
      </c>
      <c r="ER97" s="231">
        <v>71670</v>
      </c>
      <c r="ES97" s="231">
        <v>55515</v>
      </c>
      <c r="ET97" s="231">
        <v>208148</v>
      </c>
      <c r="EU97" s="231">
        <v>176172833</v>
      </c>
      <c r="EV97" s="231">
        <v>335334</v>
      </c>
      <c r="EW97" s="231">
        <v>288246</v>
      </c>
      <c r="EX97" s="231">
        <v>47088</v>
      </c>
      <c r="EY97" s="229">
        <v>0.16339999999999999</v>
      </c>
      <c r="EZ97" s="229">
        <v>0.23780000000000001</v>
      </c>
      <c r="FA97" s="227" t="s">
        <v>556</v>
      </c>
      <c r="FB97" s="161">
        <f t="shared" si="1"/>
        <v>1579000</v>
      </c>
    </row>
    <row r="98" spans="1:158" ht="17.25" hidden="1" thickBot="1" x14ac:dyDescent="0.3">
      <c r="A98" s="226">
        <v>45889</v>
      </c>
      <c r="B98" s="227" t="s">
        <v>172</v>
      </c>
      <c r="C98" s="227" t="s">
        <v>579</v>
      </c>
      <c r="D98" s="228">
        <v>1000</v>
      </c>
      <c r="E98" s="228">
        <v>671.5</v>
      </c>
      <c r="F98" s="228">
        <v>673</v>
      </c>
      <c r="G98" s="228">
        <v>-1.5</v>
      </c>
      <c r="H98" s="229">
        <v>-2.2000000000000001E-3</v>
      </c>
      <c r="I98" s="228">
        <v>670.05</v>
      </c>
      <c r="J98" s="228">
        <v>671.65</v>
      </c>
      <c r="K98" s="228">
        <v>-1.6</v>
      </c>
      <c r="L98" s="229">
        <v>-2.3999999999999998E-3</v>
      </c>
      <c r="M98" s="228">
        <v>671.5</v>
      </c>
      <c r="N98" s="228">
        <v>673</v>
      </c>
      <c r="O98" s="228">
        <v>-1.5</v>
      </c>
      <c r="P98" s="229">
        <v>-2.2000000000000001E-3</v>
      </c>
      <c r="Q98" s="228">
        <v>673.1</v>
      </c>
      <c r="R98" s="228">
        <v>674.05</v>
      </c>
      <c r="S98" s="228">
        <v>-0.95</v>
      </c>
      <c r="T98" s="229">
        <v>-1.4E-3</v>
      </c>
      <c r="U98" s="228">
        <v>673.85</v>
      </c>
      <c r="V98" s="228">
        <v>674.65</v>
      </c>
      <c r="W98" s="228">
        <v>-0.8</v>
      </c>
      <c r="X98" s="229">
        <v>-1.1999999999999999E-3</v>
      </c>
      <c r="Y98" s="228">
        <v>1.45</v>
      </c>
      <c r="Z98" s="228">
        <v>1.35</v>
      </c>
      <c r="AA98" s="228">
        <v>0.1</v>
      </c>
      <c r="AB98" s="229">
        <v>2.2000000000000001E-3</v>
      </c>
      <c r="AC98" s="228">
        <v>1.45</v>
      </c>
      <c r="AD98" s="228">
        <v>1.35</v>
      </c>
      <c r="AE98" s="228">
        <v>0.1</v>
      </c>
      <c r="AF98" s="229">
        <v>2.2000000000000001E-3</v>
      </c>
      <c r="AG98" s="228">
        <v>3.05</v>
      </c>
      <c r="AH98" s="228">
        <v>2.4</v>
      </c>
      <c r="AI98" s="228">
        <v>0.65</v>
      </c>
      <c r="AJ98" s="229">
        <v>4.5999999999999999E-3</v>
      </c>
      <c r="AK98" s="228">
        <v>3.8</v>
      </c>
      <c r="AL98" s="228">
        <v>3</v>
      </c>
      <c r="AM98" s="228">
        <v>0.8</v>
      </c>
      <c r="AN98" s="229">
        <v>5.7000000000000002E-3</v>
      </c>
      <c r="AO98" s="228">
        <v>671.24</v>
      </c>
      <c r="AP98" s="228">
        <v>673.11</v>
      </c>
      <c r="AQ98" s="228">
        <v>0</v>
      </c>
      <c r="AR98" s="230">
        <v>1148000</v>
      </c>
      <c r="AS98" s="230">
        <v>2359000</v>
      </c>
      <c r="AT98" s="230">
        <v>-1211000</v>
      </c>
      <c r="AU98" s="229">
        <v>-0.51339999999999997</v>
      </c>
      <c r="AV98" s="230">
        <v>948000</v>
      </c>
      <c r="AW98" s="230">
        <v>1962000</v>
      </c>
      <c r="AX98" s="230">
        <v>-1014000</v>
      </c>
      <c r="AY98" s="229">
        <v>-0.51680000000000004</v>
      </c>
      <c r="AZ98" s="230">
        <v>198000</v>
      </c>
      <c r="BA98" s="230">
        <v>392000</v>
      </c>
      <c r="BB98" s="230">
        <v>-194000</v>
      </c>
      <c r="BC98" s="229">
        <v>-0.49490000000000001</v>
      </c>
      <c r="BD98" s="230">
        <v>2000</v>
      </c>
      <c r="BE98" s="230">
        <v>5000</v>
      </c>
      <c r="BF98" s="230">
        <v>-3000</v>
      </c>
      <c r="BG98" s="229">
        <v>-0.6</v>
      </c>
      <c r="BH98" s="230">
        <v>1949000</v>
      </c>
      <c r="BI98" s="230">
        <v>3657000</v>
      </c>
      <c r="BJ98" s="230">
        <v>-1708000</v>
      </c>
      <c r="BK98" s="229">
        <v>-0.46700000000000003</v>
      </c>
      <c r="BL98" s="230">
        <v>666000</v>
      </c>
      <c r="BM98" s="230">
        <v>1158000</v>
      </c>
      <c r="BN98" s="230">
        <v>-492000</v>
      </c>
      <c r="BO98" s="229">
        <v>-0.4249</v>
      </c>
      <c r="BP98" s="230">
        <v>3763000</v>
      </c>
      <c r="BQ98" s="230">
        <v>7174000</v>
      </c>
      <c r="BR98" s="230">
        <v>-3411000</v>
      </c>
      <c r="BS98" s="229">
        <v>-0.47549999999999998</v>
      </c>
      <c r="BT98" s="230">
        <v>703473</v>
      </c>
      <c r="BU98" s="230">
        <v>926756</v>
      </c>
      <c r="BV98" s="230">
        <v>-223283</v>
      </c>
      <c r="BW98" s="229">
        <v>-0.2409</v>
      </c>
      <c r="BX98" s="230">
        <v>7141000</v>
      </c>
      <c r="BY98" s="230">
        <v>7210000</v>
      </c>
      <c r="BZ98" s="230">
        <v>-69000</v>
      </c>
      <c r="CA98" s="229">
        <v>-9.5999999999999992E-3</v>
      </c>
      <c r="CB98" s="230">
        <v>6535000</v>
      </c>
      <c r="CC98" s="230">
        <v>6659000</v>
      </c>
      <c r="CD98" s="230">
        <v>-124000</v>
      </c>
      <c r="CE98" s="229">
        <v>-1.8599999999999998E-2</v>
      </c>
      <c r="CF98" s="230">
        <v>584000</v>
      </c>
      <c r="CG98" s="230">
        <v>529000</v>
      </c>
      <c r="CH98" s="230">
        <v>55000</v>
      </c>
      <c r="CI98" s="229">
        <v>0.104</v>
      </c>
      <c r="CJ98" s="230">
        <v>22000</v>
      </c>
      <c r="CK98" s="230">
        <v>22000</v>
      </c>
      <c r="CL98" s="228">
        <v>0</v>
      </c>
      <c r="CM98" s="229">
        <v>0</v>
      </c>
      <c r="CN98" s="230">
        <v>2847000</v>
      </c>
      <c r="CO98" s="230">
        <v>2773000</v>
      </c>
      <c r="CP98" s="230">
        <v>74000</v>
      </c>
      <c r="CQ98" s="229">
        <v>2.6700000000000002E-2</v>
      </c>
      <c r="CR98" s="230">
        <v>1998000</v>
      </c>
      <c r="CS98" s="230">
        <v>2038000</v>
      </c>
      <c r="CT98" s="230">
        <v>-40000</v>
      </c>
      <c r="CU98" s="229">
        <v>-1.9599999999999999E-2</v>
      </c>
      <c r="CV98" s="230">
        <v>11986000</v>
      </c>
      <c r="CW98" s="230">
        <v>12021000</v>
      </c>
      <c r="CX98" s="230">
        <v>-35000</v>
      </c>
      <c r="CY98" s="229">
        <v>-2.8999999999999998E-3</v>
      </c>
      <c r="CZ98" s="228">
        <v>27.81</v>
      </c>
      <c r="DA98" s="228">
        <v>28.22</v>
      </c>
      <c r="DB98" s="228">
        <v>-0.41</v>
      </c>
      <c r="DC98" s="228">
        <v>-0.41</v>
      </c>
      <c r="DD98" s="228">
        <v>40.54</v>
      </c>
      <c r="DE98" s="228">
        <v>40.65</v>
      </c>
      <c r="DF98" s="228">
        <v>-12.73</v>
      </c>
      <c r="DG98" s="228">
        <v>-0.11</v>
      </c>
      <c r="DH98" s="228">
        <v>27.92</v>
      </c>
      <c r="DI98" s="228">
        <v>28.29</v>
      </c>
      <c r="DJ98" s="228">
        <v>-0.37</v>
      </c>
      <c r="DK98" s="228">
        <v>-0.37</v>
      </c>
      <c r="DL98" s="228">
        <v>27.46</v>
      </c>
      <c r="DM98" s="228">
        <v>28.01</v>
      </c>
      <c r="DN98" s="228">
        <v>-0.55000000000000004</v>
      </c>
      <c r="DO98" s="228">
        <v>-0.55000000000000004</v>
      </c>
      <c r="DP98" s="228">
        <v>0.7</v>
      </c>
      <c r="DQ98" s="228">
        <v>0.73</v>
      </c>
      <c r="DR98" s="228">
        <v>-0.03</v>
      </c>
      <c r="DS98" s="229">
        <v>-4.1099999999999998E-2</v>
      </c>
      <c r="DT98" s="228">
        <v>670</v>
      </c>
      <c r="DU98" s="228">
        <v>670</v>
      </c>
      <c r="DV98" s="228">
        <v>0.34</v>
      </c>
      <c r="DW98" s="228">
        <v>0.32</v>
      </c>
      <c r="DX98" s="228">
        <v>0.02</v>
      </c>
      <c r="DY98" s="229">
        <v>6.25E-2</v>
      </c>
      <c r="DZ98" s="229">
        <v>8.4900000000000003E-2</v>
      </c>
      <c r="EA98" s="230">
        <v>551000</v>
      </c>
      <c r="EB98" s="229">
        <v>2.3999999999999998E-3</v>
      </c>
      <c r="EC98" s="229">
        <v>8.4900000000000003E-2</v>
      </c>
      <c r="ED98" s="228">
        <v>1.87</v>
      </c>
      <c r="EE98" s="229">
        <v>2.8E-3</v>
      </c>
      <c r="EF98" s="230">
        <v>342347</v>
      </c>
      <c r="EG98" s="230">
        <v>316317</v>
      </c>
      <c r="EH98" s="229">
        <v>8.2299999999999998E-2</v>
      </c>
      <c r="EI98" s="229">
        <v>0.48670000000000002</v>
      </c>
      <c r="EJ98" s="231">
        <v>13470.05</v>
      </c>
      <c r="EK98" s="231">
        <v>4434.43</v>
      </c>
      <c r="EL98" s="231">
        <v>7709.56</v>
      </c>
      <c r="EM98" s="228">
        <v>0</v>
      </c>
      <c r="EN98" s="231">
        <v>25614.04</v>
      </c>
      <c r="EO98" s="231">
        <v>49014.18</v>
      </c>
      <c r="EP98" s="231">
        <v>-23400.14</v>
      </c>
      <c r="EQ98" s="229">
        <v>-0.47739999999999999</v>
      </c>
      <c r="ER98" s="231">
        <v>19369</v>
      </c>
      <c r="ES98" s="231">
        <v>12738</v>
      </c>
      <c r="ET98" s="231">
        <v>47962</v>
      </c>
      <c r="EU98" s="231">
        <v>70482876</v>
      </c>
      <c r="EV98" s="231">
        <v>80069</v>
      </c>
      <c r="EW98" s="231">
        <v>80387</v>
      </c>
      <c r="EX98" s="228">
        <v>-318</v>
      </c>
      <c r="EY98" s="229">
        <v>-4.0000000000000001E-3</v>
      </c>
      <c r="EZ98" s="229">
        <v>0.1701</v>
      </c>
      <c r="FA98" s="227" t="s">
        <v>568</v>
      </c>
      <c r="FB98" s="161">
        <f t="shared" si="1"/>
        <v>606000</v>
      </c>
    </row>
    <row r="99" spans="1:158" ht="17.25" hidden="1" thickBot="1" x14ac:dyDescent="0.3">
      <c r="A99" s="226">
        <v>45889</v>
      </c>
      <c r="B99" s="227" t="s">
        <v>181</v>
      </c>
      <c r="C99" s="227" t="s">
        <v>570</v>
      </c>
      <c r="D99" s="228">
        <v>1</v>
      </c>
      <c r="E99" s="228">
        <v>11.79</v>
      </c>
      <c r="F99" s="228">
        <v>11.79</v>
      </c>
      <c r="G99" s="228">
        <v>0</v>
      </c>
      <c r="H99" s="229">
        <v>-4.0000000000000002E-4</v>
      </c>
      <c r="I99" s="228">
        <v>11.79</v>
      </c>
      <c r="J99" s="228">
        <v>11.79</v>
      </c>
      <c r="K99" s="228">
        <v>0</v>
      </c>
      <c r="L99" s="229">
        <v>-4.0000000000000002E-4</v>
      </c>
      <c r="M99" s="228">
        <v>0</v>
      </c>
      <c r="N99" s="228">
        <v>0</v>
      </c>
      <c r="O99" s="228">
        <v>0</v>
      </c>
      <c r="P99" s="229">
        <v>0</v>
      </c>
      <c r="Q99" s="228">
        <v>0</v>
      </c>
      <c r="R99" s="228">
        <v>0</v>
      </c>
      <c r="S99" s="228">
        <v>0</v>
      </c>
      <c r="T99" s="229">
        <v>0</v>
      </c>
      <c r="U99" s="228">
        <v>0</v>
      </c>
      <c r="V99" s="228">
        <v>0</v>
      </c>
      <c r="W99" s="228">
        <v>0</v>
      </c>
      <c r="X99" s="229">
        <v>0</v>
      </c>
      <c r="Y99" s="228">
        <v>0</v>
      </c>
      <c r="Z99" s="228">
        <v>0</v>
      </c>
      <c r="AA99" s="228">
        <v>0</v>
      </c>
      <c r="AB99" s="229">
        <v>0</v>
      </c>
      <c r="AC99" s="228">
        <v>0</v>
      </c>
      <c r="AD99" s="228">
        <v>0</v>
      </c>
      <c r="AE99" s="228">
        <v>0</v>
      </c>
      <c r="AF99" s="229">
        <v>0</v>
      </c>
      <c r="AG99" s="228">
        <v>0</v>
      </c>
      <c r="AH99" s="228">
        <v>0</v>
      </c>
      <c r="AI99" s="228">
        <v>0</v>
      </c>
      <c r="AJ99" s="229">
        <v>0</v>
      </c>
      <c r="AK99" s="228">
        <v>0</v>
      </c>
      <c r="AL99" s="228">
        <v>0</v>
      </c>
      <c r="AM99" s="228">
        <v>0</v>
      </c>
      <c r="AN99" s="229">
        <v>0</v>
      </c>
      <c r="AO99" s="228">
        <v>0</v>
      </c>
      <c r="AP99" s="228">
        <v>0</v>
      </c>
      <c r="AQ99" s="228">
        <v>0</v>
      </c>
      <c r="AR99" s="228">
        <v>0</v>
      </c>
      <c r="AS99" s="228">
        <v>0</v>
      </c>
      <c r="AT99" s="228">
        <v>0</v>
      </c>
      <c r="AU99" s="229">
        <v>0</v>
      </c>
      <c r="AV99" s="228">
        <v>0</v>
      </c>
      <c r="AW99" s="228">
        <v>0</v>
      </c>
      <c r="AX99" s="228">
        <v>0</v>
      </c>
      <c r="AY99" s="229">
        <v>0</v>
      </c>
      <c r="AZ99" s="228">
        <v>0</v>
      </c>
      <c r="BA99" s="228">
        <v>0</v>
      </c>
      <c r="BB99" s="228">
        <v>0</v>
      </c>
      <c r="BC99" s="229">
        <v>0</v>
      </c>
      <c r="BD99" s="228">
        <v>0</v>
      </c>
      <c r="BE99" s="228">
        <v>0</v>
      </c>
      <c r="BF99" s="228">
        <v>0</v>
      </c>
      <c r="BG99" s="229">
        <v>0</v>
      </c>
      <c r="BH99" s="228">
        <v>0</v>
      </c>
      <c r="BI99" s="228">
        <v>0</v>
      </c>
      <c r="BJ99" s="228">
        <v>0</v>
      </c>
      <c r="BK99" s="229">
        <v>0</v>
      </c>
      <c r="BL99" s="228">
        <v>0</v>
      </c>
      <c r="BM99" s="228">
        <v>0</v>
      </c>
      <c r="BN99" s="228">
        <v>0</v>
      </c>
      <c r="BO99" s="229">
        <v>0</v>
      </c>
      <c r="BP99" s="228">
        <v>0</v>
      </c>
      <c r="BQ99" s="228">
        <v>0</v>
      </c>
      <c r="BR99" s="228">
        <v>0</v>
      </c>
      <c r="BS99" s="229">
        <v>0</v>
      </c>
      <c r="BT99" s="228">
        <v>0</v>
      </c>
      <c r="BU99" s="228">
        <v>0</v>
      </c>
      <c r="BV99" s="228">
        <v>0</v>
      </c>
      <c r="BW99" s="229">
        <v>0</v>
      </c>
      <c r="BX99" s="228">
        <v>0</v>
      </c>
      <c r="BY99" s="228">
        <v>0</v>
      </c>
      <c r="BZ99" s="228">
        <v>0</v>
      </c>
      <c r="CA99" s="229">
        <v>0</v>
      </c>
      <c r="CB99" s="228">
        <v>0</v>
      </c>
      <c r="CC99" s="228">
        <v>0</v>
      </c>
      <c r="CD99" s="228">
        <v>0</v>
      </c>
      <c r="CE99" s="229">
        <v>0</v>
      </c>
      <c r="CF99" s="228">
        <v>0</v>
      </c>
      <c r="CG99" s="228">
        <v>0</v>
      </c>
      <c r="CH99" s="228">
        <v>0</v>
      </c>
      <c r="CI99" s="229">
        <v>0</v>
      </c>
      <c r="CJ99" s="228">
        <v>0</v>
      </c>
      <c r="CK99" s="228">
        <v>0</v>
      </c>
      <c r="CL99" s="228">
        <v>0</v>
      </c>
      <c r="CM99" s="229">
        <v>0</v>
      </c>
      <c r="CN99" s="228">
        <v>0</v>
      </c>
      <c r="CO99" s="228">
        <v>0</v>
      </c>
      <c r="CP99" s="228">
        <v>0</v>
      </c>
      <c r="CQ99" s="229">
        <v>0</v>
      </c>
      <c r="CR99" s="228">
        <v>0</v>
      </c>
      <c r="CS99" s="228">
        <v>0</v>
      </c>
      <c r="CT99" s="228">
        <v>0</v>
      </c>
      <c r="CU99" s="229">
        <v>0</v>
      </c>
      <c r="CV99" s="228">
        <v>0</v>
      </c>
      <c r="CW99" s="228">
        <v>0</v>
      </c>
      <c r="CX99" s="228">
        <v>0</v>
      </c>
      <c r="CY99" s="229">
        <v>0</v>
      </c>
      <c r="CZ99" s="228">
        <v>0</v>
      </c>
      <c r="DA99" s="228">
        <v>0</v>
      </c>
      <c r="DB99" s="228">
        <v>0</v>
      </c>
      <c r="DC99" s="228">
        <v>0</v>
      </c>
      <c r="DD99" s="228">
        <v>0</v>
      </c>
      <c r="DE99" s="228">
        <v>0</v>
      </c>
      <c r="DF99" s="228">
        <v>0</v>
      </c>
      <c r="DG99" s="228">
        <v>0</v>
      </c>
      <c r="DH99" s="228">
        <v>0</v>
      </c>
      <c r="DI99" s="228">
        <v>0</v>
      </c>
      <c r="DJ99" s="228">
        <v>0</v>
      </c>
      <c r="DK99" s="228">
        <v>0</v>
      </c>
      <c r="DL99" s="228">
        <v>0</v>
      </c>
      <c r="DM99" s="228">
        <v>0</v>
      </c>
      <c r="DN99" s="228">
        <v>0</v>
      </c>
      <c r="DO99" s="228">
        <v>0</v>
      </c>
      <c r="DP99" s="228">
        <v>0</v>
      </c>
      <c r="DQ99" s="228">
        <v>0</v>
      </c>
      <c r="DR99" s="228">
        <v>0</v>
      </c>
      <c r="DS99" s="229">
        <v>0</v>
      </c>
      <c r="DT99" s="228">
        <v>0</v>
      </c>
      <c r="DU99" s="228">
        <v>0</v>
      </c>
      <c r="DV99" s="228">
        <v>0</v>
      </c>
      <c r="DW99" s="228">
        <v>0</v>
      </c>
      <c r="DX99" s="228">
        <v>0</v>
      </c>
      <c r="DY99" s="229">
        <v>0</v>
      </c>
      <c r="DZ99" s="229">
        <v>0</v>
      </c>
      <c r="EA99" s="228">
        <v>0</v>
      </c>
      <c r="EB99" s="229">
        <v>0</v>
      </c>
      <c r="EC99" s="229">
        <v>0</v>
      </c>
      <c r="ED99" s="228">
        <v>0</v>
      </c>
      <c r="EE99" s="229">
        <v>0</v>
      </c>
      <c r="EF99" s="228">
        <v>0</v>
      </c>
      <c r="EG99" s="228">
        <v>0</v>
      </c>
      <c r="EH99" s="229">
        <v>0</v>
      </c>
      <c r="EI99" s="229">
        <v>0</v>
      </c>
      <c r="EJ99" s="228">
        <v>0</v>
      </c>
      <c r="EK99" s="228">
        <v>0</v>
      </c>
      <c r="EL99" s="228">
        <v>0</v>
      </c>
      <c r="EM99" s="228">
        <v>0</v>
      </c>
      <c r="EN99" s="228">
        <v>0</v>
      </c>
      <c r="EO99" s="228">
        <v>0</v>
      </c>
      <c r="EP99" s="228">
        <v>0</v>
      </c>
      <c r="EQ99" s="229">
        <v>0</v>
      </c>
      <c r="ER99" s="228">
        <v>0</v>
      </c>
      <c r="ES99" s="228">
        <v>0</v>
      </c>
      <c r="ET99" s="228">
        <v>0</v>
      </c>
      <c r="EU99" s="228">
        <v>0</v>
      </c>
      <c r="EV99" s="228">
        <v>0</v>
      </c>
      <c r="EW99" s="228">
        <v>0</v>
      </c>
      <c r="EX99" s="228">
        <v>0</v>
      </c>
      <c r="EY99" s="229">
        <v>0</v>
      </c>
      <c r="EZ99" s="229">
        <v>0</v>
      </c>
      <c r="FA99" s="227" t="s">
        <v>237</v>
      </c>
      <c r="FB99" s="161">
        <f t="shared" si="1"/>
        <v>0</v>
      </c>
    </row>
    <row r="100" spans="1:158" ht="17.25" hidden="1" thickBot="1" x14ac:dyDescent="0.3">
      <c r="A100" s="226">
        <v>45889</v>
      </c>
      <c r="B100" s="227" t="s">
        <v>215</v>
      </c>
      <c r="C100" s="227" t="s">
        <v>238</v>
      </c>
      <c r="D100" s="228">
        <v>150</v>
      </c>
      <c r="E100" s="231">
        <v>6145</v>
      </c>
      <c r="F100" s="231">
        <v>6065.5</v>
      </c>
      <c r="G100" s="228">
        <v>79.5</v>
      </c>
      <c r="H100" s="229">
        <v>1.3100000000000001E-2</v>
      </c>
      <c r="I100" s="231">
        <v>6155.5</v>
      </c>
      <c r="J100" s="231">
        <v>6055.5</v>
      </c>
      <c r="K100" s="228">
        <v>100</v>
      </c>
      <c r="L100" s="229">
        <v>1.6500000000000001E-2</v>
      </c>
      <c r="M100" s="231">
        <v>6145</v>
      </c>
      <c r="N100" s="231">
        <v>6065.5</v>
      </c>
      <c r="O100" s="228">
        <v>79.5</v>
      </c>
      <c r="P100" s="229">
        <v>1.3100000000000001E-2</v>
      </c>
      <c r="Q100" s="231">
        <v>6171.5</v>
      </c>
      <c r="R100" s="231">
        <v>6088.5</v>
      </c>
      <c r="S100" s="228">
        <v>83</v>
      </c>
      <c r="T100" s="229">
        <v>1.3599999999999999E-2</v>
      </c>
      <c r="U100" s="231">
        <v>6180</v>
      </c>
      <c r="V100" s="231">
        <v>6100</v>
      </c>
      <c r="W100" s="228">
        <v>80</v>
      </c>
      <c r="X100" s="229">
        <v>1.3100000000000001E-2</v>
      </c>
      <c r="Y100" s="228">
        <v>-10.5</v>
      </c>
      <c r="Z100" s="228">
        <v>10</v>
      </c>
      <c r="AA100" s="228">
        <v>-20.5</v>
      </c>
      <c r="AB100" s="229">
        <v>-1.6999999999999999E-3</v>
      </c>
      <c r="AC100" s="228">
        <v>-10.5</v>
      </c>
      <c r="AD100" s="228">
        <v>10</v>
      </c>
      <c r="AE100" s="228">
        <v>-20.5</v>
      </c>
      <c r="AF100" s="229">
        <v>-1.6999999999999999E-3</v>
      </c>
      <c r="AG100" s="228">
        <v>16</v>
      </c>
      <c r="AH100" s="228">
        <v>33</v>
      </c>
      <c r="AI100" s="228">
        <v>-17</v>
      </c>
      <c r="AJ100" s="229">
        <v>2.5999999999999999E-3</v>
      </c>
      <c r="AK100" s="228">
        <v>24.5</v>
      </c>
      <c r="AL100" s="228">
        <v>44.5</v>
      </c>
      <c r="AM100" s="228">
        <v>-20</v>
      </c>
      <c r="AN100" s="229">
        <v>4.0000000000000001E-3</v>
      </c>
      <c r="AO100" s="231">
        <v>6120.87</v>
      </c>
      <c r="AP100" s="231">
        <v>6145.9</v>
      </c>
      <c r="AQ100" s="228">
        <v>0</v>
      </c>
      <c r="AR100" s="230">
        <v>1381350</v>
      </c>
      <c r="AS100" s="230">
        <v>696450</v>
      </c>
      <c r="AT100" s="230">
        <v>684900</v>
      </c>
      <c r="AU100" s="229">
        <v>0.98340000000000005</v>
      </c>
      <c r="AV100" s="230">
        <v>945750</v>
      </c>
      <c r="AW100" s="230">
        <v>584700</v>
      </c>
      <c r="AX100" s="230">
        <v>361050</v>
      </c>
      <c r="AY100" s="229">
        <v>0.61750000000000005</v>
      </c>
      <c r="AZ100" s="230">
        <v>419400</v>
      </c>
      <c r="BA100" s="230">
        <v>105000</v>
      </c>
      <c r="BB100" s="230">
        <v>314400</v>
      </c>
      <c r="BC100" s="229">
        <v>2.9943</v>
      </c>
      <c r="BD100" s="230">
        <v>16200</v>
      </c>
      <c r="BE100" s="230">
        <v>6750</v>
      </c>
      <c r="BF100" s="230">
        <v>9450</v>
      </c>
      <c r="BG100" s="229">
        <v>1.4</v>
      </c>
      <c r="BH100" s="230">
        <v>3623100</v>
      </c>
      <c r="BI100" s="230">
        <v>2054400</v>
      </c>
      <c r="BJ100" s="230">
        <v>1568700</v>
      </c>
      <c r="BK100" s="229">
        <v>0.76359999999999995</v>
      </c>
      <c r="BL100" s="230">
        <v>1598550</v>
      </c>
      <c r="BM100" s="230">
        <v>1617150</v>
      </c>
      <c r="BN100" s="230">
        <v>-18600</v>
      </c>
      <c r="BO100" s="229">
        <v>-1.15E-2</v>
      </c>
      <c r="BP100" s="230">
        <v>6603000</v>
      </c>
      <c r="BQ100" s="230">
        <v>4368000</v>
      </c>
      <c r="BR100" s="230">
        <v>2235000</v>
      </c>
      <c r="BS100" s="229">
        <v>0.51170000000000004</v>
      </c>
      <c r="BT100" s="230">
        <v>512471</v>
      </c>
      <c r="BU100" s="230">
        <v>513106</v>
      </c>
      <c r="BV100" s="228">
        <v>-635</v>
      </c>
      <c r="BW100" s="229">
        <v>-1.1999999999999999E-3</v>
      </c>
      <c r="BX100" s="230">
        <v>7507200</v>
      </c>
      <c r="BY100" s="230">
        <v>7047750</v>
      </c>
      <c r="BZ100" s="230">
        <v>459450</v>
      </c>
      <c r="CA100" s="229">
        <v>6.5199999999999994E-2</v>
      </c>
      <c r="CB100" s="230">
        <v>6902100</v>
      </c>
      <c r="CC100" s="230">
        <v>6710700</v>
      </c>
      <c r="CD100" s="230">
        <v>191400</v>
      </c>
      <c r="CE100" s="229">
        <v>2.8500000000000001E-2</v>
      </c>
      <c r="CF100" s="230">
        <v>585600</v>
      </c>
      <c r="CG100" s="230">
        <v>319500</v>
      </c>
      <c r="CH100" s="230">
        <v>266100</v>
      </c>
      <c r="CI100" s="229">
        <v>0.83289999999999997</v>
      </c>
      <c r="CJ100" s="230">
        <v>19500</v>
      </c>
      <c r="CK100" s="230">
        <v>17550</v>
      </c>
      <c r="CL100" s="230">
        <v>1950</v>
      </c>
      <c r="CM100" s="229">
        <v>0.1111</v>
      </c>
      <c r="CN100" s="230">
        <v>1593450</v>
      </c>
      <c r="CO100" s="230">
        <v>1525950</v>
      </c>
      <c r="CP100" s="230">
        <v>67500</v>
      </c>
      <c r="CQ100" s="229">
        <v>4.4200000000000003E-2</v>
      </c>
      <c r="CR100" s="230">
        <v>1628100</v>
      </c>
      <c r="CS100" s="230">
        <v>1470600</v>
      </c>
      <c r="CT100" s="230">
        <v>157500</v>
      </c>
      <c r="CU100" s="229">
        <v>0.1071</v>
      </c>
      <c r="CV100" s="230">
        <v>10728750</v>
      </c>
      <c r="CW100" s="230">
        <v>10044300</v>
      </c>
      <c r="CX100" s="230">
        <v>684450</v>
      </c>
      <c r="CY100" s="229">
        <v>6.8099999999999994E-2</v>
      </c>
      <c r="CZ100" s="228">
        <v>25.4</v>
      </c>
      <c r="DA100" s="228">
        <v>25.05</v>
      </c>
      <c r="DB100" s="228">
        <v>0.35</v>
      </c>
      <c r="DC100" s="228">
        <v>0.35</v>
      </c>
      <c r="DD100" s="228">
        <v>34.17</v>
      </c>
      <c r="DE100" s="228">
        <v>34.19</v>
      </c>
      <c r="DF100" s="228">
        <v>-8.77</v>
      </c>
      <c r="DG100" s="228">
        <v>-0.02</v>
      </c>
      <c r="DH100" s="228">
        <v>24.13</v>
      </c>
      <c r="DI100" s="228">
        <v>23.39</v>
      </c>
      <c r="DJ100" s="228">
        <v>0.74</v>
      </c>
      <c r="DK100" s="228">
        <v>0.74</v>
      </c>
      <c r="DL100" s="228">
        <v>28.27</v>
      </c>
      <c r="DM100" s="228">
        <v>27.16</v>
      </c>
      <c r="DN100" s="228">
        <v>1.1100000000000001</v>
      </c>
      <c r="DO100" s="228">
        <v>1.1100000000000001</v>
      </c>
      <c r="DP100" s="228">
        <v>1.02</v>
      </c>
      <c r="DQ100" s="228">
        <v>0.96</v>
      </c>
      <c r="DR100" s="228">
        <v>0.06</v>
      </c>
      <c r="DS100" s="229">
        <v>6.25E-2</v>
      </c>
      <c r="DT100" s="231">
        <v>6300</v>
      </c>
      <c r="DU100" s="231">
        <v>5500</v>
      </c>
      <c r="DV100" s="228">
        <v>0.44</v>
      </c>
      <c r="DW100" s="228">
        <v>0.79</v>
      </c>
      <c r="DX100" s="228">
        <v>-0.35</v>
      </c>
      <c r="DY100" s="229">
        <v>-0.443</v>
      </c>
      <c r="DZ100" s="229">
        <v>8.0600000000000005E-2</v>
      </c>
      <c r="EA100" s="230">
        <v>337050</v>
      </c>
      <c r="EB100" s="229">
        <v>4.3E-3</v>
      </c>
      <c r="EC100" s="229">
        <v>8.0600000000000005E-2</v>
      </c>
      <c r="ED100" s="228">
        <v>25.03</v>
      </c>
      <c r="EE100" s="229">
        <v>4.1000000000000003E-3</v>
      </c>
      <c r="EF100" s="230">
        <v>325555</v>
      </c>
      <c r="EG100" s="230">
        <v>329431</v>
      </c>
      <c r="EH100" s="229">
        <v>-1.18E-2</v>
      </c>
      <c r="EI100" s="229">
        <v>0.63529999999999998</v>
      </c>
      <c r="EJ100" s="231">
        <v>227183.02</v>
      </c>
      <c r="EK100" s="231">
        <v>95533.71</v>
      </c>
      <c r="EL100" s="231">
        <v>84661.85</v>
      </c>
      <c r="EM100" s="228">
        <v>0</v>
      </c>
      <c r="EN100" s="231">
        <v>407378.58</v>
      </c>
      <c r="EO100" s="231">
        <v>266149.96999999997</v>
      </c>
      <c r="EP100" s="231">
        <v>141228.60999999999</v>
      </c>
      <c r="EQ100" s="229">
        <v>0.53059999999999996</v>
      </c>
      <c r="ER100" s="231">
        <v>97984</v>
      </c>
      <c r="ES100" s="231">
        <v>94162</v>
      </c>
      <c r="ET100" s="231">
        <v>461479</v>
      </c>
      <c r="EU100" s="231">
        <v>43643814</v>
      </c>
      <c r="EV100" s="231">
        <v>653625</v>
      </c>
      <c r="EW100" s="231">
        <v>605748</v>
      </c>
      <c r="EX100" s="231">
        <v>47877</v>
      </c>
      <c r="EY100" s="229">
        <v>7.9000000000000001E-2</v>
      </c>
      <c r="EZ100" s="229">
        <v>0.24579999999999999</v>
      </c>
      <c r="FA100" s="227" t="s">
        <v>555</v>
      </c>
      <c r="FB100" s="161">
        <f t="shared" si="1"/>
        <v>605100</v>
      </c>
    </row>
    <row r="101" spans="1:158" ht="17.25" hidden="1" thickBot="1" x14ac:dyDescent="0.3">
      <c r="A101" s="226">
        <v>45889</v>
      </c>
      <c r="B101" s="227" t="s">
        <v>172</v>
      </c>
      <c r="C101" s="227" t="s">
        <v>239</v>
      </c>
      <c r="D101" s="228">
        <v>700</v>
      </c>
      <c r="E101" s="228">
        <v>780.1</v>
      </c>
      <c r="F101" s="228">
        <v>786.35</v>
      </c>
      <c r="G101" s="228">
        <v>-6.25</v>
      </c>
      <c r="H101" s="229">
        <v>-7.9000000000000008E-3</v>
      </c>
      <c r="I101" s="228">
        <v>778.2</v>
      </c>
      <c r="J101" s="228">
        <v>785.5</v>
      </c>
      <c r="K101" s="228">
        <v>-7.3</v>
      </c>
      <c r="L101" s="229">
        <v>-9.2999999999999992E-3</v>
      </c>
      <c r="M101" s="228">
        <v>780.1</v>
      </c>
      <c r="N101" s="228">
        <v>786.35</v>
      </c>
      <c r="O101" s="228">
        <v>-6.25</v>
      </c>
      <c r="P101" s="229">
        <v>-7.9000000000000008E-3</v>
      </c>
      <c r="Q101" s="228">
        <v>784.5</v>
      </c>
      <c r="R101" s="228">
        <v>791.1</v>
      </c>
      <c r="S101" s="228">
        <v>-6.6</v>
      </c>
      <c r="T101" s="229">
        <v>-8.3000000000000001E-3</v>
      </c>
      <c r="U101" s="228">
        <v>788.65</v>
      </c>
      <c r="V101" s="228">
        <v>794.45</v>
      </c>
      <c r="W101" s="228">
        <v>-5.8</v>
      </c>
      <c r="X101" s="229">
        <v>-7.3000000000000001E-3</v>
      </c>
      <c r="Y101" s="228">
        <v>1.9</v>
      </c>
      <c r="Z101" s="228">
        <v>0.85</v>
      </c>
      <c r="AA101" s="228">
        <v>1.05</v>
      </c>
      <c r="AB101" s="229">
        <v>2.3999999999999998E-3</v>
      </c>
      <c r="AC101" s="228">
        <v>1.9</v>
      </c>
      <c r="AD101" s="228">
        <v>0.85</v>
      </c>
      <c r="AE101" s="228">
        <v>1.05</v>
      </c>
      <c r="AF101" s="229">
        <v>2.3999999999999998E-3</v>
      </c>
      <c r="AG101" s="228">
        <v>6.3</v>
      </c>
      <c r="AH101" s="228">
        <v>5.6</v>
      </c>
      <c r="AI101" s="228">
        <v>0.7</v>
      </c>
      <c r="AJ101" s="229">
        <v>8.0999999999999996E-3</v>
      </c>
      <c r="AK101" s="228">
        <v>10.45</v>
      </c>
      <c r="AL101" s="228">
        <v>8.9499999999999993</v>
      </c>
      <c r="AM101" s="228">
        <v>1.5</v>
      </c>
      <c r="AN101" s="229">
        <v>1.34E-2</v>
      </c>
      <c r="AO101" s="228">
        <v>782.69</v>
      </c>
      <c r="AP101" s="228">
        <v>786.4</v>
      </c>
      <c r="AQ101" s="228">
        <v>0</v>
      </c>
      <c r="AR101" s="230">
        <v>6400100</v>
      </c>
      <c r="AS101" s="230">
        <v>4898600</v>
      </c>
      <c r="AT101" s="230">
        <v>1501500</v>
      </c>
      <c r="AU101" s="229">
        <v>0.30649999999999999</v>
      </c>
      <c r="AV101" s="230">
        <v>4647300</v>
      </c>
      <c r="AW101" s="230">
        <v>4383400</v>
      </c>
      <c r="AX101" s="230">
        <v>263900</v>
      </c>
      <c r="AY101" s="229">
        <v>6.0199999999999997E-2</v>
      </c>
      <c r="AZ101" s="230">
        <v>1705900</v>
      </c>
      <c r="BA101" s="230">
        <v>444500</v>
      </c>
      <c r="BB101" s="230">
        <v>1261400</v>
      </c>
      <c r="BC101" s="229">
        <v>2.8378000000000001</v>
      </c>
      <c r="BD101" s="230">
        <v>46900</v>
      </c>
      <c r="BE101" s="230">
        <v>70700</v>
      </c>
      <c r="BF101" s="230">
        <v>-23800</v>
      </c>
      <c r="BG101" s="229">
        <v>-0.33660000000000001</v>
      </c>
      <c r="BH101" s="230">
        <v>12210100</v>
      </c>
      <c r="BI101" s="230">
        <v>11265800</v>
      </c>
      <c r="BJ101" s="230">
        <v>944300</v>
      </c>
      <c r="BK101" s="229">
        <v>8.3799999999999999E-2</v>
      </c>
      <c r="BL101" s="230">
        <v>5936000</v>
      </c>
      <c r="BM101" s="230">
        <v>6288100</v>
      </c>
      <c r="BN101" s="230">
        <v>-352100</v>
      </c>
      <c r="BO101" s="229">
        <v>-5.6000000000000001E-2</v>
      </c>
      <c r="BP101" s="230">
        <v>24546200</v>
      </c>
      <c r="BQ101" s="230">
        <v>22452500</v>
      </c>
      <c r="BR101" s="230">
        <v>2093700</v>
      </c>
      <c r="BS101" s="229">
        <v>9.3299999999999994E-2</v>
      </c>
      <c r="BT101" s="230">
        <v>2415050</v>
      </c>
      <c r="BU101" s="230">
        <v>2852294</v>
      </c>
      <c r="BV101" s="230">
        <v>-437244</v>
      </c>
      <c r="BW101" s="229">
        <v>-0.15329999999999999</v>
      </c>
      <c r="BX101" s="230">
        <v>51895900</v>
      </c>
      <c r="BY101" s="230">
        <v>51274300</v>
      </c>
      <c r="BZ101" s="230">
        <v>621600</v>
      </c>
      <c r="CA101" s="229">
        <v>1.21E-2</v>
      </c>
      <c r="CB101" s="230">
        <v>47677000</v>
      </c>
      <c r="CC101" s="230">
        <v>48431600</v>
      </c>
      <c r="CD101" s="230">
        <v>-754600</v>
      </c>
      <c r="CE101" s="229">
        <v>-1.5599999999999999E-2</v>
      </c>
      <c r="CF101" s="230">
        <v>3940300</v>
      </c>
      <c r="CG101" s="230">
        <v>2587900</v>
      </c>
      <c r="CH101" s="230">
        <v>1352400</v>
      </c>
      <c r="CI101" s="229">
        <v>0.52259999999999995</v>
      </c>
      <c r="CJ101" s="230">
        <v>278600</v>
      </c>
      <c r="CK101" s="230">
        <v>254800</v>
      </c>
      <c r="CL101" s="230">
        <v>23800</v>
      </c>
      <c r="CM101" s="229">
        <v>9.3399999999999997E-2</v>
      </c>
      <c r="CN101" s="230">
        <v>18755100</v>
      </c>
      <c r="CO101" s="230">
        <v>17847200</v>
      </c>
      <c r="CP101" s="230">
        <v>907900</v>
      </c>
      <c r="CQ101" s="229">
        <v>5.0900000000000001E-2</v>
      </c>
      <c r="CR101" s="230">
        <v>10921400</v>
      </c>
      <c r="CS101" s="230">
        <v>11109000</v>
      </c>
      <c r="CT101" s="230">
        <v>-187600</v>
      </c>
      <c r="CU101" s="229">
        <v>-1.6899999999999998E-2</v>
      </c>
      <c r="CV101" s="230">
        <v>81572400</v>
      </c>
      <c r="CW101" s="230">
        <v>80230500</v>
      </c>
      <c r="CX101" s="230">
        <v>1341900</v>
      </c>
      <c r="CY101" s="229">
        <v>1.67E-2</v>
      </c>
      <c r="CZ101" s="228">
        <v>30.54</v>
      </c>
      <c r="DA101" s="228">
        <v>29.15</v>
      </c>
      <c r="DB101" s="228">
        <v>1.39</v>
      </c>
      <c r="DC101" s="228">
        <v>1.39</v>
      </c>
      <c r="DD101" s="228">
        <v>50.58</v>
      </c>
      <c r="DE101" s="228">
        <v>50.69</v>
      </c>
      <c r="DF101" s="228">
        <v>-20.04</v>
      </c>
      <c r="DG101" s="228">
        <v>-0.11</v>
      </c>
      <c r="DH101" s="228">
        <v>31.16</v>
      </c>
      <c r="DI101" s="228">
        <v>29.78</v>
      </c>
      <c r="DJ101" s="228">
        <v>1.38</v>
      </c>
      <c r="DK101" s="228">
        <v>1.38</v>
      </c>
      <c r="DL101" s="228">
        <v>29.26</v>
      </c>
      <c r="DM101" s="228">
        <v>28.02</v>
      </c>
      <c r="DN101" s="228">
        <v>1.24</v>
      </c>
      <c r="DO101" s="228">
        <v>1.24</v>
      </c>
      <c r="DP101" s="228">
        <v>0.57999999999999996</v>
      </c>
      <c r="DQ101" s="228">
        <v>0.62</v>
      </c>
      <c r="DR101" s="228">
        <v>-0.04</v>
      </c>
      <c r="DS101" s="229">
        <v>-6.4500000000000002E-2</v>
      </c>
      <c r="DT101" s="228">
        <v>900</v>
      </c>
      <c r="DU101" s="228">
        <v>800</v>
      </c>
      <c r="DV101" s="228">
        <v>0.49</v>
      </c>
      <c r="DW101" s="228">
        <v>0.56000000000000005</v>
      </c>
      <c r="DX101" s="228">
        <v>-7.0000000000000007E-2</v>
      </c>
      <c r="DY101" s="229">
        <v>-0.125</v>
      </c>
      <c r="DZ101" s="229">
        <v>8.1299999999999997E-2</v>
      </c>
      <c r="EA101" s="230">
        <v>2842700</v>
      </c>
      <c r="EB101" s="229">
        <v>5.5999999999999999E-3</v>
      </c>
      <c r="EC101" s="229">
        <v>8.1299999999999997E-2</v>
      </c>
      <c r="ED101" s="228">
        <v>3.71</v>
      </c>
      <c r="EE101" s="229">
        <v>4.7000000000000002E-3</v>
      </c>
      <c r="EF101" s="230">
        <v>1207431</v>
      </c>
      <c r="EG101" s="230">
        <v>1483326</v>
      </c>
      <c r="EH101" s="229">
        <v>-0.186</v>
      </c>
      <c r="EI101" s="229">
        <v>0.5</v>
      </c>
      <c r="EJ101" s="231">
        <v>99981.9</v>
      </c>
      <c r="EK101" s="231">
        <v>46664.25</v>
      </c>
      <c r="EL101" s="231">
        <v>50160.03</v>
      </c>
      <c r="EM101" s="228">
        <v>0</v>
      </c>
      <c r="EN101" s="231">
        <v>196806.18</v>
      </c>
      <c r="EO101" s="231">
        <v>180907.99</v>
      </c>
      <c r="EP101" s="231">
        <v>15898.19</v>
      </c>
      <c r="EQ101" s="229">
        <v>8.7900000000000006E-2</v>
      </c>
      <c r="ER101" s="231">
        <v>158493</v>
      </c>
      <c r="ES101" s="231">
        <v>86424</v>
      </c>
      <c r="ET101" s="231">
        <v>405037</v>
      </c>
      <c r="EU101" s="231">
        <v>125074379</v>
      </c>
      <c r="EV101" s="231">
        <v>649954</v>
      </c>
      <c r="EW101" s="231">
        <v>642708</v>
      </c>
      <c r="EX101" s="231">
        <v>7246</v>
      </c>
      <c r="EY101" s="229">
        <v>1.1299999999999999E-2</v>
      </c>
      <c r="EZ101" s="229">
        <v>0.6522</v>
      </c>
      <c r="FA101" s="227" t="s">
        <v>567</v>
      </c>
      <c r="FB101" s="161">
        <f t="shared" si="1"/>
        <v>4218900</v>
      </c>
    </row>
    <row r="102" spans="1:158" ht="17.25" hidden="1" thickBot="1" x14ac:dyDescent="0.3">
      <c r="A102" s="226">
        <v>45889</v>
      </c>
      <c r="B102" s="227" t="s">
        <v>188</v>
      </c>
      <c r="C102" s="227" t="s">
        <v>473</v>
      </c>
      <c r="D102" s="228">
        <v>1700</v>
      </c>
      <c r="E102" s="228">
        <v>349.4</v>
      </c>
      <c r="F102" s="228">
        <v>341.25</v>
      </c>
      <c r="G102" s="228">
        <v>8.15</v>
      </c>
      <c r="H102" s="229">
        <v>2.3900000000000001E-2</v>
      </c>
      <c r="I102" s="228">
        <v>349.1</v>
      </c>
      <c r="J102" s="228">
        <v>339.95</v>
      </c>
      <c r="K102" s="228">
        <v>9.15</v>
      </c>
      <c r="L102" s="229">
        <v>2.69E-2</v>
      </c>
      <c r="M102" s="228">
        <v>349.4</v>
      </c>
      <c r="N102" s="228">
        <v>341.25</v>
      </c>
      <c r="O102" s="228">
        <v>8.15</v>
      </c>
      <c r="P102" s="229">
        <v>2.3900000000000001E-2</v>
      </c>
      <c r="Q102" s="228">
        <v>351.6</v>
      </c>
      <c r="R102" s="228">
        <v>343</v>
      </c>
      <c r="S102" s="228">
        <v>8.6</v>
      </c>
      <c r="T102" s="229">
        <v>2.5100000000000001E-2</v>
      </c>
      <c r="U102" s="228">
        <v>353.15</v>
      </c>
      <c r="V102" s="228">
        <v>344.4</v>
      </c>
      <c r="W102" s="228">
        <v>8.75</v>
      </c>
      <c r="X102" s="229">
        <v>2.5399999999999999E-2</v>
      </c>
      <c r="Y102" s="228">
        <v>0.3</v>
      </c>
      <c r="Z102" s="228">
        <v>1.3</v>
      </c>
      <c r="AA102" s="228">
        <v>-1</v>
      </c>
      <c r="AB102" s="229">
        <v>8.9999999999999998E-4</v>
      </c>
      <c r="AC102" s="228">
        <v>0.3</v>
      </c>
      <c r="AD102" s="228">
        <v>1.3</v>
      </c>
      <c r="AE102" s="228">
        <v>-1</v>
      </c>
      <c r="AF102" s="229">
        <v>8.9999999999999998E-4</v>
      </c>
      <c r="AG102" s="228">
        <v>2.5</v>
      </c>
      <c r="AH102" s="228">
        <v>3.05</v>
      </c>
      <c r="AI102" s="228">
        <v>-0.55000000000000004</v>
      </c>
      <c r="AJ102" s="229">
        <v>7.1999999999999998E-3</v>
      </c>
      <c r="AK102" s="228">
        <v>4.05</v>
      </c>
      <c r="AL102" s="228">
        <v>4.45</v>
      </c>
      <c r="AM102" s="228">
        <v>-0.4</v>
      </c>
      <c r="AN102" s="229">
        <v>1.1599999999999999E-2</v>
      </c>
      <c r="AO102" s="228">
        <v>350.69</v>
      </c>
      <c r="AP102" s="228">
        <v>352.7</v>
      </c>
      <c r="AQ102" s="228">
        <v>0</v>
      </c>
      <c r="AR102" s="230">
        <v>27120100</v>
      </c>
      <c r="AS102" s="230">
        <v>21083400</v>
      </c>
      <c r="AT102" s="230">
        <v>6036700</v>
      </c>
      <c r="AU102" s="229">
        <v>0.2863</v>
      </c>
      <c r="AV102" s="230">
        <v>22713700</v>
      </c>
      <c r="AW102" s="230">
        <v>14261300</v>
      </c>
      <c r="AX102" s="230">
        <v>8452400</v>
      </c>
      <c r="AY102" s="229">
        <v>0.5927</v>
      </c>
      <c r="AZ102" s="230">
        <v>4187100</v>
      </c>
      <c r="BA102" s="230">
        <v>6737100</v>
      </c>
      <c r="BB102" s="230">
        <v>-2550000</v>
      </c>
      <c r="BC102" s="229">
        <v>-0.3785</v>
      </c>
      <c r="BD102" s="230">
        <v>219300</v>
      </c>
      <c r="BE102" s="230">
        <v>85000</v>
      </c>
      <c r="BF102" s="230">
        <v>134300</v>
      </c>
      <c r="BG102" s="229">
        <v>1.58</v>
      </c>
      <c r="BH102" s="230">
        <v>90938100</v>
      </c>
      <c r="BI102" s="230">
        <v>35298800</v>
      </c>
      <c r="BJ102" s="230">
        <v>55639300</v>
      </c>
      <c r="BK102" s="229">
        <v>1.5762</v>
      </c>
      <c r="BL102" s="230">
        <v>35060800</v>
      </c>
      <c r="BM102" s="230">
        <v>9370400</v>
      </c>
      <c r="BN102" s="230">
        <v>25690400</v>
      </c>
      <c r="BO102" s="229">
        <v>2.7416999999999998</v>
      </c>
      <c r="BP102" s="230">
        <v>153119000</v>
      </c>
      <c r="BQ102" s="230">
        <v>65752600</v>
      </c>
      <c r="BR102" s="230">
        <v>87366400</v>
      </c>
      <c r="BS102" s="229">
        <v>1.3287</v>
      </c>
      <c r="BT102" s="230">
        <v>7755030</v>
      </c>
      <c r="BU102" s="230">
        <v>3713755</v>
      </c>
      <c r="BV102" s="230">
        <v>4041275</v>
      </c>
      <c r="BW102" s="229">
        <v>1.0882000000000001</v>
      </c>
      <c r="BX102" s="230">
        <v>79784400</v>
      </c>
      <c r="BY102" s="230">
        <v>76901200</v>
      </c>
      <c r="BZ102" s="230">
        <v>2883200</v>
      </c>
      <c r="CA102" s="229">
        <v>3.7499999999999999E-2</v>
      </c>
      <c r="CB102" s="230">
        <v>69417800</v>
      </c>
      <c r="CC102" s="230">
        <v>67926900</v>
      </c>
      <c r="CD102" s="230">
        <v>1490900</v>
      </c>
      <c r="CE102" s="229">
        <v>2.1899999999999999E-2</v>
      </c>
      <c r="CF102" s="230">
        <v>9997700</v>
      </c>
      <c r="CG102" s="230">
        <v>8629200</v>
      </c>
      <c r="CH102" s="230">
        <v>1368500</v>
      </c>
      <c r="CI102" s="229">
        <v>0.15859999999999999</v>
      </c>
      <c r="CJ102" s="230">
        <v>368900</v>
      </c>
      <c r="CK102" s="230">
        <v>345100</v>
      </c>
      <c r="CL102" s="230">
        <v>23800</v>
      </c>
      <c r="CM102" s="229">
        <v>6.9000000000000006E-2</v>
      </c>
      <c r="CN102" s="230">
        <v>22540300</v>
      </c>
      <c r="CO102" s="230">
        <v>25020600</v>
      </c>
      <c r="CP102" s="230">
        <v>-2480300</v>
      </c>
      <c r="CQ102" s="229">
        <v>-9.9099999999999994E-2</v>
      </c>
      <c r="CR102" s="230">
        <v>15344200</v>
      </c>
      <c r="CS102" s="230">
        <v>13577900</v>
      </c>
      <c r="CT102" s="230">
        <v>1766300</v>
      </c>
      <c r="CU102" s="229">
        <v>0.13009999999999999</v>
      </c>
      <c r="CV102" s="230">
        <v>117668900</v>
      </c>
      <c r="CW102" s="230">
        <v>115499700</v>
      </c>
      <c r="CX102" s="230">
        <v>2169200</v>
      </c>
      <c r="CY102" s="229">
        <v>1.8800000000000001E-2</v>
      </c>
      <c r="CZ102" s="228">
        <v>30.41</v>
      </c>
      <c r="DA102" s="228">
        <v>33.31</v>
      </c>
      <c r="DB102" s="228">
        <v>-2.9</v>
      </c>
      <c r="DC102" s="228">
        <v>-2.9</v>
      </c>
      <c r="DD102" s="228">
        <v>41.62</v>
      </c>
      <c r="DE102" s="228">
        <v>41.56</v>
      </c>
      <c r="DF102" s="228">
        <v>-11.21</v>
      </c>
      <c r="DG102" s="228">
        <v>0.06</v>
      </c>
      <c r="DH102" s="228">
        <v>30.56</v>
      </c>
      <c r="DI102" s="228">
        <v>33.25</v>
      </c>
      <c r="DJ102" s="228">
        <v>-2.69</v>
      </c>
      <c r="DK102" s="228">
        <v>-2.69</v>
      </c>
      <c r="DL102" s="228">
        <v>30.01</v>
      </c>
      <c r="DM102" s="228">
        <v>33.56</v>
      </c>
      <c r="DN102" s="228">
        <v>-3.55</v>
      </c>
      <c r="DO102" s="228">
        <v>-3.55</v>
      </c>
      <c r="DP102" s="228">
        <v>0.68</v>
      </c>
      <c r="DQ102" s="228">
        <v>0.54</v>
      </c>
      <c r="DR102" s="228">
        <v>0.14000000000000001</v>
      </c>
      <c r="DS102" s="229">
        <v>0.25929999999999997</v>
      </c>
      <c r="DT102" s="228">
        <v>360</v>
      </c>
      <c r="DU102" s="228">
        <v>340</v>
      </c>
      <c r="DV102" s="228">
        <v>0.39</v>
      </c>
      <c r="DW102" s="228">
        <v>0.27</v>
      </c>
      <c r="DX102" s="228">
        <v>0.12</v>
      </c>
      <c r="DY102" s="229">
        <v>0.44440000000000002</v>
      </c>
      <c r="DZ102" s="229">
        <v>0.12989999999999999</v>
      </c>
      <c r="EA102" s="230">
        <v>8974300</v>
      </c>
      <c r="EB102" s="229">
        <v>6.3E-3</v>
      </c>
      <c r="EC102" s="229">
        <v>0.12989999999999999</v>
      </c>
      <c r="ED102" s="228">
        <v>2.0099999999999998</v>
      </c>
      <c r="EE102" s="229">
        <v>5.7000000000000002E-3</v>
      </c>
      <c r="EF102" s="230">
        <v>2410014</v>
      </c>
      <c r="EG102" s="230">
        <v>1758864</v>
      </c>
      <c r="EH102" s="229">
        <v>0.37019999999999997</v>
      </c>
      <c r="EI102" s="229">
        <v>0.31080000000000002</v>
      </c>
      <c r="EJ102" s="231">
        <v>329074.5</v>
      </c>
      <c r="EK102" s="231">
        <v>121876.58</v>
      </c>
      <c r="EL102" s="231">
        <v>95197.73</v>
      </c>
      <c r="EM102" s="228">
        <v>0</v>
      </c>
      <c r="EN102" s="231">
        <v>546148.81000000006</v>
      </c>
      <c r="EO102" s="231">
        <v>228109.97</v>
      </c>
      <c r="EP102" s="231">
        <v>318038.84000000003</v>
      </c>
      <c r="EQ102" s="229">
        <v>1.3942000000000001</v>
      </c>
      <c r="ER102" s="231">
        <v>83750</v>
      </c>
      <c r="ES102" s="231">
        <v>54016</v>
      </c>
      <c r="ET102" s="231">
        <v>279000</v>
      </c>
      <c r="EU102" s="231">
        <v>263607438</v>
      </c>
      <c r="EV102" s="231">
        <v>416767</v>
      </c>
      <c r="EW102" s="231">
        <v>402901</v>
      </c>
      <c r="EX102" s="231">
        <v>13866</v>
      </c>
      <c r="EY102" s="229">
        <v>3.44E-2</v>
      </c>
      <c r="EZ102" s="229">
        <v>0.44640000000000002</v>
      </c>
      <c r="FA102" s="227" t="s">
        <v>555</v>
      </c>
      <c r="FB102" s="161">
        <f t="shared" si="1"/>
        <v>10366600</v>
      </c>
    </row>
    <row r="103" spans="1:158" ht="17.25" hidden="1" thickBot="1" x14ac:dyDescent="0.3">
      <c r="A103" s="226">
        <v>45889</v>
      </c>
      <c r="B103" s="227" t="s">
        <v>221</v>
      </c>
      <c r="C103" s="227" t="s">
        <v>240</v>
      </c>
      <c r="D103" s="228">
        <v>400</v>
      </c>
      <c r="E103" s="231">
        <v>1498.5</v>
      </c>
      <c r="F103" s="231">
        <v>1445.5</v>
      </c>
      <c r="G103" s="228">
        <v>53</v>
      </c>
      <c r="H103" s="229">
        <v>3.6700000000000003E-2</v>
      </c>
      <c r="I103" s="231">
        <v>1496.2</v>
      </c>
      <c r="J103" s="231">
        <v>1440</v>
      </c>
      <c r="K103" s="228">
        <v>56.2</v>
      </c>
      <c r="L103" s="229">
        <v>3.9E-2</v>
      </c>
      <c r="M103" s="231">
        <v>1498.5</v>
      </c>
      <c r="N103" s="231">
        <v>1445.5</v>
      </c>
      <c r="O103" s="228">
        <v>53</v>
      </c>
      <c r="P103" s="229">
        <v>3.6700000000000003E-2</v>
      </c>
      <c r="Q103" s="231">
        <v>1506.1</v>
      </c>
      <c r="R103" s="231">
        <v>1453.2</v>
      </c>
      <c r="S103" s="228">
        <v>52.9</v>
      </c>
      <c r="T103" s="229">
        <v>3.6400000000000002E-2</v>
      </c>
      <c r="U103" s="231">
        <v>1501.1</v>
      </c>
      <c r="V103" s="231">
        <v>1450</v>
      </c>
      <c r="W103" s="228">
        <v>51.1</v>
      </c>
      <c r="X103" s="229">
        <v>3.5200000000000002E-2</v>
      </c>
      <c r="Y103" s="228">
        <v>2.2999999999999998</v>
      </c>
      <c r="Z103" s="228">
        <v>5.5</v>
      </c>
      <c r="AA103" s="228">
        <v>-3.2</v>
      </c>
      <c r="AB103" s="229">
        <v>1.5E-3</v>
      </c>
      <c r="AC103" s="228">
        <v>2.2999999999999998</v>
      </c>
      <c r="AD103" s="228">
        <v>5.5</v>
      </c>
      <c r="AE103" s="228">
        <v>-3.2</v>
      </c>
      <c r="AF103" s="229">
        <v>1.5E-3</v>
      </c>
      <c r="AG103" s="228">
        <v>9.9</v>
      </c>
      <c r="AH103" s="228">
        <v>13.2</v>
      </c>
      <c r="AI103" s="228">
        <v>-3.3</v>
      </c>
      <c r="AJ103" s="229">
        <v>6.6E-3</v>
      </c>
      <c r="AK103" s="228">
        <v>4.9000000000000004</v>
      </c>
      <c r="AL103" s="228">
        <v>10</v>
      </c>
      <c r="AM103" s="228">
        <v>-5.0999999999999996</v>
      </c>
      <c r="AN103" s="229">
        <v>3.3E-3</v>
      </c>
      <c r="AO103" s="231">
        <v>1482.17</v>
      </c>
      <c r="AP103" s="231">
        <v>1490.78</v>
      </c>
      <c r="AQ103" s="228">
        <v>0</v>
      </c>
      <c r="AR103" s="230">
        <v>20494000</v>
      </c>
      <c r="AS103" s="230">
        <v>5650400</v>
      </c>
      <c r="AT103" s="230">
        <v>14843600</v>
      </c>
      <c r="AU103" s="229">
        <v>2.6269999999999998</v>
      </c>
      <c r="AV103" s="230">
        <v>16737600</v>
      </c>
      <c r="AW103" s="230">
        <v>4624800</v>
      </c>
      <c r="AX103" s="230">
        <v>12112800</v>
      </c>
      <c r="AY103" s="229">
        <v>2.6191</v>
      </c>
      <c r="AZ103" s="230">
        <v>3476000</v>
      </c>
      <c r="BA103" s="230">
        <v>881600</v>
      </c>
      <c r="BB103" s="230">
        <v>2594400</v>
      </c>
      <c r="BC103" s="229">
        <v>2.9428000000000001</v>
      </c>
      <c r="BD103" s="230">
        <v>280400</v>
      </c>
      <c r="BE103" s="230">
        <v>144000</v>
      </c>
      <c r="BF103" s="230">
        <v>136400</v>
      </c>
      <c r="BG103" s="229">
        <v>0.94720000000000004</v>
      </c>
      <c r="BH103" s="230">
        <v>112298000</v>
      </c>
      <c r="BI103" s="230">
        <v>22547600</v>
      </c>
      <c r="BJ103" s="230">
        <v>89750400</v>
      </c>
      <c r="BK103" s="229">
        <v>3.9805000000000001</v>
      </c>
      <c r="BL103" s="230">
        <v>49124800</v>
      </c>
      <c r="BM103" s="230">
        <v>10784800</v>
      </c>
      <c r="BN103" s="230">
        <v>38340000</v>
      </c>
      <c r="BO103" s="229">
        <v>3.5550000000000002</v>
      </c>
      <c r="BP103" s="230">
        <v>181916800</v>
      </c>
      <c r="BQ103" s="230">
        <v>38982800</v>
      </c>
      <c r="BR103" s="230">
        <v>142934000</v>
      </c>
      <c r="BS103" s="229">
        <v>3.6665999999999999</v>
      </c>
      <c r="BT103" s="230">
        <v>10766512</v>
      </c>
      <c r="BU103" s="230">
        <v>4551030</v>
      </c>
      <c r="BV103" s="230">
        <v>6215482</v>
      </c>
      <c r="BW103" s="229">
        <v>1.3656999999999999</v>
      </c>
      <c r="BX103" s="230">
        <v>83262400</v>
      </c>
      <c r="BY103" s="230">
        <v>86469200</v>
      </c>
      <c r="BZ103" s="230">
        <v>-3206800</v>
      </c>
      <c r="CA103" s="229">
        <v>-3.7100000000000001E-2</v>
      </c>
      <c r="CB103" s="230">
        <v>74836800</v>
      </c>
      <c r="CC103" s="230">
        <v>79330800</v>
      </c>
      <c r="CD103" s="230">
        <v>-4494000</v>
      </c>
      <c r="CE103" s="229">
        <v>-5.6599999999999998E-2</v>
      </c>
      <c r="CF103" s="230">
        <v>7924400</v>
      </c>
      <c r="CG103" s="230">
        <v>6600400</v>
      </c>
      <c r="CH103" s="230">
        <v>1324000</v>
      </c>
      <c r="CI103" s="229">
        <v>0.2006</v>
      </c>
      <c r="CJ103" s="230">
        <v>501200</v>
      </c>
      <c r="CK103" s="230">
        <v>538000</v>
      </c>
      <c r="CL103" s="230">
        <v>-36800</v>
      </c>
      <c r="CM103" s="229">
        <v>-6.8400000000000002E-2</v>
      </c>
      <c r="CN103" s="230">
        <v>25406400</v>
      </c>
      <c r="CO103" s="230">
        <v>28178400</v>
      </c>
      <c r="CP103" s="230">
        <v>-2772000</v>
      </c>
      <c r="CQ103" s="229">
        <v>-9.8400000000000001E-2</v>
      </c>
      <c r="CR103" s="230">
        <v>17354400</v>
      </c>
      <c r="CS103" s="230">
        <v>15631600</v>
      </c>
      <c r="CT103" s="230">
        <v>1722800</v>
      </c>
      <c r="CU103" s="229">
        <v>0.11020000000000001</v>
      </c>
      <c r="CV103" s="230">
        <v>126023200</v>
      </c>
      <c r="CW103" s="230">
        <v>130279200</v>
      </c>
      <c r="CX103" s="230">
        <v>-4256000</v>
      </c>
      <c r="CY103" s="229">
        <v>-3.27E-2</v>
      </c>
      <c r="CZ103" s="228">
        <v>24.1</v>
      </c>
      <c r="DA103" s="228">
        <v>25.02</v>
      </c>
      <c r="DB103" s="228">
        <v>-0.92</v>
      </c>
      <c r="DC103" s="228">
        <v>-0.92</v>
      </c>
      <c r="DD103" s="228">
        <v>29.39</v>
      </c>
      <c r="DE103" s="228">
        <v>29.01</v>
      </c>
      <c r="DF103" s="228">
        <v>-5.29</v>
      </c>
      <c r="DG103" s="228">
        <v>0.38</v>
      </c>
      <c r="DH103" s="228">
        <v>23.23</v>
      </c>
      <c r="DI103" s="228">
        <v>24.92</v>
      </c>
      <c r="DJ103" s="228">
        <v>-1.69</v>
      </c>
      <c r="DK103" s="228">
        <v>-1.69</v>
      </c>
      <c r="DL103" s="228">
        <v>26.08</v>
      </c>
      <c r="DM103" s="228">
        <v>25.25</v>
      </c>
      <c r="DN103" s="228">
        <v>0.83</v>
      </c>
      <c r="DO103" s="228">
        <v>0.83</v>
      </c>
      <c r="DP103" s="228">
        <v>0.68</v>
      </c>
      <c r="DQ103" s="228">
        <v>0.55000000000000004</v>
      </c>
      <c r="DR103" s="228">
        <v>0.13</v>
      </c>
      <c r="DS103" s="229">
        <v>0.2364</v>
      </c>
      <c r="DT103" s="231">
        <v>1500</v>
      </c>
      <c r="DU103" s="231">
        <v>1460</v>
      </c>
      <c r="DV103" s="228">
        <v>0.44</v>
      </c>
      <c r="DW103" s="228">
        <v>0.48</v>
      </c>
      <c r="DX103" s="228">
        <v>-0.04</v>
      </c>
      <c r="DY103" s="229">
        <v>-8.3299999999999999E-2</v>
      </c>
      <c r="DZ103" s="229">
        <v>0.1012</v>
      </c>
      <c r="EA103" s="230">
        <v>7138400</v>
      </c>
      <c r="EB103" s="229">
        <v>5.1000000000000004E-3</v>
      </c>
      <c r="EC103" s="229">
        <v>0.1012</v>
      </c>
      <c r="ED103" s="228">
        <v>8.61</v>
      </c>
      <c r="EE103" s="229">
        <v>5.7999999999999996E-3</v>
      </c>
      <c r="EF103" s="230">
        <v>6309188</v>
      </c>
      <c r="EG103" s="230">
        <v>2672344</v>
      </c>
      <c r="EH103" s="229">
        <v>1.3609</v>
      </c>
      <c r="EI103" s="229">
        <v>0.58599999999999997</v>
      </c>
      <c r="EJ103" s="231">
        <v>1714019.25</v>
      </c>
      <c r="EK103" s="231">
        <v>716438.26</v>
      </c>
      <c r="EL103" s="231">
        <v>304059.45</v>
      </c>
      <c r="EM103" s="228">
        <v>0</v>
      </c>
      <c r="EN103" s="231">
        <v>2734516.96</v>
      </c>
      <c r="EO103" s="231">
        <v>574488</v>
      </c>
      <c r="EP103" s="231">
        <v>2160028.96</v>
      </c>
      <c r="EQ103" s="229">
        <v>3.7599</v>
      </c>
      <c r="ER103" s="231">
        <v>393468</v>
      </c>
      <c r="ES103" s="231">
        <v>249414</v>
      </c>
      <c r="ET103" s="231">
        <v>1248302</v>
      </c>
      <c r="EU103" s="231">
        <v>632016998</v>
      </c>
      <c r="EV103" s="231">
        <v>1891185</v>
      </c>
      <c r="EW103" s="231">
        <v>1907326</v>
      </c>
      <c r="EX103" s="231">
        <v>-16141</v>
      </c>
      <c r="EY103" s="229">
        <v>-8.5000000000000006E-3</v>
      </c>
      <c r="EZ103" s="229">
        <v>0.19939999999999999</v>
      </c>
      <c r="FA103" s="227" t="s">
        <v>556</v>
      </c>
      <c r="FB103" s="161">
        <f t="shared" si="1"/>
        <v>8425600</v>
      </c>
    </row>
    <row r="104" spans="1:158" ht="17.25" hidden="1" thickBot="1" x14ac:dyDescent="0.3">
      <c r="A104" s="226">
        <v>45889</v>
      </c>
      <c r="B104" s="227" t="s">
        <v>161</v>
      </c>
      <c r="C104" s="227" t="s">
        <v>671</v>
      </c>
      <c r="D104" s="228">
        <v>3272</v>
      </c>
      <c r="E104" s="228">
        <v>144.13</v>
      </c>
      <c r="F104" s="228">
        <v>144.52000000000001</v>
      </c>
      <c r="G104" s="228">
        <v>-0.39</v>
      </c>
      <c r="H104" s="229">
        <v>-2.7000000000000001E-3</v>
      </c>
      <c r="I104" s="228">
        <v>144.19</v>
      </c>
      <c r="J104" s="228">
        <v>144.47999999999999</v>
      </c>
      <c r="K104" s="228">
        <v>-0.28999999999999998</v>
      </c>
      <c r="L104" s="229">
        <v>-2E-3</v>
      </c>
      <c r="M104" s="228">
        <v>144.13</v>
      </c>
      <c r="N104" s="228">
        <v>144.52000000000001</v>
      </c>
      <c r="O104" s="228">
        <v>-0.39</v>
      </c>
      <c r="P104" s="229">
        <v>-2.7000000000000001E-3</v>
      </c>
      <c r="Q104" s="228">
        <v>144.83000000000001</v>
      </c>
      <c r="R104" s="228">
        <v>145.16</v>
      </c>
      <c r="S104" s="228">
        <v>-0.33</v>
      </c>
      <c r="T104" s="229">
        <v>-2.3E-3</v>
      </c>
      <c r="U104" s="228">
        <v>145.77000000000001</v>
      </c>
      <c r="V104" s="228">
        <v>145.91</v>
      </c>
      <c r="W104" s="228">
        <v>-0.14000000000000001</v>
      </c>
      <c r="X104" s="229">
        <v>-1E-3</v>
      </c>
      <c r="Y104" s="228">
        <v>-0.06</v>
      </c>
      <c r="Z104" s="228">
        <v>0.04</v>
      </c>
      <c r="AA104" s="228">
        <v>-0.1</v>
      </c>
      <c r="AB104" s="229">
        <v>-4.0000000000000002E-4</v>
      </c>
      <c r="AC104" s="228">
        <v>-0.06</v>
      </c>
      <c r="AD104" s="228">
        <v>0.04</v>
      </c>
      <c r="AE104" s="228">
        <v>-0.1</v>
      </c>
      <c r="AF104" s="229">
        <v>-4.0000000000000002E-4</v>
      </c>
      <c r="AG104" s="228">
        <v>0.64</v>
      </c>
      <c r="AH104" s="228">
        <v>0.68</v>
      </c>
      <c r="AI104" s="228">
        <v>-0.04</v>
      </c>
      <c r="AJ104" s="229">
        <v>4.4000000000000003E-3</v>
      </c>
      <c r="AK104" s="228">
        <v>1.58</v>
      </c>
      <c r="AL104" s="228">
        <v>1.43</v>
      </c>
      <c r="AM104" s="228">
        <v>0.15</v>
      </c>
      <c r="AN104" s="229">
        <v>1.0999999999999999E-2</v>
      </c>
      <c r="AO104" s="228">
        <v>143.63999999999999</v>
      </c>
      <c r="AP104" s="228">
        <v>144.38999999999999</v>
      </c>
      <c r="AQ104" s="228">
        <v>0</v>
      </c>
      <c r="AR104" s="230">
        <v>8710064</v>
      </c>
      <c r="AS104" s="230">
        <v>28299528</v>
      </c>
      <c r="AT104" s="230">
        <v>-19589464</v>
      </c>
      <c r="AU104" s="229">
        <v>-0.69220000000000004</v>
      </c>
      <c r="AV104" s="230">
        <v>6115368</v>
      </c>
      <c r="AW104" s="230">
        <v>23407888</v>
      </c>
      <c r="AX104" s="230">
        <v>-17292520</v>
      </c>
      <c r="AY104" s="229">
        <v>-0.73870000000000002</v>
      </c>
      <c r="AZ104" s="230">
        <v>2493264</v>
      </c>
      <c r="BA104" s="230">
        <v>4587344</v>
      </c>
      <c r="BB104" s="230">
        <v>-2094080</v>
      </c>
      <c r="BC104" s="229">
        <v>-0.45650000000000002</v>
      </c>
      <c r="BD104" s="230">
        <v>101432</v>
      </c>
      <c r="BE104" s="230">
        <v>304296</v>
      </c>
      <c r="BF104" s="230">
        <v>-202864</v>
      </c>
      <c r="BG104" s="229">
        <v>-0.66669999999999996</v>
      </c>
      <c r="BH104" s="230">
        <v>22334672</v>
      </c>
      <c r="BI104" s="230">
        <v>132673056</v>
      </c>
      <c r="BJ104" s="230">
        <v>-110338384</v>
      </c>
      <c r="BK104" s="229">
        <v>-0.83169999999999999</v>
      </c>
      <c r="BL104" s="230">
        <v>7663024</v>
      </c>
      <c r="BM104" s="230">
        <v>35350688</v>
      </c>
      <c r="BN104" s="230">
        <v>-27687664</v>
      </c>
      <c r="BO104" s="229">
        <v>-0.78320000000000001</v>
      </c>
      <c r="BP104" s="230">
        <v>38707760</v>
      </c>
      <c r="BQ104" s="230">
        <v>196323272</v>
      </c>
      <c r="BR104" s="230">
        <v>-157615512</v>
      </c>
      <c r="BS104" s="229">
        <v>-0.80279999999999996</v>
      </c>
      <c r="BT104" s="230">
        <v>6699681</v>
      </c>
      <c r="BU104" s="230">
        <v>33632123</v>
      </c>
      <c r="BV104" s="230">
        <v>-26932442</v>
      </c>
      <c r="BW104" s="229">
        <v>-0.80079999999999996</v>
      </c>
      <c r="BX104" s="230">
        <v>49197792</v>
      </c>
      <c r="BY104" s="230">
        <v>48340528</v>
      </c>
      <c r="BZ104" s="230">
        <v>857264</v>
      </c>
      <c r="CA104" s="229">
        <v>1.77E-2</v>
      </c>
      <c r="CB104" s="230">
        <v>43380176</v>
      </c>
      <c r="CC104" s="230">
        <v>43815352</v>
      </c>
      <c r="CD104" s="230">
        <v>-435176</v>
      </c>
      <c r="CE104" s="229">
        <v>-9.9000000000000008E-3</v>
      </c>
      <c r="CF104" s="230">
        <v>5359536</v>
      </c>
      <c r="CG104" s="230">
        <v>4096544</v>
      </c>
      <c r="CH104" s="230">
        <v>1262992</v>
      </c>
      <c r="CI104" s="229">
        <v>0.30830000000000002</v>
      </c>
      <c r="CJ104" s="230">
        <v>458080</v>
      </c>
      <c r="CK104" s="230">
        <v>428632</v>
      </c>
      <c r="CL104" s="230">
        <v>29448</v>
      </c>
      <c r="CM104" s="229">
        <v>6.8699999999999997E-2</v>
      </c>
      <c r="CN104" s="230">
        <v>22939992</v>
      </c>
      <c r="CO104" s="230">
        <v>24425480</v>
      </c>
      <c r="CP104" s="230">
        <v>-1485488</v>
      </c>
      <c r="CQ104" s="229">
        <v>-6.08E-2</v>
      </c>
      <c r="CR104" s="230">
        <v>11998424</v>
      </c>
      <c r="CS104" s="230">
        <v>12397608</v>
      </c>
      <c r="CT104" s="230">
        <v>-399184</v>
      </c>
      <c r="CU104" s="229">
        <v>-3.2199999999999999E-2</v>
      </c>
      <c r="CV104" s="230">
        <v>84136208</v>
      </c>
      <c r="CW104" s="230">
        <v>85163616</v>
      </c>
      <c r="CX104" s="230">
        <v>-1027408</v>
      </c>
      <c r="CY104" s="229">
        <v>-1.21E-2</v>
      </c>
      <c r="CZ104" s="228">
        <v>44.15</v>
      </c>
      <c r="DA104" s="228">
        <v>44.58</v>
      </c>
      <c r="DB104" s="228">
        <v>-0.43</v>
      </c>
      <c r="DC104" s="228">
        <v>-0.43</v>
      </c>
      <c r="DD104" s="228">
        <v>60.94</v>
      </c>
      <c r="DE104" s="228">
        <v>61.09</v>
      </c>
      <c r="DF104" s="228">
        <v>-16.79</v>
      </c>
      <c r="DG104" s="228">
        <v>-0.15</v>
      </c>
      <c r="DH104" s="228">
        <v>43.58</v>
      </c>
      <c r="DI104" s="228">
        <v>44.81</v>
      </c>
      <c r="DJ104" s="228">
        <v>-1.23</v>
      </c>
      <c r="DK104" s="228">
        <v>-1.23</v>
      </c>
      <c r="DL104" s="228">
        <v>45.81</v>
      </c>
      <c r="DM104" s="228">
        <v>43.72</v>
      </c>
      <c r="DN104" s="228">
        <v>2.09</v>
      </c>
      <c r="DO104" s="228">
        <v>2.09</v>
      </c>
      <c r="DP104" s="228">
        <v>0.52</v>
      </c>
      <c r="DQ104" s="228">
        <v>0.51</v>
      </c>
      <c r="DR104" s="228">
        <v>0.01</v>
      </c>
      <c r="DS104" s="229">
        <v>1.9599999999999999E-2</v>
      </c>
      <c r="DT104" s="228">
        <v>150</v>
      </c>
      <c r="DU104" s="228">
        <v>140</v>
      </c>
      <c r="DV104" s="228">
        <v>0.34</v>
      </c>
      <c r="DW104" s="228">
        <v>0.27</v>
      </c>
      <c r="DX104" s="228">
        <v>7.0000000000000007E-2</v>
      </c>
      <c r="DY104" s="229">
        <v>0.25929999999999997</v>
      </c>
      <c r="DZ104" s="229">
        <v>0.1182</v>
      </c>
      <c r="EA104" s="230">
        <v>4525176</v>
      </c>
      <c r="EB104" s="229">
        <v>4.8999999999999998E-3</v>
      </c>
      <c r="EC104" s="229">
        <v>0.1182</v>
      </c>
      <c r="ED104" s="228">
        <v>0.75</v>
      </c>
      <c r="EE104" s="229">
        <v>5.1999999999999998E-3</v>
      </c>
      <c r="EF104" s="230">
        <v>2724925</v>
      </c>
      <c r="EG104" s="230">
        <v>7444302</v>
      </c>
      <c r="EH104" s="229">
        <v>-0.63400000000000001</v>
      </c>
      <c r="EI104" s="229">
        <v>0.40670000000000001</v>
      </c>
      <c r="EJ104" s="231">
        <v>34101.550000000003</v>
      </c>
      <c r="EK104" s="231">
        <v>11652.38</v>
      </c>
      <c r="EL104" s="231">
        <v>12531.09</v>
      </c>
      <c r="EM104" s="228">
        <v>0</v>
      </c>
      <c r="EN104" s="231">
        <v>58285.02</v>
      </c>
      <c r="EO104" s="231">
        <v>294223.15999999997</v>
      </c>
      <c r="EP104" s="231">
        <v>-235938.14</v>
      </c>
      <c r="EQ104" s="229">
        <v>-0.80189999999999995</v>
      </c>
      <c r="ER104" s="231">
        <v>35324</v>
      </c>
      <c r="ES104" s="231">
        <v>17259</v>
      </c>
      <c r="ET104" s="231">
        <v>70954</v>
      </c>
      <c r="EU104" s="231">
        <v>183964271</v>
      </c>
      <c r="EV104" s="231">
        <v>123537</v>
      </c>
      <c r="EW104" s="231">
        <v>125143</v>
      </c>
      <c r="EX104" s="231">
        <v>-1606</v>
      </c>
      <c r="EY104" s="229">
        <v>-1.2800000000000001E-2</v>
      </c>
      <c r="EZ104" s="229">
        <v>0.45739999999999997</v>
      </c>
      <c r="FA104" s="227" t="s">
        <v>567</v>
      </c>
      <c r="FB104" s="161">
        <f t="shared" si="1"/>
        <v>5817616</v>
      </c>
    </row>
    <row r="105" spans="1:158" ht="17.25" hidden="1" thickBot="1" x14ac:dyDescent="0.3">
      <c r="A105" s="226">
        <v>45889</v>
      </c>
      <c r="B105" s="227" t="s">
        <v>193</v>
      </c>
      <c r="C105" s="227" t="s">
        <v>241</v>
      </c>
      <c r="D105" s="228">
        <v>4875</v>
      </c>
      <c r="E105" s="228">
        <v>141.71</v>
      </c>
      <c r="F105" s="228">
        <v>142.47999999999999</v>
      </c>
      <c r="G105" s="228">
        <v>-0.77</v>
      </c>
      <c r="H105" s="229">
        <v>-5.4000000000000003E-3</v>
      </c>
      <c r="I105" s="228">
        <v>141.44</v>
      </c>
      <c r="J105" s="228">
        <v>142.01</v>
      </c>
      <c r="K105" s="228">
        <v>-0.56999999999999995</v>
      </c>
      <c r="L105" s="229">
        <v>-4.0000000000000001E-3</v>
      </c>
      <c r="M105" s="228">
        <v>141.71</v>
      </c>
      <c r="N105" s="228">
        <v>142.47999999999999</v>
      </c>
      <c r="O105" s="228">
        <v>-0.77</v>
      </c>
      <c r="P105" s="229">
        <v>-5.4000000000000003E-3</v>
      </c>
      <c r="Q105" s="228">
        <v>142.51</v>
      </c>
      <c r="R105" s="228">
        <v>143.26</v>
      </c>
      <c r="S105" s="228">
        <v>-0.75</v>
      </c>
      <c r="T105" s="229">
        <v>-5.1999999999999998E-3</v>
      </c>
      <c r="U105" s="228">
        <v>143.07</v>
      </c>
      <c r="V105" s="228">
        <v>143.75</v>
      </c>
      <c r="W105" s="228">
        <v>-0.68</v>
      </c>
      <c r="X105" s="229">
        <v>-4.7000000000000002E-3</v>
      </c>
      <c r="Y105" s="228">
        <v>0.27</v>
      </c>
      <c r="Z105" s="228">
        <v>0.47</v>
      </c>
      <c r="AA105" s="228">
        <v>-0.2</v>
      </c>
      <c r="AB105" s="229">
        <v>1.9E-3</v>
      </c>
      <c r="AC105" s="228">
        <v>0.27</v>
      </c>
      <c r="AD105" s="228">
        <v>0.47</v>
      </c>
      <c r="AE105" s="228">
        <v>-0.2</v>
      </c>
      <c r="AF105" s="229">
        <v>1.9E-3</v>
      </c>
      <c r="AG105" s="228">
        <v>1.07</v>
      </c>
      <c r="AH105" s="228">
        <v>1.25</v>
      </c>
      <c r="AI105" s="228">
        <v>-0.18</v>
      </c>
      <c r="AJ105" s="229">
        <v>7.6E-3</v>
      </c>
      <c r="AK105" s="228">
        <v>1.63</v>
      </c>
      <c r="AL105" s="228">
        <v>1.74</v>
      </c>
      <c r="AM105" s="228">
        <v>-0.11</v>
      </c>
      <c r="AN105" s="229">
        <v>1.15E-2</v>
      </c>
      <c r="AO105" s="228">
        <v>142.27000000000001</v>
      </c>
      <c r="AP105" s="228">
        <v>143.07</v>
      </c>
      <c r="AQ105" s="228">
        <v>0</v>
      </c>
      <c r="AR105" s="230">
        <v>12991875</v>
      </c>
      <c r="AS105" s="230">
        <v>15970500</v>
      </c>
      <c r="AT105" s="230">
        <v>-2978625</v>
      </c>
      <c r="AU105" s="229">
        <v>-0.1865</v>
      </c>
      <c r="AV105" s="230">
        <v>9857250</v>
      </c>
      <c r="AW105" s="230">
        <v>12392250</v>
      </c>
      <c r="AX105" s="230">
        <v>-2535000</v>
      </c>
      <c r="AY105" s="229">
        <v>-0.2046</v>
      </c>
      <c r="AZ105" s="230">
        <v>2949375</v>
      </c>
      <c r="BA105" s="230">
        <v>3183375</v>
      </c>
      <c r="BB105" s="230">
        <v>-234000</v>
      </c>
      <c r="BC105" s="229">
        <v>-7.3499999999999996E-2</v>
      </c>
      <c r="BD105" s="230">
        <v>185250</v>
      </c>
      <c r="BE105" s="230">
        <v>394875</v>
      </c>
      <c r="BF105" s="230">
        <v>-209625</v>
      </c>
      <c r="BG105" s="229">
        <v>-0.53090000000000004</v>
      </c>
      <c r="BH105" s="230">
        <v>36391875</v>
      </c>
      <c r="BI105" s="230">
        <v>52021125</v>
      </c>
      <c r="BJ105" s="230">
        <v>-15629250</v>
      </c>
      <c r="BK105" s="229">
        <v>-0.3004</v>
      </c>
      <c r="BL105" s="230">
        <v>27865500</v>
      </c>
      <c r="BM105" s="230">
        <v>35460750</v>
      </c>
      <c r="BN105" s="230">
        <v>-7595250</v>
      </c>
      <c r="BO105" s="229">
        <v>-0.2142</v>
      </c>
      <c r="BP105" s="230">
        <v>77249250</v>
      </c>
      <c r="BQ105" s="230">
        <v>103452375</v>
      </c>
      <c r="BR105" s="230">
        <v>-26203125</v>
      </c>
      <c r="BS105" s="229">
        <v>-0.25330000000000003</v>
      </c>
      <c r="BT105" s="230">
        <v>5808263</v>
      </c>
      <c r="BU105" s="230">
        <v>9446484</v>
      </c>
      <c r="BV105" s="230">
        <v>-3638221</v>
      </c>
      <c r="BW105" s="229">
        <v>-0.3851</v>
      </c>
      <c r="BX105" s="230">
        <v>71862375</v>
      </c>
      <c r="BY105" s="230">
        <v>73554000</v>
      </c>
      <c r="BZ105" s="230">
        <v>-1691625</v>
      </c>
      <c r="CA105" s="229">
        <v>-2.3E-2</v>
      </c>
      <c r="CB105" s="230">
        <v>64808250</v>
      </c>
      <c r="CC105" s="230">
        <v>67874625</v>
      </c>
      <c r="CD105" s="230">
        <v>-3066375</v>
      </c>
      <c r="CE105" s="229">
        <v>-4.5199999999999997E-2</v>
      </c>
      <c r="CF105" s="230">
        <v>6483750</v>
      </c>
      <c r="CG105" s="230">
        <v>5167500</v>
      </c>
      <c r="CH105" s="230">
        <v>1316250</v>
      </c>
      <c r="CI105" s="229">
        <v>0.25469999999999998</v>
      </c>
      <c r="CJ105" s="230">
        <v>570375</v>
      </c>
      <c r="CK105" s="230">
        <v>511875</v>
      </c>
      <c r="CL105" s="230">
        <v>58500</v>
      </c>
      <c r="CM105" s="229">
        <v>0.1143</v>
      </c>
      <c r="CN105" s="230">
        <v>47701875</v>
      </c>
      <c r="CO105" s="230">
        <v>48750000</v>
      </c>
      <c r="CP105" s="230">
        <v>-1048125</v>
      </c>
      <c r="CQ105" s="229">
        <v>-2.1499999999999998E-2</v>
      </c>
      <c r="CR105" s="230">
        <v>40316250</v>
      </c>
      <c r="CS105" s="230">
        <v>40199250</v>
      </c>
      <c r="CT105" s="230">
        <v>117000</v>
      </c>
      <c r="CU105" s="229">
        <v>2.8999999999999998E-3</v>
      </c>
      <c r="CV105" s="230">
        <v>159880500</v>
      </c>
      <c r="CW105" s="230">
        <v>162503250</v>
      </c>
      <c r="CX105" s="230">
        <v>-2622750</v>
      </c>
      <c r="CY105" s="229">
        <v>-1.61E-2</v>
      </c>
      <c r="CZ105" s="228">
        <v>21.8</v>
      </c>
      <c r="DA105" s="228">
        <v>22.81</v>
      </c>
      <c r="DB105" s="228">
        <v>-1.01</v>
      </c>
      <c r="DC105" s="228">
        <v>-1.01</v>
      </c>
      <c r="DD105" s="228">
        <v>33.97</v>
      </c>
      <c r="DE105" s="228">
        <v>34.049999999999997</v>
      </c>
      <c r="DF105" s="228">
        <v>-12.17</v>
      </c>
      <c r="DG105" s="228">
        <v>-0.08</v>
      </c>
      <c r="DH105" s="228">
        <v>22.07</v>
      </c>
      <c r="DI105" s="228">
        <v>22.76</v>
      </c>
      <c r="DJ105" s="228">
        <v>-0.69</v>
      </c>
      <c r="DK105" s="228">
        <v>-0.69</v>
      </c>
      <c r="DL105" s="228">
        <v>21.44</v>
      </c>
      <c r="DM105" s="228">
        <v>22.88</v>
      </c>
      <c r="DN105" s="228">
        <v>-1.44</v>
      </c>
      <c r="DO105" s="228">
        <v>-1.44</v>
      </c>
      <c r="DP105" s="228">
        <v>0.85</v>
      </c>
      <c r="DQ105" s="228">
        <v>0.82</v>
      </c>
      <c r="DR105" s="228">
        <v>0.03</v>
      </c>
      <c r="DS105" s="229">
        <v>3.6600000000000001E-2</v>
      </c>
      <c r="DT105" s="228">
        <v>147</v>
      </c>
      <c r="DU105" s="228">
        <v>135</v>
      </c>
      <c r="DV105" s="228">
        <v>0.77</v>
      </c>
      <c r="DW105" s="228">
        <v>0.68</v>
      </c>
      <c r="DX105" s="228">
        <v>0.09</v>
      </c>
      <c r="DY105" s="229">
        <v>0.13239999999999999</v>
      </c>
      <c r="DZ105" s="229">
        <v>9.8199999999999996E-2</v>
      </c>
      <c r="EA105" s="230">
        <v>5679375</v>
      </c>
      <c r="EB105" s="229">
        <v>5.5999999999999999E-3</v>
      </c>
      <c r="EC105" s="229">
        <v>9.8199999999999996E-2</v>
      </c>
      <c r="ED105" s="228">
        <v>0.8</v>
      </c>
      <c r="EE105" s="229">
        <v>5.5999999999999999E-3</v>
      </c>
      <c r="EF105" s="230">
        <v>2809541</v>
      </c>
      <c r="EG105" s="230">
        <v>4259912</v>
      </c>
      <c r="EH105" s="229">
        <v>-0.34050000000000002</v>
      </c>
      <c r="EI105" s="229">
        <v>0.48370000000000002</v>
      </c>
      <c r="EJ105" s="231">
        <v>53097.01</v>
      </c>
      <c r="EK105" s="231">
        <v>39347.26</v>
      </c>
      <c r="EL105" s="231">
        <v>18509.18</v>
      </c>
      <c r="EM105" s="228">
        <v>0</v>
      </c>
      <c r="EN105" s="231">
        <v>110953.45</v>
      </c>
      <c r="EO105" s="231">
        <v>148150.29</v>
      </c>
      <c r="EP105" s="231">
        <v>-37196.839999999997</v>
      </c>
      <c r="EQ105" s="229">
        <v>-0.25109999999999999</v>
      </c>
      <c r="ER105" s="231">
        <v>70388</v>
      </c>
      <c r="ES105" s="231">
        <v>56261</v>
      </c>
      <c r="ET105" s="231">
        <v>101896</v>
      </c>
      <c r="EU105" s="231">
        <v>1369807723</v>
      </c>
      <c r="EV105" s="231">
        <v>228545</v>
      </c>
      <c r="EW105" s="231">
        <v>232788</v>
      </c>
      <c r="EX105" s="231">
        <v>-4243</v>
      </c>
      <c r="EY105" s="229">
        <v>-1.8200000000000001E-2</v>
      </c>
      <c r="EZ105" s="229">
        <v>0.1167</v>
      </c>
      <c r="FA105" s="227" t="s">
        <v>568</v>
      </c>
      <c r="FB105" s="161">
        <f t="shared" si="1"/>
        <v>7054125</v>
      </c>
    </row>
    <row r="106" spans="1:158" ht="17.25" hidden="1" thickBot="1" x14ac:dyDescent="0.3">
      <c r="A106" s="226">
        <v>45889</v>
      </c>
      <c r="B106" s="227" t="s">
        <v>215</v>
      </c>
      <c r="C106" s="227" t="s">
        <v>595</v>
      </c>
      <c r="D106" s="228">
        <v>11675</v>
      </c>
      <c r="E106" s="228">
        <v>44.59</v>
      </c>
      <c r="F106" s="228">
        <v>45.21</v>
      </c>
      <c r="G106" s="228">
        <v>-0.62</v>
      </c>
      <c r="H106" s="229">
        <v>-1.37E-2</v>
      </c>
      <c r="I106" s="228">
        <v>44.6</v>
      </c>
      <c r="J106" s="228">
        <v>45.12</v>
      </c>
      <c r="K106" s="228">
        <v>-0.52</v>
      </c>
      <c r="L106" s="229">
        <v>-1.15E-2</v>
      </c>
      <c r="M106" s="228">
        <v>44.59</v>
      </c>
      <c r="N106" s="228">
        <v>45.21</v>
      </c>
      <c r="O106" s="228">
        <v>-0.62</v>
      </c>
      <c r="P106" s="229">
        <v>-1.37E-2</v>
      </c>
      <c r="Q106" s="228">
        <v>0</v>
      </c>
      <c r="R106" s="228">
        <v>0</v>
      </c>
      <c r="S106" s="228">
        <v>0</v>
      </c>
      <c r="T106" s="229">
        <v>0</v>
      </c>
      <c r="U106" s="228">
        <v>0</v>
      </c>
      <c r="V106" s="228">
        <v>0</v>
      </c>
      <c r="W106" s="228">
        <v>0</v>
      </c>
      <c r="X106" s="229">
        <v>0</v>
      </c>
      <c r="Y106" s="228">
        <v>-0.01</v>
      </c>
      <c r="Z106" s="228">
        <v>0.09</v>
      </c>
      <c r="AA106" s="228">
        <v>-0.1</v>
      </c>
      <c r="AB106" s="229">
        <v>-2.0000000000000001E-4</v>
      </c>
      <c r="AC106" s="228">
        <v>-0.01</v>
      </c>
      <c r="AD106" s="228">
        <v>0.09</v>
      </c>
      <c r="AE106" s="228">
        <v>-0.1</v>
      </c>
      <c r="AF106" s="229">
        <v>-2.0000000000000001E-4</v>
      </c>
      <c r="AG106" s="228">
        <v>0</v>
      </c>
      <c r="AH106" s="228">
        <v>0</v>
      </c>
      <c r="AI106" s="228">
        <v>0</v>
      </c>
      <c r="AJ106" s="229">
        <v>0</v>
      </c>
      <c r="AK106" s="228">
        <v>0</v>
      </c>
      <c r="AL106" s="228">
        <v>0</v>
      </c>
      <c r="AM106" s="228">
        <v>0</v>
      </c>
      <c r="AN106" s="229">
        <v>0</v>
      </c>
      <c r="AO106" s="228">
        <v>44.71</v>
      </c>
      <c r="AP106" s="228">
        <v>0</v>
      </c>
      <c r="AQ106" s="228">
        <v>0</v>
      </c>
      <c r="AR106" s="230">
        <v>6082675</v>
      </c>
      <c r="AS106" s="230">
        <v>6958300</v>
      </c>
      <c r="AT106" s="230">
        <v>-875625</v>
      </c>
      <c r="AU106" s="229">
        <v>-0.1258</v>
      </c>
      <c r="AV106" s="230">
        <v>6082675</v>
      </c>
      <c r="AW106" s="230">
        <v>6958300</v>
      </c>
      <c r="AX106" s="230">
        <v>-875625</v>
      </c>
      <c r="AY106" s="229">
        <v>-0.1258</v>
      </c>
      <c r="AZ106" s="228">
        <v>0</v>
      </c>
      <c r="BA106" s="228">
        <v>0</v>
      </c>
      <c r="BB106" s="228">
        <v>0</v>
      </c>
      <c r="BC106" s="229">
        <v>0</v>
      </c>
      <c r="BD106" s="228">
        <v>0</v>
      </c>
      <c r="BE106" s="228">
        <v>0</v>
      </c>
      <c r="BF106" s="228">
        <v>0</v>
      </c>
      <c r="BG106" s="229">
        <v>0</v>
      </c>
      <c r="BH106" s="230">
        <v>13764825</v>
      </c>
      <c r="BI106" s="230">
        <v>24097200</v>
      </c>
      <c r="BJ106" s="230">
        <v>-10332375</v>
      </c>
      <c r="BK106" s="229">
        <v>-0.42880000000000001</v>
      </c>
      <c r="BL106" s="230">
        <v>6502975</v>
      </c>
      <c r="BM106" s="230">
        <v>6362875</v>
      </c>
      <c r="BN106" s="230">
        <v>140100</v>
      </c>
      <c r="BO106" s="229">
        <v>2.1999999999999999E-2</v>
      </c>
      <c r="BP106" s="230">
        <v>26350475</v>
      </c>
      <c r="BQ106" s="230">
        <v>37418375</v>
      </c>
      <c r="BR106" s="230">
        <v>-11067900</v>
      </c>
      <c r="BS106" s="229">
        <v>-0.29580000000000001</v>
      </c>
      <c r="BT106" s="230">
        <v>10109072</v>
      </c>
      <c r="BU106" s="230">
        <v>7381363</v>
      </c>
      <c r="BV106" s="230">
        <v>2727709</v>
      </c>
      <c r="BW106" s="229">
        <v>0.3695</v>
      </c>
      <c r="BX106" s="230">
        <v>67539875</v>
      </c>
      <c r="BY106" s="230">
        <v>69267775</v>
      </c>
      <c r="BZ106" s="230">
        <v>-1727900</v>
      </c>
      <c r="CA106" s="229">
        <v>-2.4899999999999999E-2</v>
      </c>
      <c r="CB106" s="230">
        <v>67539875</v>
      </c>
      <c r="CC106" s="230">
        <v>69267775</v>
      </c>
      <c r="CD106" s="230">
        <v>-1727900</v>
      </c>
      <c r="CE106" s="229">
        <v>-2.4899999999999999E-2</v>
      </c>
      <c r="CF106" s="228">
        <v>0</v>
      </c>
      <c r="CG106" s="228">
        <v>0</v>
      </c>
      <c r="CH106" s="228">
        <v>0</v>
      </c>
      <c r="CI106" s="229">
        <v>0</v>
      </c>
      <c r="CJ106" s="228">
        <v>0</v>
      </c>
      <c r="CK106" s="228">
        <v>0</v>
      </c>
      <c r="CL106" s="228">
        <v>0</v>
      </c>
      <c r="CM106" s="229">
        <v>0</v>
      </c>
      <c r="CN106" s="230">
        <v>31207275</v>
      </c>
      <c r="CO106" s="230">
        <v>30483425</v>
      </c>
      <c r="CP106" s="230">
        <v>723850</v>
      </c>
      <c r="CQ106" s="229">
        <v>2.3699999999999999E-2</v>
      </c>
      <c r="CR106" s="230">
        <v>14990700</v>
      </c>
      <c r="CS106" s="230">
        <v>15959725</v>
      </c>
      <c r="CT106" s="230">
        <v>-969025</v>
      </c>
      <c r="CU106" s="229">
        <v>-6.0699999999999997E-2</v>
      </c>
      <c r="CV106" s="230">
        <v>113737850</v>
      </c>
      <c r="CW106" s="230">
        <v>115710925</v>
      </c>
      <c r="CX106" s="230">
        <v>-1973075</v>
      </c>
      <c r="CY106" s="229">
        <v>-1.7100000000000001E-2</v>
      </c>
      <c r="CZ106" s="228">
        <v>36.9</v>
      </c>
      <c r="DA106" s="228">
        <v>36.520000000000003</v>
      </c>
      <c r="DB106" s="228">
        <v>0.38</v>
      </c>
      <c r="DC106" s="228">
        <v>0.38</v>
      </c>
      <c r="DD106" s="228">
        <v>48.63</v>
      </c>
      <c r="DE106" s="228">
        <v>48.71</v>
      </c>
      <c r="DF106" s="228">
        <v>-11.73</v>
      </c>
      <c r="DG106" s="228">
        <v>-0.08</v>
      </c>
      <c r="DH106" s="228">
        <v>38.28</v>
      </c>
      <c r="DI106" s="228">
        <v>37.11</v>
      </c>
      <c r="DJ106" s="228">
        <v>1.17</v>
      </c>
      <c r="DK106" s="228">
        <v>1.17</v>
      </c>
      <c r="DL106" s="228">
        <v>33.979999999999997</v>
      </c>
      <c r="DM106" s="228">
        <v>34.299999999999997</v>
      </c>
      <c r="DN106" s="228">
        <v>-0.32</v>
      </c>
      <c r="DO106" s="228">
        <v>-0.32</v>
      </c>
      <c r="DP106" s="228">
        <v>0.48</v>
      </c>
      <c r="DQ106" s="228">
        <v>0.52</v>
      </c>
      <c r="DR106" s="228">
        <v>-0.04</v>
      </c>
      <c r="DS106" s="229">
        <v>-7.6899999999999996E-2</v>
      </c>
      <c r="DT106" s="228">
        <v>50</v>
      </c>
      <c r="DU106" s="228">
        <v>42</v>
      </c>
      <c r="DV106" s="228">
        <v>0.47</v>
      </c>
      <c r="DW106" s="228">
        <v>0.26</v>
      </c>
      <c r="DX106" s="228">
        <v>0.21</v>
      </c>
      <c r="DY106" s="229">
        <v>0.80769999999999997</v>
      </c>
      <c r="DZ106" s="229">
        <v>0</v>
      </c>
      <c r="EA106" s="228">
        <v>0</v>
      </c>
      <c r="EB106" s="229">
        <v>0</v>
      </c>
      <c r="EC106" s="229">
        <v>0</v>
      </c>
      <c r="ED106" s="228">
        <v>0</v>
      </c>
      <c r="EE106" s="229">
        <v>0</v>
      </c>
      <c r="EF106" s="230">
        <v>5413972</v>
      </c>
      <c r="EG106" s="230">
        <v>2991367</v>
      </c>
      <c r="EH106" s="229">
        <v>0.80989999999999995</v>
      </c>
      <c r="EI106" s="229">
        <v>0.53559999999999997</v>
      </c>
      <c r="EJ106" s="231">
        <v>6414.72</v>
      </c>
      <c r="EK106" s="231">
        <v>2842.24</v>
      </c>
      <c r="EL106" s="231">
        <v>2719.82</v>
      </c>
      <c r="EM106" s="228">
        <v>0</v>
      </c>
      <c r="EN106" s="231">
        <v>11976.78</v>
      </c>
      <c r="EO106" s="231">
        <v>17250.560000000001</v>
      </c>
      <c r="EP106" s="231">
        <v>-5273.78</v>
      </c>
      <c r="EQ106" s="229">
        <v>-0.30570000000000003</v>
      </c>
      <c r="ER106" s="231">
        <v>14980</v>
      </c>
      <c r="ES106" s="231">
        <v>6570</v>
      </c>
      <c r="ET106" s="231">
        <v>30116</v>
      </c>
      <c r="EU106" s="231">
        <v>840388804</v>
      </c>
      <c r="EV106" s="231">
        <v>51666</v>
      </c>
      <c r="EW106" s="231">
        <v>52984</v>
      </c>
      <c r="EX106" s="231">
        <v>-1318</v>
      </c>
      <c r="EY106" s="229">
        <v>-2.4899999999999999E-2</v>
      </c>
      <c r="EZ106" s="229">
        <v>0.1353</v>
      </c>
      <c r="FA106" s="227" t="s">
        <v>568</v>
      </c>
      <c r="FB106" s="161">
        <f t="shared" si="1"/>
        <v>0</v>
      </c>
    </row>
    <row r="107" spans="1:158" ht="17.25" hidden="1" thickBot="1" x14ac:dyDescent="0.3">
      <c r="A107" s="226">
        <v>45889</v>
      </c>
      <c r="B107" s="227" t="s">
        <v>215</v>
      </c>
      <c r="C107" s="227" t="s">
        <v>490</v>
      </c>
      <c r="D107" s="228">
        <v>875</v>
      </c>
      <c r="E107" s="228">
        <v>731.2</v>
      </c>
      <c r="F107" s="228">
        <v>727.3</v>
      </c>
      <c r="G107" s="228">
        <v>3.9</v>
      </c>
      <c r="H107" s="229">
        <v>5.4000000000000003E-3</v>
      </c>
      <c r="I107" s="228">
        <v>731.2</v>
      </c>
      <c r="J107" s="228">
        <v>726.4</v>
      </c>
      <c r="K107" s="228">
        <v>4.8</v>
      </c>
      <c r="L107" s="229">
        <v>6.6E-3</v>
      </c>
      <c r="M107" s="228">
        <v>731.2</v>
      </c>
      <c r="N107" s="228">
        <v>727.3</v>
      </c>
      <c r="O107" s="228">
        <v>3.9</v>
      </c>
      <c r="P107" s="229">
        <v>5.4000000000000003E-3</v>
      </c>
      <c r="Q107" s="228">
        <v>735.6</v>
      </c>
      <c r="R107" s="228">
        <v>731.65</v>
      </c>
      <c r="S107" s="228">
        <v>3.95</v>
      </c>
      <c r="T107" s="229">
        <v>5.4000000000000003E-3</v>
      </c>
      <c r="U107" s="228">
        <v>739.7</v>
      </c>
      <c r="V107" s="228">
        <v>735.7</v>
      </c>
      <c r="W107" s="228">
        <v>4</v>
      </c>
      <c r="X107" s="229">
        <v>5.4000000000000003E-3</v>
      </c>
      <c r="Y107" s="228">
        <v>0</v>
      </c>
      <c r="Z107" s="228">
        <v>0.9</v>
      </c>
      <c r="AA107" s="228">
        <v>-0.9</v>
      </c>
      <c r="AB107" s="229">
        <v>0</v>
      </c>
      <c r="AC107" s="228">
        <v>0</v>
      </c>
      <c r="AD107" s="228">
        <v>0.9</v>
      </c>
      <c r="AE107" s="228">
        <v>-0.9</v>
      </c>
      <c r="AF107" s="229">
        <v>0</v>
      </c>
      <c r="AG107" s="228">
        <v>4.4000000000000004</v>
      </c>
      <c r="AH107" s="228">
        <v>5.25</v>
      </c>
      <c r="AI107" s="228">
        <v>-0.85</v>
      </c>
      <c r="AJ107" s="229">
        <v>6.0000000000000001E-3</v>
      </c>
      <c r="AK107" s="228">
        <v>8.5</v>
      </c>
      <c r="AL107" s="228">
        <v>9.3000000000000007</v>
      </c>
      <c r="AM107" s="228">
        <v>-0.8</v>
      </c>
      <c r="AN107" s="229">
        <v>1.1599999999999999E-2</v>
      </c>
      <c r="AO107" s="228">
        <v>731.23</v>
      </c>
      <c r="AP107" s="228">
        <v>735.64</v>
      </c>
      <c r="AQ107" s="228">
        <v>0</v>
      </c>
      <c r="AR107" s="230">
        <v>2016875</v>
      </c>
      <c r="AS107" s="230">
        <v>2012500</v>
      </c>
      <c r="AT107" s="230">
        <v>4375</v>
      </c>
      <c r="AU107" s="229">
        <v>2.2000000000000001E-3</v>
      </c>
      <c r="AV107" s="230">
        <v>1284500</v>
      </c>
      <c r="AW107" s="230">
        <v>1197000</v>
      </c>
      <c r="AX107" s="230">
        <v>87500</v>
      </c>
      <c r="AY107" s="229">
        <v>7.3099999999999998E-2</v>
      </c>
      <c r="AZ107" s="230">
        <v>658875</v>
      </c>
      <c r="BA107" s="230">
        <v>612500</v>
      </c>
      <c r="BB107" s="230">
        <v>46375</v>
      </c>
      <c r="BC107" s="229">
        <v>7.5700000000000003E-2</v>
      </c>
      <c r="BD107" s="230">
        <v>73500</v>
      </c>
      <c r="BE107" s="230">
        <v>203000</v>
      </c>
      <c r="BF107" s="230">
        <v>-129500</v>
      </c>
      <c r="BG107" s="229">
        <v>-0.63790000000000002</v>
      </c>
      <c r="BH107" s="230">
        <v>8518125</v>
      </c>
      <c r="BI107" s="230">
        <v>7247625</v>
      </c>
      <c r="BJ107" s="230">
        <v>1270500</v>
      </c>
      <c r="BK107" s="229">
        <v>0.17530000000000001</v>
      </c>
      <c r="BL107" s="230">
        <v>2634625</v>
      </c>
      <c r="BM107" s="230">
        <v>2677500</v>
      </c>
      <c r="BN107" s="230">
        <v>-42875</v>
      </c>
      <c r="BO107" s="229">
        <v>-1.6E-2</v>
      </c>
      <c r="BP107" s="230">
        <v>13169625</v>
      </c>
      <c r="BQ107" s="230">
        <v>11937625</v>
      </c>
      <c r="BR107" s="230">
        <v>1232000</v>
      </c>
      <c r="BS107" s="229">
        <v>0.1032</v>
      </c>
      <c r="BT107" s="230">
        <v>552357</v>
      </c>
      <c r="BU107" s="230">
        <v>449248</v>
      </c>
      <c r="BV107" s="230">
        <v>103109</v>
      </c>
      <c r="BW107" s="229">
        <v>0.22950000000000001</v>
      </c>
      <c r="BX107" s="230">
        <v>16143750</v>
      </c>
      <c r="BY107" s="230">
        <v>15967875</v>
      </c>
      <c r="BZ107" s="230">
        <v>175875</v>
      </c>
      <c r="CA107" s="229">
        <v>1.0999999999999999E-2</v>
      </c>
      <c r="CB107" s="230">
        <v>13724375</v>
      </c>
      <c r="CC107" s="230">
        <v>13850375</v>
      </c>
      <c r="CD107" s="230">
        <v>-126000</v>
      </c>
      <c r="CE107" s="229">
        <v>-9.1000000000000004E-3</v>
      </c>
      <c r="CF107" s="230">
        <v>2009875</v>
      </c>
      <c r="CG107" s="230">
        <v>1714125</v>
      </c>
      <c r="CH107" s="230">
        <v>295750</v>
      </c>
      <c r="CI107" s="229">
        <v>0.17249999999999999</v>
      </c>
      <c r="CJ107" s="230">
        <v>409500</v>
      </c>
      <c r="CK107" s="230">
        <v>403375</v>
      </c>
      <c r="CL107" s="230">
        <v>6125</v>
      </c>
      <c r="CM107" s="229">
        <v>1.52E-2</v>
      </c>
      <c r="CN107" s="230">
        <v>8817375</v>
      </c>
      <c r="CO107" s="230">
        <v>8752625</v>
      </c>
      <c r="CP107" s="230">
        <v>64750</v>
      </c>
      <c r="CQ107" s="229">
        <v>7.4000000000000003E-3</v>
      </c>
      <c r="CR107" s="230">
        <v>6139000</v>
      </c>
      <c r="CS107" s="230">
        <v>5856375</v>
      </c>
      <c r="CT107" s="230">
        <v>282625</v>
      </c>
      <c r="CU107" s="229">
        <v>4.8300000000000003E-2</v>
      </c>
      <c r="CV107" s="230">
        <v>31100125</v>
      </c>
      <c r="CW107" s="230">
        <v>30576875</v>
      </c>
      <c r="CX107" s="230">
        <v>523250</v>
      </c>
      <c r="CY107" s="229">
        <v>1.7100000000000001E-2</v>
      </c>
      <c r="CZ107" s="228">
        <v>23.55</v>
      </c>
      <c r="DA107" s="228">
        <v>22.92</v>
      </c>
      <c r="DB107" s="228">
        <v>0.63</v>
      </c>
      <c r="DC107" s="228">
        <v>0.63</v>
      </c>
      <c r="DD107" s="228">
        <v>33.33</v>
      </c>
      <c r="DE107" s="228">
        <v>33.4</v>
      </c>
      <c r="DF107" s="228">
        <v>-9.7799999999999994</v>
      </c>
      <c r="DG107" s="228">
        <v>-7.0000000000000007E-2</v>
      </c>
      <c r="DH107" s="228">
        <v>23.4</v>
      </c>
      <c r="DI107" s="228">
        <v>22.95</v>
      </c>
      <c r="DJ107" s="228">
        <v>0.45</v>
      </c>
      <c r="DK107" s="228">
        <v>0.45</v>
      </c>
      <c r="DL107" s="228">
        <v>24.04</v>
      </c>
      <c r="DM107" s="228">
        <v>22.84</v>
      </c>
      <c r="DN107" s="228">
        <v>1.2</v>
      </c>
      <c r="DO107" s="228">
        <v>1.2</v>
      </c>
      <c r="DP107" s="228">
        <v>0.7</v>
      </c>
      <c r="DQ107" s="228">
        <v>0.67</v>
      </c>
      <c r="DR107" s="228">
        <v>0.03</v>
      </c>
      <c r="DS107" s="229">
        <v>4.48E-2</v>
      </c>
      <c r="DT107" s="228">
        <v>800</v>
      </c>
      <c r="DU107" s="228">
        <v>720</v>
      </c>
      <c r="DV107" s="228">
        <v>0.31</v>
      </c>
      <c r="DW107" s="228">
        <v>0.37</v>
      </c>
      <c r="DX107" s="228">
        <v>-0.06</v>
      </c>
      <c r="DY107" s="229">
        <v>-0.16220000000000001</v>
      </c>
      <c r="DZ107" s="229">
        <v>0.14990000000000001</v>
      </c>
      <c r="EA107" s="230">
        <v>2117500</v>
      </c>
      <c r="EB107" s="229">
        <v>6.0000000000000001E-3</v>
      </c>
      <c r="EC107" s="229">
        <v>0.14990000000000001</v>
      </c>
      <c r="ED107" s="228">
        <v>4.41</v>
      </c>
      <c r="EE107" s="229">
        <v>6.0000000000000001E-3</v>
      </c>
      <c r="EF107" s="230">
        <v>224061</v>
      </c>
      <c r="EG107" s="230">
        <v>189884</v>
      </c>
      <c r="EH107" s="229">
        <v>0.18</v>
      </c>
      <c r="EI107" s="229">
        <v>0.40560000000000002</v>
      </c>
      <c r="EJ107" s="231">
        <v>64498.41</v>
      </c>
      <c r="EK107" s="231">
        <v>18984.46</v>
      </c>
      <c r="EL107" s="231">
        <v>14783.04</v>
      </c>
      <c r="EM107" s="228">
        <v>0</v>
      </c>
      <c r="EN107" s="231">
        <v>98265.91</v>
      </c>
      <c r="EO107" s="231">
        <v>88740.42</v>
      </c>
      <c r="EP107" s="231">
        <v>9525.49</v>
      </c>
      <c r="EQ107" s="229">
        <v>0.10730000000000001</v>
      </c>
      <c r="ER107" s="231">
        <v>67881</v>
      </c>
      <c r="ES107" s="231">
        <v>44587</v>
      </c>
      <c r="ET107" s="231">
        <v>118166</v>
      </c>
      <c r="EU107" s="231">
        <v>60165566</v>
      </c>
      <c r="EV107" s="231">
        <v>230634</v>
      </c>
      <c r="EW107" s="231">
        <v>226230</v>
      </c>
      <c r="EX107" s="231">
        <v>4404</v>
      </c>
      <c r="EY107" s="229">
        <v>1.95E-2</v>
      </c>
      <c r="EZ107" s="229">
        <v>0.51690000000000003</v>
      </c>
      <c r="FA107" s="227" t="s">
        <v>555</v>
      </c>
      <c r="FB107" s="161">
        <f t="shared" si="1"/>
        <v>2419375</v>
      </c>
    </row>
    <row r="108" spans="1:158" ht="17.25" hidden="1" thickBot="1" x14ac:dyDescent="0.3">
      <c r="A108" s="226">
        <v>45889</v>
      </c>
      <c r="B108" s="227" t="s">
        <v>175</v>
      </c>
      <c r="C108" s="227" t="s">
        <v>666</v>
      </c>
      <c r="D108" s="228">
        <v>3450</v>
      </c>
      <c r="E108" s="228">
        <v>148.58000000000001</v>
      </c>
      <c r="F108" s="228">
        <v>148.84</v>
      </c>
      <c r="G108" s="228">
        <v>-0.26</v>
      </c>
      <c r="H108" s="229">
        <v>-1.6999999999999999E-3</v>
      </c>
      <c r="I108" s="228">
        <v>148.78</v>
      </c>
      <c r="J108" s="228">
        <v>148.91</v>
      </c>
      <c r="K108" s="228">
        <v>-0.13</v>
      </c>
      <c r="L108" s="229">
        <v>-8.9999999999999998E-4</v>
      </c>
      <c r="M108" s="228">
        <v>148.58000000000001</v>
      </c>
      <c r="N108" s="228">
        <v>148.84</v>
      </c>
      <c r="O108" s="228">
        <v>-0.26</v>
      </c>
      <c r="P108" s="229">
        <v>-1.6999999999999999E-3</v>
      </c>
      <c r="Q108" s="228">
        <v>148.34</v>
      </c>
      <c r="R108" s="228">
        <v>148.78</v>
      </c>
      <c r="S108" s="228">
        <v>-0.44</v>
      </c>
      <c r="T108" s="229">
        <v>-3.0000000000000001E-3</v>
      </c>
      <c r="U108" s="228">
        <v>148.35</v>
      </c>
      <c r="V108" s="228">
        <v>148.96</v>
      </c>
      <c r="W108" s="228">
        <v>-0.61</v>
      </c>
      <c r="X108" s="229">
        <v>-4.1000000000000003E-3</v>
      </c>
      <c r="Y108" s="228">
        <v>-0.2</v>
      </c>
      <c r="Z108" s="228">
        <v>-7.0000000000000007E-2</v>
      </c>
      <c r="AA108" s="228">
        <v>-0.13</v>
      </c>
      <c r="AB108" s="229">
        <v>-1.2999999999999999E-3</v>
      </c>
      <c r="AC108" s="228">
        <v>-0.2</v>
      </c>
      <c r="AD108" s="228">
        <v>-7.0000000000000007E-2</v>
      </c>
      <c r="AE108" s="228">
        <v>-0.13</v>
      </c>
      <c r="AF108" s="229">
        <v>-1.2999999999999999E-3</v>
      </c>
      <c r="AG108" s="228">
        <v>-0.44</v>
      </c>
      <c r="AH108" s="228">
        <v>-0.13</v>
      </c>
      <c r="AI108" s="228">
        <v>-0.31</v>
      </c>
      <c r="AJ108" s="229">
        <v>-3.0000000000000001E-3</v>
      </c>
      <c r="AK108" s="228">
        <v>-0.43</v>
      </c>
      <c r="AL108" s="228">
        <v>0.05</v>
      </c>
      <c r="AM108" s="228">
        <v>-0.48</v>
      </c>
      <c r="AN108" s="229">
        <v>-2.8999999999999998E-3</v>
      </c>
      <c r="AO108" s="228">
        <v>148.57</v>
      </c>
      <c r="AP108" s="228">
        <v>148.41999999999999</v>
      </c>
      <c r="AQ108" s="228">
        <v>0</v>
      </c>
      <c r="AR108" s="230">
        <v>5350950</v>
      </c>
      <c r="AS108" s="230">
        <v>5219850</v>
      </c>
      <c r="AT108" s="230">
        <v>131100</v>
      </c>
      <c r="AU108" s="229">
        <v>2.5100000000000001E-2</v>
      </c>
      <c r="AV108" s="230">
        <v>2977350</v>
      </c>
      <c r="AW108" s="230">
        <v>3501750</v>
      </c>
      <c r="AX108" s="230">
        <v>-524400</v>
      </c>
      <c r="AY108" s="229">
        <v>-0.14979999999999999</v>
      </c>
      <c r="AZ108" s="230">
        <v>2201100</v>
      </c>
      <c r="BA108" s="230">
        <v>1559400</v>
      </c>
      <c r="BB108" s="230">
        <v>641700</v>
      </c>
      <c r="BC108" s="229">
        <v>0.41149999999999998</v>
      </c>
      <c r="BD108" s="230">
        <v>172500</v>
      </c>
      <c r="BE108" s="230">
        <v>158700</v>
      </c>
      <c r="BF108" s="230">
        <v>13800</v>
      </c>
      <c r="BG108" s="229">
        <v>8.6999999999999994E-2</v>
      </c>
      <c r="BH108" s="230">
        <v>6403200</v>
      </c>
      <c r="BI108" s="230">
        <v>13568850</v>
      </c>
      <c r="BJ108" s="230">
        <v>-7165650</v>
      </c>
      <c r="BK108" s="229">
        <v>-0.52810000000000001</v>
      </c>
      <c r="BL108" s="230">
        <v>3577650</v>
      </c>
      <c r="BM108" s="230">
        <v>3632850</v>
      </c>
      <c r="BN108" s="230">
        <v>-55200</v>
      </c>
      <c r="BO108" s="229">
        <v>-1.52E-2</v>
      </c>
      <c r="BP108" s="230">
        <v>15331800</v>
      </c>
      <c r="BQ108" s="230">
        <v>22421550</v>
      </c>
      <c r="BR108" s="230">
        <v>-7089750</v>
      </c>
      <c r="BS108" s="229">
        <v>-0.31619999999999998</v>
      </c>
      <c r="BT108" s="230">
        <v>3602174</v>
      </c>
      <c r="BU108" s="230">
        <v>4328182</v>
      </c>
      <c r="BV108" s="230">
        <v>-726008</v>
      </c>
      <c r="BW108" s="229">
        <v>-0.16769999999999999</v>
      </c>
      <c r="BX108" s="230">
        <v>38602050</v>
      </c>
      <c r="BY108" s="230">
        <v>37615350</v>
      </c>
      <c r="BZ108" s="230">
        <v>986700</v>
      </c>
      <c r="CA108" s="229">
        <v>2.6200000000000001E-2</v>
      </c>
      <c r="CB108" s="230">
        <v>31012050</v>
      </c>
      <c r="CC108" s="230">
        <v>31170750</v>
      </c>
      <c r="CD108" s="230">
        <v>-158700</v>
      </c>
      <c r="CE108" s="229">
        <v>-5.1000000000000004E-3</v>
      </c>
      <c r="CF108" s="230">
        <v>6737850</v>
      </c>
      <c r="CG108" s="230">
        <v>5692500</v>
      </c>
      <c r="CH108" s="230">
        <v>1045350</v>
      </c>
      <c r="CI108" s="229">
        <v>0.18360000000000001</v>
      </c>
      <c r="CJ108" s="230">
        <v>852150</v>
      </c>
      <c r="CK108" s="230">
        <v>752100</v>
      </c>
      <c r="CL108" s="230">
        <v>100050</v>
      </c>
      <c r="CM108" s="229">
        <v>0.13300000000000001</v>
      </c>
      <c r="CN108" s="230">
        <v>19385550</v>
      </c>
      <c r="CO108" s="230">
        <v>19237200</v>
      </c>
      <c r="CP108" s="230">
        <v>148350</v>
      </c>
      <c r="CQ108" s="229">
        <v>7.7000000000000002E-3</v>
      </c>
      <c r="CR108" s="230">
        <v>11257350</v>
      </c>
      <c r="CS108" s="230">
        <v>11402250</v>
      </c>
      <c r="CT108" s="230">
        <v>-144900</v>
      </c>
      <c r="CU108" s="229">
        <v>-1.2699999999999999E-2</v>
      </c>
      <c r="CV108" s="230">
        <v>69244950</v>
      </c>
      <c r="CW108" s="230">
        <v>68254800</v>
      </c>
      <c r="CX108" s="230">
        <v>990150</v>
      </c>
      <c r="CY108" s="229">
        <v>1.4500000000000001E-2</v>
      </c>
      <c r="CZ108" s="228">
        <v>34.5</v>
      </c>
      <c r="DA108" s="228">
        <v>33.78</v>
      </c>
      <c r="DB108" s="228">
        <v>0.72</v>
      </c>
      <c r="DC108" s="228">
        <v>0.72</v>
      </c>
      <c r="DD108" s="228">
        <v>55.71</v>
      </c>
      <c r="DE108" s="228">
        <v>55.85</v>
      </c>
      <c r="DF108" s="228">
        <v>-21.21</v>
      </c>
      <c r="DG108" s="228">
        <v>-0.14000000000000001</v>
      </c>
      <c r="DH108" s="228">
        <v>33.450000000000003</v>
      </c>
      <c r="DI108" s="228">
        <v>33.17</v>
      </c>
      <c r="DJ108" s="228">
        <v>0.28000000000000003</v>
      </c>
      <c r="DK108" s="228">
        <v>0.28000000000000003</v>
      </c>
      <c r="DL108" s="228">
        <v>36.369999999999997</v>
      </c>
      <c r="DM108" s="228">
        <v>36.07</v>
      </c>
      <c r="DN108" s="228">
        <v>0.3</v>
      </c>
      <c r="DO108" s="228">
        <v>0.3</v>
      </c>
      <c r="DP108" s="228">
        <v>0.57999999999999996</v>
      </c>
      <c r="DQ108" s="228">
        <v>0.59</v>
      </c>
      <c r="DR108" s="228">
        <v>-0.01</v>
      </c>
      <c r="DS108" s="229">
        <v>-1.6899999999999998E-2</v>
      </c>
      <c r="DT108" s="228">
        <v>150</v>
      </c>
      <c r="DU108" s="228">
        <v>130</v>
      </c>
      <c r="DV108" s="228">
        <v>0.56000000000000005</v>
      </c>
      <c r="DW108" s="228">
        <v>0.27</v>
      </c>
      <c r="DX108" s="228">
        <v>0.28999999999999998</v>
      </c>
      <c r="DY108" s="229">
        <v>1.0741000000000001</v>
      </c>
      <c r="DZ108" s="229">
        <v>0.1966</v>
      </c>
      <c r="EA108" s="230">
        <v>6444600</v>
      </c>
      <c r="EB108" s="229">
        <v>-1.6000000000000001E-3</v>
      </c>
      <c r="EC108" s="229">
        <v>0.1966</v>
      </c>
      <c r="ED108" s="228">
        <v>-0.15</v>
      </c>
      <c r="EE108" s="229">
        <v>-1E-3</v>
      </c>
      <c r="EF108" s="230">
        <v>1436595</v>
      </c>
      <c r="EG108" s="230">
        <v>1590211</v>
      </c>
      <c r="EH108" s="229">
        <v>-9.6600000000000005E-2</v>
      </c>
      <c r="EI108" s="229">
        <v>0.39879999999999999</v>
      </c>
      <c r="EJ108" s="231">
        <v>9963.6</v>
      </c>
      <c r="EK108" s="231">
        <v>5308.05</v>
      </c>
      <c r="EL108" s="231">
        <v>7946.6</v>
      </c>
      <c r="EM108" s="228">
        <v>0</v>
      </c>
      <c r="EN108" s="231">
        <v>23218.25</v>
      </c>
      <c r="EO108" s="231">
        <v>34075.660000000003</v>
      </c>
      <c r="EP108" s="231">
        <v>-10857.41</v>
      </c>
      <c r="EQ108" s="229">
        <v>-0.31859999999999999</v>
      </c>
      <c r="ER108" s="231">
        <v>30695</v>
      </c>
      <c r="ES108" s="231">
        <v>16432</v>
      </c>
      <c r="ET108" s="231">
        <v>57337</v>
      </c>
      <c r="EU108" s="231">
        <v>158681547</v>
      </c>
      <c r="EV108" s="231">
        <v>104463</v>
      </c>
      <c r="EW108" s="231">
        <v>103094</v>
      </c>
      <c r="EX108" s="231">
        <v>1369</v>
      </c>
      <c r="EY108" s="229">
        <v>1.3299999999999999E-2</v>
      </c>
      <c r="EZ108" s="229">
        <v>0.43640000000000001</v>
      </c>
      <c r="FA108" s="227" t="s">
        <v>567</v>
      </c>
      <c r="FB108" s="161">
        <f t="shared" si="1"/>
        <v>7590000</v>
      </c>
    </row>
    <row r="109" spans="1:158" ht="17.25" hidden="1" thickBot="1" x14ac:dyDescent="0.3">
      <c r="A109" s="226">
        <v>45889</v>
      </c>
      <c r="B109" s="227" t="s">
        <v>215</v>
      </c>
      <c r="C109" s="227" t="s">
        <v>593</v>
      </c>
      <c r="D109" s="228">
        <v>4250</v>
      </c>
      <c r="E109" s="228">
        <v>127.2</v>
      </c>
      <c r="F109" s="228">
        <v>127.27</v>
      </c>
      <c r="G109" s="228">
        <v>-7.0000000000000007E-2</v>
      </c>
      <c r="H109" s="229">
        <v>-5.9999999999999995E-4</v>
      </c>
      <c r="I109" s="228">
        <v>126.73</v>
      </c>
      <c r="J109" s="228">
        <v>126.8</v>
      </c>
      <c r="K109" s="228">
        <v>-7.0000000000000007E-2</v>
      </c>
      <c r="L109" s="229">
        <v>-5.9999999999999995E-4</v>
      </c>
      <c r="M109" s="228">
        <v>127.2</v>
      </c>
      <c r="N109" s="228">
        <v>127.27</v>
      </c>
      <c r="O109" s="228">
        <v>-7.0000000000000007E-2</v>
      </c>
      <c r="P109" s="229">
        <v>-5.9999999999999995E-4</v>
      </c>
      <c r="Q109" s="228">
        <v>127.48</v>
      </c>
      <c r="R109" s="228">
        <v>127.51</v>
      </c>
      <c r="S109" s="228">
        <v>-0.03</v>
      </c>
      <c r="T109" s="229">
        <v>-2.0000000000000001E-4</v>
      </c>
      <c r="U109" s="228">
        <v>127.75</v>
      </c>
      <c r="V109" s="228">
        <v>127.73</v>
      </c>
      <c r="W109" s="228">
        <v>0.02</v>
      </c>
      <c r="X109" s="229">
        <v>2.0000000000000001E-4</v>
      </c>
      <c r="Y109" s="228">
        <v>0.47</v>
      </c>
      <c r="Z109" s="228">
        <v>0.47</v>
      </c>
      <c r="AA109" s="228">
        <v>0</v>
      </c>
      <c r="AB109" s="229">
        <v>3.7000000000000002E-3</v>
      </c>
      <c r="AC109" s="228">
        <v>0.47</v>
      </c>
      <c r="AD109" s="228">
        <v>0.47</v>
      </c>
      <c r="AE109" s="228">
        <v>0</v>
      </c>
      <c r="AF109" s="229">
        <v>3.7000000000000002E-3</v>
      </c>
      <c r="AG109" s="228">
        <v>0.75</v>
      </c>
      <c r="AH109" s="228">
        <v>0.71</v>
      </c>
      <c r="AI109" s="228">
        <v>0.04</v>
      </c>
      <c r="AJ109" s="229">
        <v>5.8999999999999999E-3</v>
      </c>
      <c r="AK109" s="228">
        <v>1.02</v>
      </c>
      <c r="AL109" s="228">
        <v>0.93</v>
      </c>
      <c r="AM109" s="228">
        <v>0.09</v>
      </c>
      <c r="AN109" s="229">
        <v>8.0000000000000002E-3</v>
      </c>
      <c r="AO109" s="228">
        <v>127.09</v>
      </c>
      <c r="AP109" s="228">
        <v>127.39</v>
      </c>
      <c r="AQ109" s="228">
        <v>0</v>
      </c>
      <c r="AR109" s="230">
        <v>7696750</v>
      </c>
      <c r="AS109" s="230">
        <v>7475750</v>
      </c>
      <c r="AT109" s="230">
        <v>221000</v>
      </c>
      <c r="AU109" s="229">
        <v>2.9600000000000001E-2</v>
      </c>
      <c r="AV109" s="230">
        <v>5078750</v>
      </c>
      <c r="AW109" s="230">
        <v>5712000</v>
      </c>
      <c r="AX109" s="230">
        <v>-633250</v>
      </c>
      <c r="AY109" s="229">
        <v>-0.1109</v>
      </c>
      <c r="AZ109" s="230">
        <v>2282250</v>
      </c>
      <c r="BA109" s="230">
        <v>1581000</v>
      </c>
      <c r="BB109" s="230">
        <v>701250</v>
      </c>
      <c r="BC109" s="229">
        <v>0.44350000000000001</v>
      </c>
      <c r="BD109" s="230">
        <v>335750</v>
      </c>
      <c r="BE109" s="230">
        <v>182750</v>
      </c>
      <c r="BF109" s="230">
        <v>153000</v>
      </c>
      <c r="BG109" s="229">
        <v>0.83720000000000006</v>
      </c>
      <c r="BH109" s="230">
        <v>24607500</v>
      </c>
      <c r="BI109" s="230">
        <v>28980750</v>
      </c>
      <c r="BJ109" s="230">
        <v>-4373250</v>
      </c>
      <c r="BK109" s="229">
        <v>-0.15090000000000001</v>
      </c>
      <c r="BL109" s="230">
        <v>10404000</v>
      </c>
      <c r="BM109" s="230">
        <v>9163000</v>
      </c>
      <c r="BN109" s="230">
        <v>1241000</v>
      </c>
      <c r="BO109" s="229">
        <v>0.13539999999999999</v>
      </c>
      <c r="BP109" s="230">
        <v>42708250</v>
      </c>
      <c r="BQ109" s="230">
        <v>45619500</v>
      </c>
      <c r="BR109" s="230">
        <v>-2911250</v>
      </c>
      <c r="BS109" s="229">
        <v>-6.3799999999999996E-2</v>
      </c>
      <c r="BT109" s="230">
        <v>9442748</v>
      </c>
      <c r="BU109" s="230">
        <v>8556008</v>
      </c>
      <c r="BV109" s="230">
        <v>886740</v>
      </c>
      <c r="BW109" s="229">
        <v>0.1036</v>
      </c>
      <c r="BX109" s="230">
        <v>45938250</v>
      </c>
      <c r="BY109" s="230">
        <v>44714250</v>
      </c>
      <c r="BZ109" s="230">
        <v>1224000</v>
      </c>
      <c r="CA109" s="229">
        <v>2.7400000000000001E-2</v>
      </c>
      <c r="CB109" s="230">
        <v>37871750</v>
      </c>
      <c r="CC109" s="230">
        <v>37965250</v>
      </c>
      <c r="CD109" s="230">
        <v>-93500</v>
      </c>
      <c r="CE109" s="229">
        <v>-2.5000000000000001E-3</v>
      </c>
      <c r="CF109" s="230">
        <v>6987000</v>
      </c>
      <c r="CG109" s="230">
        <v>5877750</v>
      </c>
      <c r="CH109" s="230">
        <v>1109250</v>
      </c>
      <c r="CI109" s="229">
        <v>0.18870000000000001</v>
      </c>
      <c r="CJ109" s="230">
        <v>1079500</v>
      </c>
      <c r="CK109" s="230">
        <v>871250</v>
      </c>
      <c r="CL109" s="230">
        <v>208250</v>
      </c>
      <c r="CM109" s="229">
        <v>0.23899999999999999</v>
      </c>
      <c r="CN109" s="230">
        <v>36465000</v>
      </c>
      <c r="CO109" s="230">
        <v>35785000</v>
      </c>
      <c r="CP109" s="230">
        <v>680000</v>
      </c>
      <c r="CQ109" s="229">
        <v>1.9E-2</v>
      </c>
      <c r="CR109" s="230">
        <v>15848250</v>
      </c>
      <c r="CS109" s="230">
        <v>15325500</v>
      </c>
      <c r="CT109" s="230">
        <v>522750</v>
      </c>
      <c r="CU109" s="229">
        <v>3.4099999999999998E-2</v>
      </c>
      <c r="CV109" s="230">
        <v>98251500</v>
      </c>
      <c r="CW109" s="230">
        <v>95824750</v>
      </c>
      <c r="CX109" s="230">
        <v>2426750</v>
      </c>
      <c r="CY109" s="229">
        <v>2.53E-2</v>
      </c>
      <c r="CZ109" s="228">
        <v>30.91</v>
      </c>
      <c r="DA109" s="228">
        <v>32</v>
      </c>
      <c r="DB109" s="228">
        <v>-1.0900000000000001</v>
      </c>
      <c r="DC109" s="228">
        <v>-1.0900000000000001</v>
      </c>
      <c r="DD109" s="228">
        <v>51.16</v>
      </c>
      <c r="DE109" s="228">
        <v>51.29</v>
      </c>
      <c r="DF109" s="228">
        <v>-20.25</v>
      </c>
      <c r="DG109" s="228">
        <v>-0.13</v>
      </c>
      <c r="DH109" s="228">
        <v>31.33</v>
      </c>
      <c r="DI109" s="228">
        <v>32.21</v>
      </c>
      <c r="DJ109" s="228">
        <v>-0.88</v>
      </c>
      <c r="DK109" s="228">
        <v>-0.88</v>
      </c>
      <c r="DL109" s="228">
        <v>29.92</v>
      </c>
      <c r="DM109" s="228">
        <v>31.31</v>
      </c>
      <c r="DN109" s="228">
        <v>-1.39</v>
      </c>
      <c r="DO109" s="228">
        <v>-1.39</v>
      </c>
      <c r="DP109" s="228">
        <v>0.43</v>
      </c>
      <c r="DQ109" s="228">
        <v>0.43</v>
      </c>
      <c r="DR109" s="228">
        <v>0</v>
      </c>
      <c r="DS109" s="229">
        <v>0</v>
      </c>
      <c r="DT109" s="228">
        <v>135</v>
      </c>
      <c r="DU109" s="228">
        <v>125</v>
      </c>
      <c r="DV109" s="228">
        <v>0.42</v>
      </c>
      <c r="DW109" s="228">
        <v>0.32</v>
      </c>
      <c r="DX109" s="228">
        <v>0.1</v>
      </c>
      <c r="DY109" s="229">
        <v>0.3125</v>
      </c>
      <c r="DZ109" s="229">
        <v>0.17560000000000001</v>
      </c>
      <c r="EA109" s="230">
        <v>6749000</v>
      </c>
      <c r="EB109" s="229">
        <v>2.2000000000000001E-3</v>
      </c>
      <c r="EC109" s="229">
        <v>0.17560000000000001</v>
      </c>
      <c r="ED109" s="228">
        <v>0.3</v>
      </c>
      <c r="EE109" s="229">
        <v>2.3999999999999998E-3</v>
      </c>
      <c r="EF109" s="230">
        <v>2880585</v>
      </c>
      <c r="EG109" s="230">
        <v>3182602</v>
      </c>
      <c r="EH109" s="229">
        <v>-9.4899999999999998E-2</v>
      </c>
      <c r="EI109" s="229">
        <v>0.30509999999999998</v>
      </c>
      <c r="EJ109" s="231">
        <v>32620.81</v>
      </c>
      <c r="EK109" s="231">
        <v>13147.31</v>
      </c>
      <c r="EL109" s="231">
        <v>9790.23</v>
      </c>
      <c r="EM109" s="228">
        <v>0</v>
      </c>
      <c r="EN109" s="231">
        <v>55558.35</v>
      </c>
      <c r="EO109" s="231">
        <v>59567.66</v>
      </c>
      <c r="EP109" s="231">
        <v>-4009.31</v>
      </c>
      <c r="EQ109" s="229">
        <v>-6.7299999999999999E-2</v>
      </c>
      <c r="ER109" s="231">
        <v>49811</v>
      </c>
      <c r="ES109" s="231">
        <v>20150</v>
      </c>
      <c r="ET109" s="231">
        <v>58459</v>
      </c>
      <c r="EU109" s="231">
        <v>356413800</v>
      </c>
      <c r="EV109" s="231">
        <v>128421</v>
      </c>
      <c r="EW109" s="231">
        <v>125423</v>
      </c>
      <c r="EX109" s="231">
        <v>2998</v>
      </c>
      <c r="EY109" s="229">
        <v>2.3900000000000001E-2</v>
      </c>
      <c r="EZ109" s="229">
        <v>0.2757</v>
      </c>
      <c r="FA109" s="227" t="s">
        <v>567</v>
      </c>
      <c r="FB109" s="161">
        <f t="shared" si="1"/>
        <v>8066500</v>
      </c>
    </row>
    <row r="110" spans="1:158" ht="17.25" hidden="1" thickBot="1" x14ac:dyDescent="0.3">
      <c r="A110" s="226">
        <v>45889</v>
      </c>
      <c r="B110" s="227" t="s">
        <v>168</v>
      </c>
      <c r="C110" s="227" t="s">
        <v>242</v>
      </c>
      <c r="D110" s="228">
        <v>1600</v>
      </c>
      <c r="E110" s="228">
        <v>407.25</v>
      </c>
      <c r="F110" s="228">
        <v>409.55</v>
      </c>
      <c r="G110" s="228">
        <v>-2.2999999999999998</v>
      </c>
      <c r="H110" s="229">
        <v>-5.5999999999999999E-3</v>
      </c>
      <c r="I110" s="228">
        <v>406.05</v>
      </c>
      <c r="J110" s="228">
        <v>409.1</v>
      </c>
      <c r="K110" s="228">
        <v>-3.05</v>
      </c>
      <c r="L110" s="229">
        <v>-7.4999999999999997E-3</v>
      </c>
      <c r="M110" s="228">
        <v>407.25</v>
      </c>
      <c r="N110" s="228">
        <v>409.55</v>
      </c>
      <c r="O110" s="228">
        <v>-2.2999999999999998</v>
      </c>
      <c r="P110" s="229">
        <v>-5.5999999999999999E-3</v>
      </c>
      <c r="Q110" s="228">
        <v>409.45</v>
      </c>
      <c r="R110" s="228">
        <v>411.9</v>
      </c>
      <c r="S110" s="228">
        <v>-2.4500000000000002</v>
      </c>
      <c r="T110" s="229">
        <v>-5.8999999999999999E-3</v>
      </c>
      <c r="U110" s="228">
        <v>411.6</v>
      </c>
      <c r="V110" s="228">
        <v>413.8</v>
      </c>
      <c r="W110" s="228">
        <v>-2.2000000000000002</v>
      </c>
      <c r="X110" s="229">
        <v>-5.3E-3</v>
      </c>
      <c r="Y110" s="228">
        <v>1.2</v>
      </c>
      <c r="Z110" s="228">
        <v>0.45</v>
      </c>
      <c r="AA110" s="228">
        <v>0.75</v>
      </c>
      <c r="AB110" s="229">
        <v>3.0000000000000001E-3</v>
      </c>
      <c r="AC110" s="228">
        <v>1.2</v>
      </c>
      <c r="AD110" s="228">
        <v>0.45</v>
      </c>
      <c r="AE110" s="228">
        <v>0.75</v>
      </c>
      <c r="AF110" s="229">
        <v>3.0000000000000001E-3</v>
      </c>
      <c r="AG110" s="228">
        <v>3.4</v>
      </c>
      <c r="AH110" s="228">
        <v>2.8</v>
      </c>
      <c r="AI110" s="228">
        <v>0.6</v>
      </c>
      <c r="AJ110" s="229">
        <v>8.3999999999999995E-3</v>
      </c>
      <c r="AK110" s="228">
        <v>5.55</v>
      </c>
      <c r="AL110" s="228">
        <v>4.7</v>
      </c>
      <c r="AM110" s="228">
        <v>0.85</v>
      </c>
      <c r="AN110" s="229">
        <v>1.37E-2</v>
      </c>
      <c r="AO110" s="228">
        <v>408.86</v>
      </c>
      <c r="AP110" s="228">
        <v>410.76</v>
      </c>
      <c r="AQ110" s="228">
        <v>0</v>
      </c>
      <c r="AR110" s="230">
        <v>21107200</v>
      </c>
      <c r="AS110" s="230">
        <v>11796800</v>
      </c>
      <c r="AT110" s="230">
        <v>9310400</v>
      </c>
      <c r="AU110" s="229">
        <v>0.78920000000000001</v>
      </c>
      <c r="AV110" s="230">
        <v>15155200</v>
      </c>
      <c r="AW110" s="230">
        <v>9593600</v>
      </c>
      <c r="AX110" s="230">
        <v>5561600</v>
      </c>
      <c r="AY110" s="229">
        <v>0.57969999999999999</v>
      </c>
      <c r="AZ110" s="230">
        <v>5753600</v>
      </c>
      <c r="BA110" s="230">
        <v>1907200</v>
      </c>
      <c r="BB110" s="230">
        <v>3846400</v>
      </c>
      <c r="BC110" s="229">
        <v>2.0167999999999999</v>
      </c>
      <c r="BD110" s="230">
        <v>198400</v>
      </c>
      <c r="BE110" s="230">
        <v>296000</v>
      </c>
      <c r="BF110" s="230">
        <v>-97600</v>
      </c>
      <c r="BG110" s="229">
        <v>-0.32969999999999999</v>
      </c>
      <c r="BH110" s="230">
        <v>51916800</v>
      </c>
      <c r="BI110" s="230">
        <v>48574400</v>
      </c>
      <c r="BJ110" s="230">
        <v>3342400</v>
      </c>
      <c r="BK110" s="229">
        <v>6.88E-2</v>
      </c>
      <c r="BL110" s="230">
        <v>27894400</v>
      </c>
      <c r="BM110" s="230">
        <v>28814400</v>
      </c>
      <c r="BN110" s="230">
        <v>-920000</v>
      </c>
      <c r="BO110" s="229">
        <v>-3.1899999999999998E-2</v>
      </c>
      <c r="BP110" s="230">
        <v>100918400</v>
      </c>
      <c r="BQ110" s="230">
        <v>89185600</v>
      </c>
      <c r="BR110" s="230">
        <v>11732800</v>
      </c>
      <c r="BS110" s="229">
        <v>0.13159999999999999</v>
      </c>
      <c r="BT110" s="230">
        <v>19485148</v>
      </c>
      <c r="BU110" s="230">
        <v>17578231</v>
      </c>
      <c r="BV110" s="230">
        <v>1906917</v>
      </c>
      <c r="BW110" s="229">
        <v>0.1085</v>
      </c>
      <c r="BX110" s="230">
        <v>106606400</v>
      </c>
      <c r="BY110" s="230">
        <v>99910400</v>
      </c>
      <c r="BZ110" s="230">
        <v>6696000</v>
      </c>
      <c r="CA110" s="229">
        <v>6.7000000000000004E-2</v>
      </c>
      <c r="CB110" s="230">
        <v>89446400</v>
      </c>
      <c r="CC110" s="230">
        <v>87393600</v>
      </c>
      <c r="CD110" s="230">
        <v>2052800</v>
      </c>
      <c r="CE110" s="229">
        <v>2.35E-2</v>
      </c>
      <c r="CF110" s="230">
        <v>14667200</v>
      </c>
      <c r="CG110" s="230">
        <v>10128000</v>
      </c>
      <c r="CH110" s="230">
        <v>4539200</v>
      </c>
      <c r="CI110" s="229">
        <v>0.44819999999999999</v>
      </c>
      <c r="CJ110" s="230">
        <v>2492800</v>
      </c>
      <c r="CK110" s="230">
        <v>2388800</v>
      </c>
      <c r="CL110" s="230">
        <v>104000</v>
      </c>
      <c r="CM110" s="229">
        <v>4.3499999999999997E-2</v>
      </c>
      <c r="CN110" s="230">
        <v>60032000</v>
      </c>
      <c r="CO110" s="230">
        <v>58444800</v>
      </c>
      <c r="CP110" s="230">
        <v>1587200</v>
      </c>
      <c r="CQ110" s="229">
        <v>2.7199999999999998E-2</v>
      </c>
      <c r="CR110" s="230">
        <v>32172800</v>
      </c>
      <c r="CS110" s="230">
        <v>30732800</v>
      </c>
      <c r="CT110" s="230">
        <v>1440000</v>
      </c>
      <c r="CU110" s="229">
        <v>4.6899999999999997E-2</v>
      </c>
      <c r="CV110" s="230">
        <v>198811200</v>
      </c>
      <c r="CW110" s="230">
        <v>189088000</v>
      </c>
      <c r="CX110" s="230">
        <v>9723200</v>
      </c>
      <c r="CY110" s="229">
        <v>5.1400000000000001E-2</v>
      </c>
      <c r="CZ110" s="228">
        <v>17.52</v>
      </c>
      <c r="DA110" s="228">
        <v>15.94</v>
      </c>
      <c r="DB110" s="228">
        <v>1.58</v>
      </c>
      <c r="DC110" s="228">
        <v>1.58</v>
      </c>
      <c r="DD110" s="228">
        <v>20.170000000000002</v>
      </c>
      <c r="DE110" s="228">
        <v>20.2</v>
      </c>
      <c r="DF110" s="228">
        <v>-2.65</v>
      </c>
      <c r="DG110" s="228">
        <v>-0.03</v>
      </c>
      <c r="DH110" s="228">
        <v>17.79</v>
      </c>
      <c r="DI110" s="228">
        <v>15.85</v>
      </c>
      <c r="DJ110" s="228">
        <v>1.94</v>
      </c>
      <c r="DK110" s="228">
        <v>1.94</v>
      </c>
      <c r="DL110" s="228">
        <v>17.03</v>
      </c>
      <c r="DM110" s="228">
        <v>16.09</v>
      </c>
      <c r="DN110" s="228">
        <v>0.94</v>
      </c>
      <c r="DO110" s="228">
        <v>0.94</v>
      </c>
      <c r="DP110" s="228">
        <v>0.54</v>
      </c>
      <c r="DQ110" s="228">
        <v>0.53</v>
      </c>
      <c r="DR110" s="228">
        <v>0.01</v>
      </c>
      <c r="DS110" s="229">
        <v>1.89E-2</v>
      </c>
      <c r="DT110" s="228">
        <v>420</v>
      </c>
      <c r="DU110" s="228">
        <v>410</v>
      </c>
      <c r="DV110" s="228">
        <v>0.54</v>
      </c>
      <c r="DW110" s="228">
        <v>0.59</v>
      </c>
      <c r="DX110" s="228">
        <v>-0.05</v>
      </c>
      <c r="DY110" s="229">
        <v>-8.4699999999999998E-2</v>
      </c>
      <c r="DZ110" s="229">
        <v>0.161</v>
      </c>
      <c r="EA110" s="230">
        <v>12516800</v>
      </c>
      <c r="EB110" s="229">
        <v>5.4000000000000003E-3</v>
      </c>
      <c r="EC110" s="229">
        <v>0.161</v>
      </c>
      <c r="ED110" s="228">
        <v>1.9</v>
      </c>
      <c r="EE110" s="229">
        <v>4.5999999999999999E-3</v>
      </c>
      <c r="EF110" s="230">
        <v>15715348</v>
      </c>
      <c r="EG110" s="230">
        <v>13050452</v>
      </c>
      <c r="EH110" s="229">
        <v>0.20419999999999999</v>
      </c>
      <c r="EI110" s="229">
        <v>0.80649999999999999</v>
      </c>
      <c r="EJ110" s="231">
        <v>217675.45</v>
      </c>
      <c r="EK110" s="231">
        <v>113889.12</v>
      </c>
      <c r="EL110" s="231">
        <v>86416</v>
      </c>
      <c r="EM110" s="228">
        <v>0</v>
      </c>
      <c r="EN110" s="231">
        <v>417980.57</v>
      </c>
      <c r="EO110" s="231">
        <v>368834.57</v>
      </c>
      <c r="EP110" s="231">
        <v>49146</v>
      </c>
      <c r="EQ110" s="229">
        <v>0.13320000000000001</v>
      </c>
      <c r="ER110" s="231">
        <v>254651</v>
      </c>
      <c r="ES110" s="231">
        <v>131063</v>
      </c>
      <c r="ET110" s="231">
        <v>434586</v>
      </c>
      <c r="EU110" s="231">
        <v>2502825682</v>
      </c>
      <c r="EV110" s="231">
        <v>820300</v>
      </c>
      <c r="EW110" s="231">
        <v>783295</v>
      </c>
      <c r="EX110" s="231">
        <v>37005</v>
      </c>
      <c r="EY110" s="229">
        <v>4.7199999999999999E-2</v>
      </c>
      <c r="EZ110" s="229">
        <v>7.9399999999999998E-2</v>
      </c>
      <c r="FA110" s="227" t="s">
        <v>567</v>
      </c>
      <c r="FB110" s="161">
        <f t="shared" si="1"/>
        <v>17160000</v>
      </c>
    </row>
    <row r="111" spans="1:158" ht="17.25" hidden="1" thickBot="1" x14ac:dyDescent="0.3">
      <c r="A111" s="226">
        <v>45889</v>
      </c>
      <c r="B111" s="227" t="s">
        <v>227</v>
      </c>
      <c r="C111" s="227" t="s">
        <v>243</v>
      </c>
      <c r="D111" s="228">
        <v>625</v>
      </c>
      <c r="E111" s="231">
        <v>1014.8</v>
      </c>
      <c r="F111" s="231">
        <v>1006.4</v>
      </c>
      <c r="G111" s="228">
        <v>8.4</v>
      </c>
      <c r="H111" s="229">
        <v>8.3000000000000001E-3</v>
      </c>
      <c r="I111" s="231">
        <v>1016.25</v>
      </c>
      <c r="J111" s="231">
        <v>1005.25</v>
      </c>
      <c r="K111" s="228">
        <v>11</v>
      </c>
      <c r="L111" s="229">
        <v>1.09E-2</v>
      </c>
      <c r="M111" s="231">
        <v>1014.8</v>
      </c>
      <c r="N111" s="231">
        <v>1006.4</v>
      </c>
      <c r="O111" s="228">
        <v>8.4</v>
      </c>
      <c r="P111" s="229">
        <v>8.3000000000000001E-3</v>
      </c>
      <c r="Q111" s="231">
        <v>1020.85</v>
      </c>
      <c r="R111" s="231">
        <v>1011.95</v>
      </c>
      <c r="S111" s="228">
        <v>8.9</v>
      </c>
      <c r="T111" s="229">
        <v>8.8000000000000005E-3</v>
      </c>
      <c r="U111" s="231">
        <v>1025.55</v>
      </c>
      <c r="V111" s="231">
        <v>1017.4</v>
      </c>
      <c r="W111" s="228">
        <v>8.15</v>
      </c>
      <c r="X111" s="229">
        <v>8.0000000000000002E-3</v>
      </c>
      <c r="Y111" s="228">
        <v>-1.45</v>
      </c>
      <c r="Z111" s="228">
        <v>1.1499999999999999</v>
      </c>
      <c r="AA111" s="228">
        <v>-2.6</v>
      </c>
      <c r="AB111" s="229">
        <v>-1.4E-3</v>
      </c>
      <c r="AC111" s="228">
        <v>-1.45</v>
      </c>
      <c r="AD111" s="228">
        <v>1.1499999999999999</v>
      </c>
      <c r="AE111" s="228">
        <v>-2.6</v>
      </c>
      <c r="AF111" s="229">
        <v>-1.4E-3</v>
      </c>
      <c r="AG111" s="228">
        <v>4.5999999999999996</v>
      </c>
      <c r="AH111" s="228">
        <v>6.7</v>
      </c>
      <c r="AI111" s="228">
        <v>-2.1</v>
      </c>
      <c r="AJ111" s="229">
        <v>4.4999999999999997E-3</v>
      </c>
      <c r="AK111" s="228">
        <v>9.3000000000000007</v>
      </c>
      <c r="AL111" s="228">
        <v>12.15</v>
      </c>
      <c r="AM111" s="228">
        <v>-2.85</v>
      </c>
      <c r="AN111" s="229">
        <v>9.1999999999999998E-3</v>
      </c>
      <c r="AO111" s="231">
        <v>1015.05</v>
      </c>
      <c r="AP111" s="231">
        <v>1022.52</v>
      </c>
      <c r="AQ111" s="228">
        <v>0</v>
      </c>
      <c r="AR111" s="230">
        <v>4362500</v>
      </c>
      <c r="AS111" s="230">
        <v>2746250</v>
      </c>
      <c r="AT111" s="230">
        <v>1616250</v>
      </c>
      <c r="AU111" s="229">
        <v>0.58850000000000002</v>
      </c>
      <c r="AV111" s="230">
        <v>2968750</v>
      </c>
      <c r="AW111" s="230">
        <v>2201250</v>
      </c>
      <c r="AX111" s="230">
        <v>767500</v>
      </c>
      <c r="AY111" s="229">
        <v>0.34870000000000001</v>
      </c>
      <c r="AZ111" s="230">
        <v>1376250</v>
      </c>
      <c r="BA111" s="230">
        <v>531250</v>
      </c>
      <c r="BB111" s="230">
        <v>845000</v>
      </c>
      <c r="BC111" s="229">
        <v>1.5906</v>
      </c>
      <c r="BD111" s="230">
        <v>17500</v>
      </c>
      <c r="BE111" s="230">
        <v>13750</v>
      </c>
      <c r="BF111" s="230">
        <v>3750</v>
      </c>
      <c r="BG111" s="229">
        <v>0.2727</v>
      </c>
      <c r="BH111" s="230">
        <v>8173125</v>
      </c>
      <c r="BI111" s="230">
        <v>6451875</v>
      </c>
      <c r="BJ111" s="230">
        <v>1721250</v>
      </c>
      <c r="BK111" s="229">
        <v>0.26679999999999998</v>
      </c>
      <c r="BL111" s="230">
        <v>3541875</v>
      </c>
      <c r="BM111" s="230">
        <v>2944375</v>
      </c>
      <c r="BN111" s="230">
        <v>597500</v>
      </c>
      <c r="BO111" s="229">
        <v>0.2029</v>
      </c>
      <c r="BP111" s="230">
        <v>16077500</v>
      </c>
      <c r="BQ111" s="230">
        <v>12142500</v>
      </c>
      <c r="BR111" s="230">
        <v>3935000</v>
      </c>
      <c r="BS111" s="229">
        <v>0.3241</v>
      </c>
      <c r="BT111" s="230">
        <v>1614870</v>
      </c>
      <c r="BU111" s="230">
        <v>1150289</v>
      </c>
      <c r="BV111" s="230">
        <v>464581</v>
      </c>
      <c r="BW111" s="229">
        <v>0.40389999999999998</v>
      </c>
      <c r="BX111" s="230">
        <v>13615625</v>
      </c>
      <c r="BY111" s="230">
        <v>13326875</v>
      </c>
      <c r="BZ111" s="230">
        <v>288750</v>
      </c>
      <c r="CA111" s="229">
        <v>2.1700000000000001E-2</v>
      </c>
      <c r="CB111" s="230">
        <v>11722500</v>
      </c>
      <c r="CC111" s="230">
        <v>12511875</v>
      </c>
      <c r="CD111" s="230">
        <v>-789375</v>
      </c>
      <c r="CE111" s="229">
        <v>-6.3100000000000003E-2</v>
      </c>
      <c r="CF111" s="230">
        <v>1846250</v>
      </c>
      <c r="CG111" s="230">
        <v>768750</v>
      </c>
      <c r="CH111" s="230">
        <v>1077500</v>
      </c>
      <c r="CI111" s="229">
        <v>1.4016</v>
      </c>
      <c r="CJ111" s="230">
        <v>46875</v>
      </c>
      <c r="CK111" s="230">
        <v>46250</v>
      </c>
      <c r="CL111" s="228">
        <v>625</v>
      </c>
      <c r="CM111" s="229">
        <v>1.35E-2</v>
      </c>
      <c r="CN111" s="230">
        <v>4409375</v>
      </c>
      <c r="CO111" s="230">
        <v>4685625</v>
      </c>
      <c r="CP111" s="230">
        <v>-276250</v>
      </c>
      <c r="CQ111" s="229">
        <v>-5.8999999999999997E-2</v>
      </c>
      <c r="CR111" s="230">
        <v>3651250</v>
      </c>
      <c r="CS111" s="230">
        <v>3698125</v>
      </c>
      <c r="CT111" s="230">
        <v>-46875</v>
      </c>
      <c r="CU111" s="229">
        <v>-1.2699999999999999E-2</v>
      </c>
      <c r="CV111" s="230">
        <v>21676250</v>
      </c>
      <c r="CW111" s="230">
        <v>21710625</v>
      </c>
      <c r="CX111" s="230">
        <v>-34375</v>
      </c>
      <c r="CY111" s="229">
        <v>-1.6000000000000001E-3</v>
      </c>
      <c r="CZ111" s="228">
        <v>23.48</v>
      </c>
      <c r="DA111" s="228">
        <v>25.35</v>
      </c>
      <c r="DB111" s="228">
        <v>-1.87</v>
      </c>
      <c r="DC111" s="228">
        <v>-1.87</v>
      </c>
      <c r="DD111" s="228">
        <v>37.22</v>
      </c>
      <c r="DE111" s="228">
        <v>37.29</v>
      </c>
      <c r="DF111" s="228">
        <v>-13.74</v>
      </c>
      <c r="DG111" s="228">
        <v>-7.0000000000000007E-2</v>
      </c>
      <c r="DH111" s="228">
        <v>23.05</v>
      </c>
      <c r="DI111" s="228">
        <v>24.69</v>
      </c>
      <c r="DJ111" s="228">
        <v>-1.64</v>
      </c>
      <c r="DK111" s="228">
        <v>-1.64</v>
      </c>
      <c r="DL111" s="228">
        <v>24.47</v>
      </c>
      <c r="DM111" s="228">
        <v>26.79</v>
      </c>
      <c r="DN111" s="228">
        <v>-2.3199999999999998</v>
      </c>
      <c r="DO111" s="228">
        <v>-2.3199999999999998</v>
      </c>
      <c r="DP111" s="228">
        <v>0.83</v>
      </c>
      <c r="DQ111" s="228">
        <v>0.79</v>
      </c>
      <c r="DR111" s="228">
        <v>0.04</v>
      </c>
      <c r="DS111" s="229">
        <v>5.0599999999999999E-2</v>
      </c>
      <c r="DT111" s="231">
        <v>1000</v>
      </c>
      <c r="DU111" s="228">
        <v>950</v>
      </c>
      <c r="DV111" s="228">
        <v>0.43</v>
      </c>
      <c r="DW111" s="228">
        <v>0.46</v>
      </c>
      <c r="DX111" s="228">
        <v>-0.03</v>
      </c>
      <c r="DY111" s="229">
        <v>-6.5199999999999994E-2</v>
      </c>
      <c r="DZ111" s="229">
        <v>0.13900000000000001</v>
      </c>
      <c r="EA111" s="230">
        <v>815000</v>
      </c>
      <c r="EB111" s="229">
        <v>6.0000000000000001E-3</v>
      </c>
      <c r="EC111" s="229">
        <v>0.13900000000000001</v>
      </c>
      <c r="ED111" s="228">
        <v>7.47</v>
      </c>
      <c r="EE111" s="229">
        <v>7.4000000000000003E-3</v>
      </c>
      <c r="EF111" s="230">
        <v>594984</v>
      </c>
      <c r="EG111" s="230">
        <v>559758</v>
      </c>
      <c r="EH111" s="229">
        <v>6.2899999999999998E-2</v>
      </c>
      <c r="EI111" s="229">
        <v>0.36840000000000001</v>
      </c>
      <c r="EJ111" s="231">
        <v>84822.89</v>
      </c>
      <c r="EK111" s="231">
        <v>35239.49</v>
      </c>
      <c r="EL111" s="231">
        <v>44385.62</v>
      </c>
      <c r="EM111" s="228">
        <v>0</v>
      </c>
      <c r="EN111" s="231">
        <v>164448</v>
      </c>
      <c r="EO111" s="231">
        <v>122801.05</v>
      </c>
      <c r="EP111" s="231">
        <v>41646.949999999997</v>
      </c>
      <c r="EQ111" s="229">
        <v>0.33910000000000001</v>
      </c>
      <c r="ER111" s="231">
        <v>45752</v>
      </c>
      <c r="ES111" s="231">
        <v>34908</v>
      </c>
      <c r="ET111" s="231">
        <v>138288</v>
      </c>
      <c r="EU111" s="231">
        <v>76274904</v>
      </c>
      <c r="EV111" s="231">
        <v>218947</v>
      </c>
      <c r="EW111" s="231">
        <v>217841</v>
      </c>
      <c r="EX111" s="231">
        <v>1106</v>
      </c>
      <c r="EY111" s="229">
        <v>5.1000000000000004E-3</v>
      </c>
      <c r="EZ111" s="229">
        <v>0.28420000000000001</v>
      </c>
      <c r="FA111" s="227" t="s">
        <v>555</v>
      </c>
      <c r="FB111" s="161">
        <f t="shared" si="1"/>
        <v>1893125</v>
      </c>
    </row>
    <row r="112" spans="1:158" ht="17.25" hidden="1" thickBot="1" x14ac:dyDescent="0.3">
      <c r="A112" s="226">
        <v>45889</v>
      </c>
      <c r="B112" s="227" t="s">
        <v>175</v>
      </c>
      <c r="C112" s="227" t="s">
        <v>571</v>
      </c>
      <c r="D112" s="228">
        <v>2350</v>
      </c>
      <c r="E112" s="228">
        <v>329.05</v>
      </c>
      <c r="F112" s="228">
        <v>332.4</v>
      </c>
      <c r="G112" s="228">
        <v>-3.35</v>
      </c>
      <c r="H112" s="229">
        <v>-1.01E-2</v>
      </c>
      <c r="I112" s="228">
        <v>328.45</v>
      </c>
      <c r="J112" s="228">
        <v>331.3</v>
      </c>
      <c r="K112" s="228">
        <v>-2.85</v>
      </c>
      <c r="L112" s="229">
        <v>-8.6E-3</v>
      </c>
      <c r="M112" s="228">
        <v>329.05</v>
      </c>
      <c r="N112" s="228">
        <v>332.4</v>
      </c>
      <c r="O112" s="228">
        <v>-3.35</v>
      </c>
      <c r="P112" s="229">
        <v>-1.01E-2</v>
      </c>
      <c r="Q112" s="228">
        <v>331.1</v>
      </c>
      <c r="R112" s="228">
        <v>334.25</v>
      </c>
      <c r="S112" s="228">
        <v>-3.15</v>
      </c>
      <c r="T112" s="229">
        <v>-9.4000000000000004E-3</v>
      </c>
      <c r="U112" s="228">
        <v>332.55</v>
      </c>
      <c r="V112" s="228">
        <v>335.8</v>
      </c>
      <c r="W112" s="228">
        <v>-3.25</v>
      </c>
      <c r="X112" s="229">
        <v>-9.7000000000000003E-3</v>
      </c>
      <c r="Y112" s="228">
        <v>0.6</v>
      </c>
      <c r="Z112" s="228">
        <v>1.1000000000000001</v>
      </c>
      <c r="AA112" s="228">
        <v>-0.5</v>
      </c>
      <c r="AB112" s="229">
        <v>1.8E-3</v>
      </c>
      <c r="AC112" s="228">
        <v>0.6</v>
      </c>
      <c r="AD112" s="228">
        <v>1.1000000000000001</v>
      </c>
      <c r="AE112" s="228">
        <v>-0.5</v>
      </c>
      <c r="AF112" s="229">
        <v>1.8E-3</v>
      </c>
      <c r="AG112" s="228">
        <v>2.65</v>
      </c>
      <c r="AH112" s="228">
        <v>2.95</v>
      </c>
      <c r="AI112" s="228">
        <v>-0.3</v>
      </c>
      <c r="AJ112" s="229">
        <v>8.0999999999999996E-3</v>
      </c>
      <c r="AK112" s="228">
        <v>4.0999999999999996</v>
      </c>
      <c r="AL112" s="228">
        <v>4.5</v>
      </c>
      <c r="AM112" s="228">
        <v>-0.4</v>
      </c>
      <c r="AN112" s="229">
        <v>1.2500000000000001E-2</v>
      </c>
      <c r="AO112" s="228">
        <v>329.42</v>
      </c>
      <c r="AP112" s="228">
        <v>331.44</v>
      </c>
      <c r="AQ112" s="228">
        <v>0</v>
      </c>
      <c r="AR112" s="230">
        <v>17397050</v>
      </c>
      <c r="AS112" s="230">
        <v>15827250</v>
      </c>
      <c r="AT112" s="230">
        <v>1569800</v>
      </c>
      <c r="AU112" s="229">
        <v>9.9199999999999997E-2</v>
      </c>
      <c r="AV112" s="230">
        <v>11456250</v>
      </c>
      <c r="AW112" s="230">
        <v>11442150</v>
      </c>
      <c r="AX112" s="230">
        <v>14100</v>
      </c>
      <c r="AY112" s="229">
        <v>1.1999999999999999E-3</v>
      </c>
      <c r="AZ112" s="230">
        <v>5496650</v>
      </c>
      <c r="BA112" s="230">
        <v>3868100</v>
      </c>
      <c r="BB112" s="230">
        <v>1628550</v>
      </c>
      <c r="BC112" s="229">
        <v>0.42099999999999999</v>
      </c>
      <c r="BD112" s="230">
        <v>444150</v>
      </c>
      <c r="BE112" s="230">
        <v>517000</v>
      </c>
      <c r="BF112" s="230">
        <v>-72850</v>
      </c>
      <c r="BG112" s="229">
        <v>-0.1409</v>
      </c>
      <c r="BH112" s="230">
        <v>50118450</v>
      </c>
      <c r="BI112" s="230">
        <v>52273400</v>
      </c>
      <c r="BJ112" s="230">
        <v>-2154950</v>
      </c>
      <c r="BK112" s="229">
        <v>-4.1200000000000001E-2</v>
      </c>
      <c r="BL112" s="230">
        <v>27022650</v>
      </c>
      <c r="BM112" s="230">
        <v>28853300</v>
      </c>
      <c r="BN112" s="230">
        <v>-1830650</v>
      </c>
      <c r="BO112" s="229">
        <v>-6.3399999999999998E-2</v>
      </c>
      <c r="BP112" s="230">
        <v>94538150</v>
      </c>
      <c r="BQ112" s="230">
        <v>96953950</v>
      </c>
      <c r="BR112" s="230">
        <v>-2415800</v>
      </c>
      <c r="BS112" s="229">
        <v>-2.4899999999999999E-2</v>
      </c>
      <c r="BT112" s="230">
        <v>9769108</v>
      </c>
      <c r="BU112" s="230">
        <v>9962768</v>
      </c>
      <c r="BV112" s="230">
        <v>-193660</v>
      </c>
      <c r="BW112" s="229">
        <v>-1.9400000000000001E-2</v>
      </c>
      <c r="BX112" s="230">
        <v>116003050</v>
      </c>
      <c r="BY112" s="230">
        <v>113606050</v>
      </c>
      <c r="BZ112" s="230">
        <v>2397000</v>
      </c>
      <c r="CA112" s="229">
        <v>2.1100000000000001E-2</v>
      </c>
      <c r="CB112" s="230">
        <v>99694050</v>
      </c>
      <c r="CC112" s="230">
        <v>101254450</v>
      </c>
      <c r="CD112" s="230">
        <v>-1560400</v>
      </c>
      <c r="CE112" s="229">
        <v>-1.54E-2</v>
      </c>
      <c r="CF112" s="230">
        <v>13716950</v>
      </c>
      <c r="CG112" s="230">
        <v>9893500</v>
      </c>
      <c r="CH112" s="230">
        <v>3823450</v>
      </c>
      <c r="CI112" s="229">
        <v>0.38650000000000001</v>
      </c>
      <c r="CJ112" s="230">
        <v>2592050</v>
      </c>
      <c r="CK112" s="230">
        <v>2458100</v>
      </c>
      <c r="CL112" s="230">
        <v>133950</v>
      </c>
      <c r="CM112" s="229">
        <v>5.45E-2</v>
      </c>
      <c r="CN112" s="230">
        <v>59191800</v>
      </c>
      <c r="CO112" s="230">
        <v>55575150</v>
      </c>
      <c r="CP112" s="230">
        <v>3616650</v>
      </c>
      <c r="CQ112" s="229">
        <v>6.5100000000000005E-2</v>
      </c>
      <c r="CR112" s="230">
        <v>41590300</v>
      </c>
      <c r="CS112" s="230">
        <v>42584350</v>
      </c>
      <c r="CT112" s="230">
        <v>-994050</v>
      </c>
      <c r="CU112" s="229">
        <v>-2.3300000000000001E-2</v>
      </c>
      <c r="CV112" s="230">
        <v>216785150</v>
      </c>
      <c r="CW112" s="230">
        <v>211765550</v>
      </c>
      <c r="CX112" s="230">
        <v>5019600</v>
      </c>
      <c r="CY112" s="229">
        <v>2.3699999999999999E-2</v>
      </c>
      <c r="CZ112" s="228">
        <v>28.45</v>
      </c>
      <c r="DA112" s="228">
        <v>27.84</v>
      </c>
      <c r="DB112" s="228">
        <v>0.61</v>
      </c>
      <c r="DC112" s="228">
        <v>0.61</v>
      </c>
      <c r="DD112" s="228">
        <v>38.590000000000003</v>
      </c>
      <c r="DE112" s="228">
        <v>38.659999999999997</v>
      </c>
      <c r="DF112" s="228">
        <v>-10.14</v>
      </c>
      <c r="DG112" s="228">
        <v>-7.0000000000000007E-2</v>
      </c>
      <c r="DH112" s="228">
        <v>28.51</v>
      </c>
      <c r="DI112" s="228">
        <v>27.57</v>
      </c>
      <c r="DJ112" s="228">
        <v>0.94</v>
      </c>
      <c r="DK112" s="228">
        <v>0.94</v>
      </c>
      <c r="DL112" s="228">
        <v>28.34</v>
      </c>
      <c r="DM112" s="228">
        <v>28.33</v>
      </c>
      <c r="DN112" s="228">
        <v>0.01</v>
      </c>
      <c r="DO112" s="228">
        <v>0.01</v>
      </c>
      <c r="DP112" s="228">
        <v>0.7</v>
      </c>
      <c r="DQ112" s="228">
        <v>0.77</v>
      </c>
      <c r="DR112" s="228">
        <v>-7.0000000000000007E-2</v>
      </c>
      <c r="DS112" s="229">
        <v>-9.0899999999999995E-2</v>
      </c>
      <c r="DT112" s="228">
        <v>350</v>
      </c>
      <c r="DU112" s="228">
        <v>330</v>
      </c>
      <c r="DV112" s="228">
        <v>0.54</v>
      </c>
      <c r="DW112" s="228">
        <v>0.55000000000000004</v>
      </c>
      <c r="DX112" s="228">
        <v>-0.01</v>
      </c>
      <c r="DY112" s="229">
        <v>-1.8200000000000001E-2</v>
      </c>
      <c r="DZ112" s="229">
        <v>0.1406</v>
      </c>
      <c r="EA112" s="230">
        <v>12351600</v>
      </c>
      <c r="EB112" s="229">
        <v>6.1999999999999998E-3</v>
      </c>
      <c r="EC112" s="229">
        <v>0.1406</v>
      </c>
      <c r="ED112" s="228">
        <v>2.02</v>
      </c>
      <c r="EE112" s="229">
        <v>6.1000000000000004E-3</v>
      </c>
      <c r="EF112" s="230">
        <v>4385658</v>
      </c>
      <c r="EG112" s="230">
        <v>4802962</v>
      </c>
      <c r="EH112" s="229">
        <v>-8.6900000000000005E-2</v>
      </c>
      <c r="EI112" s="229">
        <v>0.44890000000000002</v>
      </c>
      <c r="EJ112" s="231">
        <v>171307.51999999999</v>
      </c>
      <c r="EK112" s="231">
        <v>88175.87</v>
      </c>
      <c r="EL112" s="231">
        <v>57435.23</v>
      </c>
      <c r="EM112" s="228">
        <v>0</v>
      </c>
      <c r="EN112" s="231">
        <v>316918.62</v>
      </c>
      <c r="EO112" s="231">
        <v>326784.7</v>
      </c>
      <c r="EP112" s="231">
        <v>-9866.08</v>
      </c>
      <c r="EQ112" s="229">
        <v>-3.0200000000000001E-2</v>
      </c>
      <c r="ER112" s="231">
        <v>202240</v>
      </c>
      <c r="ES112" s="231">
        <v>131861</v>
      </c>
      <c r="ET112" s="231">
        <v>382080</v>
      </c>
      <c r="EU112" s="231">
        <v>671850851</v>
      </c>
      <c r="EV112" s="231">
        <v>716181</v>
      </c>
      <c r="EW112" s="231">
        <v>702829</v>
      </c>
      <c r="EX112" s="231">
        <v>13352</v>
      </c>
      <c r="EY112" s="229">
        <v>1.9E-2</v>
      </c>
      <c r="EZ112" s="229">
        <v>0.32269999999999999</v>
      </c>
      <c r="FA112" s="227" t="s">
        <v>567</v>
      </c>
      <c r="FB112" s="161">
        <f t="shared" si="1"/>
        <v>16309000</v>
      </c>
    </row>
    <row r="113" spans="1:158" ht="17.25" hidden="1" thickBot="1" x14ac:dyDescent="0.3">
      <c r="A113" s="226">
        <v>45889</v>
      </c>
      <c r="B113" s="227" t="s">
        <v>227</v>
      </c>
      <c r="C113" s="227" t="s">
        <v>582</v>
      </c>
      <c r="D113" s="228">
        <v>850</v>
      </c>
      <c r="E113" s="228">
        <v>765.1</v>
      </c>
      <c r="F113" s="228">
        <v>757.8</v>
      </c>
      <c r="G113" s="228">
        <v>7.3</v>
      </c>
      <c r="H113" s="229">
        <v>9.5999999999999992E-3</v>
      </c>
      <c r="I113" s="228">
        <v>765.05</v>
      </c>
      <c r="J113" s="228">
        <v>757.9</v>
      </c>
      <c r="K113" s="228">
        <v>7.15</v>
      </c>
      <c r="L113" s="229">
        <v>9.4000000000000004E-3</v>
      </c>
      <c r="M113" s="228">
        <v>765.1</v>
      </c>
      <c r="N113" s="228">
        <v>757.8</v>
      </c>
      <c r="O113" s="228">
        <v>7.3</v>
      </c>
      <c r="P113" s="229">
        <v>9.5999999999999992E-3</v>
      </c>
      <c r="Q113" s="228">
        <v>0</v>
      </c>
      <c r="R113" s="228">
        <v>0</v>
      </c>
      <c r="S113" s="228">
        <v>0</v>
      </c>
      <c r="T113" s="229">
        <v>0</v>
      </c>
      <c r="U113" s="228">
        <v>0</v>
      </c>
      <c r="V113" s="228">
        <v>0</v>
      </c>
      <c r="W113" s="228">
        <v>0</v>
      </c>
      <c r="X113" s="229">
        <v>0</v>
      </c>
      <c r="Y113" s="228">
        <v>0.05</v>
      </c>
      <c r="Z113" s="228">
        <v>-0.1</v>
      </c>
      <c r="AA113" s="228">
        <v>0.15</v>
      </c>
      <c r="AB113" s="229">
        <v>1E-4</v>
      </c>
      <c r="AC113" s="228">
        <v>0.05</v>
      </c>
      <c r="AD113" s="228">
        <v>-0.1</v>
      </c>
      <c r="AE113" s="228">
        <v>0.15</v>
      </c>
      <c r="AF113" s="229">
        <v>1E-4</v>
      </c>
      <c r="AG113" s="228">
        <v>0</v>
      </c>
      <c r="AH113" s="228">
        <v>0</v>
      </c>
      <c r="AI113" s="228">
        <v>0</v>
      </c>
      <c r="AJ113" s="229">
        <v>0</v>
      </c>
      <c r="AK113" s="228">
        <v>0</v>
      </c>
      <c r="AL113" s="228">
        <v>0</v>
      </c>
      <c r="AM113" s="228">
        <v>0</v>
      </c>
      <c r="AN113" s="229">
        <v>0</v>
      </c>
      <c r="AO113" s="228">
        <v>768.63</v>
      </c>
      <c r="AP113" s="228">
        <v>0</v>
      </c>
      <c r="AQ113" s="228">
        <v>0</v>
      </c>
      <c r="AR113" s="230">
        <v>1003850</v>
      </c>
      <c r="AS113" s="230">
        <v>1013200</v>
      </c>
      <c r="AT113" s="230">
        <v>-9350</v>
      </c>
      <c r="AU113" s="229">
        <v>-9.1999999999999998E-3</v>
      </c>
      <c r="AV113" s="230">
        <v>1003850</v>
      </c>
      <c r="AW113" s="230">
        <v>1013200</v>
      </c>
      <c r="AX113" s="230">
        <v>-9350</v>
      </c>
      <c r="AY113" s="229">
        <v>-9.1999999999999998E-3</v>
      </c>
      <c r="AZ113" s="228">
        <v>0</v>
      </c>
      <c r="BA113" s="228">
        <v>0</v>
      </c>
      <c r="BB113" s="228">
        <v>0</v>
      </c>
      <c r="BC113" s="229">
        <v>0</v>
      </c>
      <c r="BD113" s="228">
        <v>0</v>
      </c>
      <c r="BE113" s="228">
        <v>0</v>
      </c>
      <c r="BF113" s="228">
        <v>0</v>
      </c>
      <c r="BG113" s="229">
        <v>0</v>
      </c>
      <c r="BH113" s="230">
        <v>3238500</v>
      </c>
      <c r="BI113" s="230">
        <v>3672000</v>
      </c>
      <c r="BJ113" s="230">
        <v>-433500</v>
      </c>
      <c r="BK113" s="229">
        <v>-0.1181</v>
      </c>
      <c r="BL113" s="230">
        <v>1768850</v>
      </c>
      <c r="BM113" s="230">
        <v>1251200</v>
      </c>
      <c r="BN113" s="230">
        <v>517650</v>
      </c>
      <c r="BO113" s="229">
        <v>0.41370000000000001</v>
      </c>
      <c r="BP113" s="230">
        <v>6011200</v>
      </c>
      <c r="BQ113" s="230">
        <v>5936400</v>
      </c>
      <c r="BR113" s="230">
        <v>74800</v>
      </c>
      <c r="BS113" s="229">
        <v>1.26E-2</v>
      </c>
      <c r="BT113" s="230">
        <v>819803</v>
      </c>
      <c r="BU113" s="230">
        <v>780415</v>
      </c>
      <c r="BV113" s="230">
        <v>39388</v>
      </c>
      <c r="BW113" s="229">
        <v>5.0500000000000003E-2</v>
      </c>
      <c r="BX113" s="230">
        <v>3774000</v>
      </c>
      <c r="BY113" s="230">
        <v>4029000</v>
      </c>
      <c r="BZ113" s="230">
        <v>-255000</v>
      </c>
      <c r="CA113" s="229">
        <v>-6.3299999999999995E-2</v>
      </c>
      <c r="CB113" s="230">
        <v>3774000</v>
      </c>
      <c r="CC113" s="230">
        <v>4029000</v>
      </c>
      <c r="CD113" s="230">
        <v>-255000</v>
      </c>
      <c r="CE113" s="229">
        <v>-6.3299999999999995E-2</v>
      </c>
      <c r="CF113" s="228">
        <v>0</v>
      </c>
      <c r="CG113" s="228">
        <v>0</v>
      </c>
      <c r="CH113" s="228">
        <v>0</v>
      </c>
      <c r="CI113" s="229">
        <v>0</v>
      </c>
      <c r="CJ113" s="228">
        <v>0</v>
      </c>
      <c r="CK113" s="228">
        <v>0</v>
      </c>
      <c r="CL113" s="228">
        <v>0</v>
      </c>
      <c r="CM113" s="229">
        <v>0</v>
      </c>
      <c r="CN113" s="230">
        <v>2065500</v>
      </c>
      <c r="CO113" s="230">
        <v>2136050</v>
      </c>
      <c r="CP113" s="230">
        <v>-70550</v>
      </c>
      <c r="CQ113" s="229">
        <v>-3.3000000000000002E-2</v>
      </c>
      <c r="CR113" s="230">
        <v>1623500</v>
      </c>
      <c r="CS113" s="230">
        <v>1447550</v>
      </c>
      <c r="CT113" s="230">
        <v>175950</v>
      </c>
      <c r="CU113" s="229">
        <v>0.1216</v>
      </c>
      <c r="CV113" s="230">
        <v>7463000</v>
      </c>
      <c r="CW113" s="230">
        <v>7612600</v>
      </c>
      <c r="CX113" s="230">
        <v>-149600</v>
      </c>
      <c r="CY113" s="229">
        <v>-1.9699999999999999E-2</v>
      </c>
      <c r="CZ113" s="228">
        <v>28.72</v>
      </c>
      <c r="DA113" s="228">
        <v>28.77</v>
      </c>
      <c r="DB113" s="228">
        <v>-0.05</v>
      </c>
      <c r="DC113" s="228">
        <v>-0.05</v>
      </c>
      <c r="DD113" s="228">
        <v>44.91</v>
      </c>
      <c r="DE113" s="228">
        <v>45</v>
      </c>
      <c r="DF113" s="228">
        <v>-16.190000000000001</v>
      </c>
      <c r="DG113" s="228">
        <v>-0.09</v>
      </c>
      <c r="DH113" s="228">
        <v>28.47</v>
      </c>
      <c r="DI113" s="228">
        <v>27.87</v>
      </c>
      <c r="DJ113" s="228">
        <v>0.6</v>
      </c>
      <c r="DK113" s="228">
        <v>0.6</v>
      </c>
      <c r="DL113" s="228">
        <v>29.16</v>
      </c>
      <c r="DM113" s="228">
        <v>31.42</v>
      </c>
      <c r="DN113" s="228">
        <v>-2.2599999999999998</v>
      </c>
      <c r="DO113" s="228">
        <v>-2.2599999999999998</v>
      </c>
      <c r="DP113" s="228">
        <v>0.79</v>
      </c>
      <c r="DQ113" s="228">
        <v>0.68</v>
      </c>
      <c r="DR113" s="228">
        <v>0.11</v>
      </c>
      <c r="DS113" s="229">
        <v>0.1618</v>
      </c>
      <c r="DT113" s="228">
        <v>800</v>
      </c>
      <c r="DU113" s="228">
        <v>740</v>
      </c>
      <c r="DV113" s="228">
        <v>0.55000000000000004</v>
      </c>
      <c r="DW113" s="228">
        <v>0.34</v>
      </c>
      <c r="DX113" s="228">
        <v>0.21</v>
      </c>
      <c r="DY113" s="229">
        <v>0.61760000000000004</v>
      </c>
      <c r="DZ113" s="229">
        <v>0</v>
      </c>
      <c r="EA113" s="228">
        <v>0</v>
      </c>
      <c r="EB113" s="229">
        <v>0</v>
      </c>
      <c r="EC113" s="229">
        <v>0</v>
      </c>
      <c r="ED113" s="228">
        <v>0</v>
      </c>
      <c r="EE113" s="229">
        <v>0</v>
      </c>
      <c r="EF113" s="230">
        <v>364016</v>
      </c>
      <c r="EG113" s="230">
        <v>266709</v>
      </c>
      <c r="EH113" s="229">
        <v>0.36480000000000001</v>
      </c>
      <c r="EI113" s="229">
        <v>0.44400000000000001</v>
      </c>
      <c r="EJ113" s="231">
        <v>25603.68</v>
      </c>
      <c r="EK113" s="231">
        <v>13242.83</v>
      </c>
      <c r="EL113" s="231">
        <v>7715.85</v>
      </c>
      <c r="EM113" s="228">
        <v>0</v>
      </c>
      <c r="EN113" s="231">
        <v>46562.36</v>
      </c>
      <c r="EO113" s="231">
        <v>45446.67</v>
      </c>
      <c r="EP113" s="231">
        <v>1115.69</v>
      </c>
      <c r="EQ113" s="229">
        <v>2.4500000000000001E-2</v>
      </c>
      <c r="ER113" s="231">
        <v>15657</v>
      </c>
      <c r="ES113" s="231">
        <v>11555</v>
      </c>
      <c r="ET113" s="231">
        <v>28875</v>
      </c>
      <c r="EU113" s="231">
        <v>64072344</v>
      </c>
      <c r="EV113" s="231">
        <v>56088</v>
      </c>
      <c r="EW113" s="231">
        <v>56862</v>
      </c>
      <c r="EX113" s="228">
        <v>-774</v>
      </c>
      <c r="EY113" s="229">
        <v>-1.3599999999999999E-2</v>
      </c>
      <c r="EZ113" s="229">
        <v>0.11650000000000001</v>
      </c>
      <c r="FA113" s="227" t="s">
        <v>556</v>
      </c>
      <c r="FB113" s="161">
        <f t="shared" si="1"/>
        <v>0</v>
      </c>
    </row>
    <row r="114" spans="1:158" ht="17.25" hidden="1" thickBot="1" x14ac:dyDescent="0.3">
      <c r="A114" s="226">
        <v>45889</v>
      </c>
      <c r="B114" s="227" t="s">
        <v>161</v>
      </c>
      <c r="C114" s="227" t="s">
        <v>581</v>
      </c>
      <c r="D114" s="228">
        <v>1000</v>
      </c>
      <c r="E114" s="228">
        <v>533.4</v>
      </c>
      <c r="F114" s="228">
        <v>535.20000000000005</v>
      </c>
      <c r="G114" s="228">
        <v>-1.8</v>
      </c>
      <c r="H114" s="229">
        <v>-3.3999999999999998E-3</v>
      </c>
      <c r="I114" s="228">
        <v>531.75</v>
      </c>
      <c r="J114" s="228">
        <v>533.29999999999995</v>
      </c>
      <c r="K114" s="228">
        <v>-1.55</v>
      </c>
      <c r="L114" s="229">
        <v>-2.8999999999999998E-3</v>
      </c>
      <c r="M114" s="228">
        <v>533.4</v>
      </c>
      <c r="N114" s="228">
        <v>535.20000000000005</v>
      </c>
      <c r="O114" s="228">
        <v>-1.8</v>
      </c>
      <c r="P114" s="229">
        <v>-3.3999999999999998E-3</v>
      </c>
      <c r="Q114" s="228">
        <v>536.35</v>
      </c>
      <c r="R114" s="228">
        <v>538.04999999999995</v>
      </c>
      <c r="S114" s="228">
        <v>-1.7</v>
      </c>
      <c r="T114" s="229">
        <v>-3.2000000000000002E-3</v>
      </c>
      <c r="U114" s="228">
        <v>539.15</v>
      </c>
      <c r="V114" s="228">
        <v>541.1</v>
      </c>
      <c r="W114" s="228">
        <v>-1.95</v>
      </c>
      <c r="X114" s="229">
        <v>-3.5999999999999999E-3</v>
      </c>
      <c r="Y114" s="228">
        <v>1.65</v>
      </c>
      <c r="Z114" s="228">
        <v>1.9</v>
      </c>
      <c r="AA114" s="228">
        <v>-0.25</v>
      </c>
      <c r="AB114" s="229">
        <v>3.0999999999999999E-3</v>
      </c>
      <c r="AC114" s="228">
        <v>1.65</v>
      </c>
      <c r="AD114" s="228">
        <v>1.9</v>
      </c>
      <c r="AE114" s="228">
        <v>-0.25</v>
      </c>
      <c r="AF114" s="229">
        <v>3.0999999999999999E-3</v>
      </c>
      <c r="AG114" s="228">
        <v>4.5999999999999996</v>
      </c>
      <c r="AH114" s="228">
        <v>4.75</v>
      </c>
      <c r="AI114" s="228">
        <v>-0.15</v>
      </c>
      <c r="AJ114" s="229">
        <v>8.6999999999999994E-3</v>
      </c>
      <c r="AK114" s="228">
        <v>7.4</v>
      </c>
      <c r="AL114" s="228">
        <v>7.8</v>
      </c>
      <c r="AM114" s="228">
        <v>-0.4</v>
      </c>
      <c r="AN114" s="229">
        <v>1.3899999999999999E-2</v>
      </c>
      <c r="AO114" s="228">
        <v>535.4</v>
      </c>
      <c r="AP114" s="228">
        <v>538.17999999999995</v>
      </c>
      <c r="AQ114" s="228">
        <v>0</v>
      </c>
      <c r="AR114" s="230">
        <v>3310000</v>
      </c>
      <c r="AS114" s="230">
        <v>2245000</v>
      </c>
      <c r="AT114" s="230">
        <v>1065000</v>
      </c>
      <c r="AU114" s="229">
        <v>0.47439999999999999</v>
      </c>
      <c r="AV114" s="230">
        <v>2401000</v>
      </c>
      <c r="AW114" s="230">
        <v>1733000</v>
      </c>
      <c r="AX114" s="230">
        <v>668000</v>
      </c>
      <c r="AY114" s="229">
        <v>0.38550000000000001</v>
      </c>
      <c r="AZ114" s="230">
        <v>880000</v>
      </c>
      <c r="BA114" s="230">
        <v>495000</v>
      </c>
      <c r="BB114" s="230">
        <v>385000</v>
      </c>
      <c r="BC114" s="229">
        <v>0.77780000000000005</v>
      </c>
      <c r="BD114" s="230">
        <v>29000</v>
      </c>
      <c r="BE114" s="230">
        <v>17000</v>
      </c>
      <c r="BF114" s="230">
        <v>12000</v>
      </c>
      <c r="BG114" s="229">
        <v>0.70589999999999997</v>
      </c>
      <c r="BH114" s="230">
        <v>5616000</v>
      </c>
      <c r="BI114" s="230">
        <v>3646000</v>
      </c>
      <c r="BJ114" s="230">
        <v>1970000</v>
      </c>
      <c r="BK114" s="229">
        <v>0.5403</v>
      </c>
      <c r="BL114" s="230">
        <v>2176000</v>
      </c>
      <c r="BM114" s="230">
        <v>1030000</v>
      </c>
      <c r="BN114" s="230">
        <v>1146000</v>
      </c>
      <c r="BO114" s="229">
        <v>1.1126</v>
      </c>
      <c r="BP114" s="230">
        <v>11102000</v>
      </c>
      <c r="BQ114" s="230">
        <v>6921000</v>
      </c>
      <c r="BR114" s="230">
        <v>4181000</v>
      </c>
      <c r="BS114" s="229">
        <v>0.60409999999999997</v>
      </c>
      <c r="BT114" s="230">
        <v>2617386</v>
      </c>
      <c r="BU114" s="230">
        <v>1452163</v>
      </c>
      <c r="BV114" s="230">
        <v>1165223</v>
      </c>
      <c r="BW114" s="229">
        <v>0.8024</v>
      </c>
      <c r="BX114" s="230">
        <v>37067000</v>
      </c>
      <c r="BY114" s="230">
        <v>36248000</v>
      </c>
      <c r="BZ114" s="230">
        <v>819000</v>
      </c>
      <c r="CA114" s="229">
        <v>2.2599999999999999E-2</v>
      </c>
      <c r="CB114" s="230">
        <v>35622000</v>
      </c>
      <c r="CC114" s="230">
        <v>35264000</v>
      </c>
      <c r="CD114" s="230">
        <v>358000</v>
      </c>
      <c r="CE114" s="229">
        <v>1.0200000000000001E-2</v>
      </c>
      <c r="CF114" s="230">
        <v>1348000</v>
      </c>
      <c r="CG114" s="230">
        <v>907000</v>
      </c>
      <c r="CH114" s="230">
        <v>441000</v>
      </c>
      <c r="CI114" s="229">
        <v>0.48620000000000002</v>
      </c>
      <c r="CJ114" s="230">
        <v>97000</v>
      </c>
      <c r="CK114" s="230">
        <v>77000</v>
      </c>
      <c r="CL114" s="230">
        <v>20000</v>
      </c>
      <c r="CM114" s="229">
        <v>0.25969999999999999</v>
      </c>
      <c r="CN114" s="230">
        <v>8397000</v>
      </c>
      <c r="CO114" s="230">
        <v>8025000</v>
      </c>
      <c r="CP114" s="230">
        <v>372000</v>
      </c>
      <c r="CQ114" s="229">
        <v>4.6399999999999997E-2</v>
      </c>
      <c r="CR114" s="230">
        <v>4734000</v>
      </c>
      <c r="CS114" s="230">
        <v>4531000</v>
      </c>
      <c r="CT114" s="230">
        <v>203000</v>
      </c>
      <c r="CU114" s="229">
        <v>4.48E-2</v>
      </c>
      <c r="CV114" s="230">
        <v>50198000</v>
      </c>
      <c r="CW114" s="230">
        <v>48804000</v>
      </c>
      <c r="CX114" s="230">
        <v>1394000</v>
      </c>
      <c r="CY114" s="229">
        <v>2.86E-2</v>
      </c>
      <c r="CZ114" s="228">
        <v>28.92</v>
      </c>
      <c r="DA114" s="228">
        <v>29.14</v>
      </c>
      <c r="DB114" s="228">
        <v>-0.22</v>
      </c>
      <c r="DC114" s="228">
        <v>-0.22</v>
      </c>
      <c r="DD114" s="228">
        <v>48.32</v>
      </c>
      <c r="DE114" s="228">
        <v>48.44</v>
      </c>
      <c r="DF114" s="228">
        <v>-19.399999999999999</v>
      </c>
      <c r="DG114" s="228">
        <v>-0.12</v>
      </c>
      <c r="DH114" s="228">
        <v>28.83</v>
      </c>
      <c r="DI114" s="228">
        <v>28.86</v>
      </c>
      <c r="DJ114" s="228">
        <v>-0.03</v>
      </c>
      <c r="DK114" s="228">
        <v>-0.03</v>
      </c>
      <c r="DL114" s="228">
        <v>29.15</v>
      </c>
      <c r="DM114" s="228">
        <v>30.15</v>
      </c>
      <c r="DN114" s="228">
        <v>-1</v>
      </c>
      <c r="DO114" s="228">
        <v>-1</v>
      </c>
      <c r="DP114" s="228">
        <v>0.56000000000000005</v>
      </c>
      <c r="DQ114" s="228">
        <v>0.56000000000000005</v>
      </c>
      <c r="DR114" s="228">
        <v>0</v>
      </c>
      <c r="DS114" s="229">
        <v>0</v>
      </c>
      <c r="DT114" s="228">
        <v>540</v>
      </c>
      <c r="DU114" s="228">
        <v>530</v>
      </c>
      <c r="DV114" s="228">
        <v>0.39</v>
      </c>
      <c r="DW114" s="228">
        <v>0.28000000000000003</v>
      </c>
      <c r="DX114" s="228">
        <v>0.11</v>
      </c>
      <c r="DY114" s="229">
        <v>0.39290000000000003</v>
      </c>
      <c r="DZ114" s="229">
        <v>3.9E-2</v>
      </c>
      <c r="EA114" s="230">
        <v>984000</v>
      </c>
      <c r="EB114" s="229">
        <v>5.4999999999999997E-3</v>
      </c>
      <c r="EC114" s="229">
        <v>3.9E-2</v>
      </c>
      <c r="ED114" s="228">
        <v>2.78</v>
      </c>
      <c r="EE114" s="229">
        <v>5.1999999999999998E-3</v>
      </c>
      <c r="EF114" s="230">
        <v>1464138</v>
      </c>
      <c r="EG114" s="230">
        <v>800583</v>
      </c>
      <c r="EH114" s="229">
        <v>0.82879999999999998</v>
      </c>
      <c r="EI114" s="229">
        <v>0.55940000000000001</v>
      </c>
      <c r="EJ114" s="231">
        <v>30910.2</v>
      </c>
      <c r="EK114" s="231">
        <v>11660.16</v>
      </c>
      <c r="EL114" s="231">
        <v>17747.580000000002</v>
      </c>
      <c r="EM114" s="228">
        <v>0</v>
      </c>
      <c r="EN114" s="231">
        <v>60317.94</v>
      </c>
      <c r="EO114" s="231">
        <v>37566.589999999997</v>
      </c>
      <c r="EP114" s="231">
        <v>22751.35</v>
      </c>
      <c r="EQ114" s="229">
        <v>0.60560000000000003</v>
      </c>
      <c r="ER114" s="231">
        <v>46251</v>
      </c>
      <c r="ES114" s="231">
        <v>24557</v>
      </c>
      <c r="ET114" s="231">
        <v>197761</v>
      </c>
      <c r="EU114" s="231">
        <v>106938341</v>
      </c>
      <c r="EV114" s="231">
        <v>268569</v>
      </c>
      <c r="EW114" s="231">
        <v>261657</v>
      </c>
      <c r="EX114" s="231">
        <v>6912</v>
      </c>
      <c r="EY114" s="229">
        <v>2.64E-2</v>
      </c>
      <c r="EZ114" s="229">
        <v>0.46939999999999998</v>
      </c>
      <c r="FA114" s="227" t="s">
        <v>567</v>
      </c>
      <c r="FB114" s="161">
        <f t="shared" si="1"/>
        <v>1445000</v>
      </c>
    </row>
    <row r="115" spans="1:158" ht="17.25" hidden="1" thickBot="1" x14ac:dyDescent="0.3">
      <c r="A115" s="226">
        <v>45889</v>
      </c>
      <c r="B115" s="227" t="s">
        <v>227</v>
      </c>
      <c r="C115" s="227" t="s">
        <v>244</v>
      </c>
      <c r="D115" s="228">
        <v>675</v>
      </c>
      <c r="E115" s="231">
        <v>1086</v>
      </c>
      <c r="F115" s="231">
        <v>1077.4000000000001</v>
      </c>
      <c r="G115" s="228">
        <v>8.6</v>
      </c>
      <c r="H115" s="229">
        <v>8.0000000000000002E-3</v>
      </c>
      <c r="I115" s="231">
        <v>1082.5999999999999</v>
      </c>
      <c r="J115" s="231">
        <v>1073.4000000000001</v>
      </c>
      <c r="K115" s="228">
        <v>9.1999999999999993</v>
      </c>
      <c r="L115" s="229">
        <v>8.6E-3</v>
      </c>
      <c r="M115" s="231">
        <v>1086</v>
      </c>
      <c r="N115" s="231">
        <v>1077.4000000000001</v>
      </c>
      <c r="O115" s="228">
        <v>8.6</v>
      </c>
      <c r="P115" s="229">
        <v>8.0000000000000002E-3</v>
      </c>
      <c r="Q115" s="231">
        <v>1091.8</v>
      </c>
      <c r="R115" s="231">
        <v>1083.2</v>
      </c>
      <c r="S115" s="228">
        <v>8.6</v>
      </c>
      <c r="T115" s="229">
        <v>7.9000000000000008E-3</v>
      </c>
      <c r="U115" s="231">
        <v>1097.8</v>
      </c>
      <c r="V115" s="231">
        <v>1090</v>
      </c>
      <c r="W115" s="228">
        <v>7.8</v>
      </c>
      <c r="X115" s="229">
        <v>7.1999999999999998E-3</v>
      </c>
      <c r="Y115" s="228">
        <v>3.4</v>
      </c>
      <c r="Z115" s="228">
        <v>4</v>
      </c>
      <c r="AA115" s="228">
        <v>-0.6</v>
      </c>
      <c r="AB115" s="229">
        <v>3.0999999999999999E-3</v>
      </c>
      <c r="AC115" s="228">
        <v>3.4</v>
      </c>
      <c r="AD115" s="228">
        <v>4</v>
      </c>
      <c r="AE115" s="228">
        <v>-0.6</v>
      </c>
      <c r="AF115" s="229">
        <v>3.0999999999999999E-3</v>
      </c>
      <c r="AG115" s="228">
        <v>9.1999999999999993</v>
      </c>
      <c r="AH115" s="228">
        <v>9.8000000000000007</v>
      </c>
      <c r="AI115" s="228">
        <v>-0.6</v>
      </c>
      <c r="AJ115" s="229">
        <v>8.5000000000000006E-3</v>
      </c>
      <c r="AK115" s="228">
        <v>15.2</v>
      </c>
      <c r="AL115" s="228">
        <v>16.600000000000001</v>
      </c>
      <c r="AM115" s="228">
        <v>-1.4</v>
      </c>
      <c r="AN115" s="229">
        <v>1.4E-2</v>
      </c>
      <c r="AO115" s="231">
        <v>1083.5899999999999</v>
      </c>
      <c r="AP115" s="231">
        <v>1091.2</v>
      </c>
      <c r="AQ115" s="228">
        <v>0</v>
      </c>
      <c r="AR115" s="230">
        <v>4019625</v>
      </c>
      <c r="AS115" s="230">
        <v>5508000</v>
      </c>
      <c r="AT115" s="230">
        <v>-1488375</v>
      </c>
      <c r="AU115" s="229">
        <v>-0.2702</v>
      </c>
      <c r="AV115" s="230">
        <v>3096225</v>
      </c>
      <c r="AW115" s="230">
        <v>4107375</v>
      </c>
      <c r="AX115" s="230">
        <v>-1011150</v>
      </c>
      <c r="AY115" s="229">
        <v>-0.2462</v>
      </c>
      <c r="AZ115" s="230">
        <v>891000</v>
      </c>
      <c r="BA115" s="230">
        <v>1385775</v>
      </c>
      <c r="BB115" s="230">
        <v>-494775</v>
      </c>
      <c r="BC115" s="229">
        <v>-0.35699999999999998</v>
      </c>
      <c r="BD115" s="230">
        <v>32400</v>
      </c>
      <c r="BE115" s="230">
        <v>14850</v>
      </c>
      <c r="BF115" s="230">
        <v>17550</v>
      </c>
      <c r="BG115" s="229">
        <v>1.1818</v>
      </c>
      <c r="BH115" s="230">
        <v>17503425</v>
      </c>
      <c r="BI115" s="230">
        <v>15493950</v>
      </c>
      <c r="BJ115" s="230">
        <v>2009475</v>
      </c>
      <c r="BK115" s="229">
        <v>0.12970000000000001</v>
      </c>
      <c r="BL115" s="230">
        <v>7010550</v>
      </c>
      <c r="BM115" s="230">
        <v>5771925</v>
      </c>
      <c r="BN115" s="230">
        <v>1238625</v>
      </c>
      <c r="BO115" s="229">
        <v>0.21460000000000001</v>
      </c>
      <c r="BP115" s="230">
        <v>28533600</v>
      </c>
      <c r="BQ115" s="230">
        <v>26773875</v>
      </c>
      <c r="BR115" s="230">
        <v>1759725</v>
      </c>
      <c r="BS115" s="229">
        <v>6.5699999999999995E-2</v>
      </c>
      <c r="BT115" s="230">
        <v>1367829</v>
      </c>
      <c r="BU115" s="230">
        <v>1916060</v>
      </c>
      <c r="BV115" s="230">
        <v>-548231</v>
      </c>
      <c r="BW115" s="229">
        <v>-0.28610000000000002</v>
      </c>
      <c r="BX115" s="230">
        <v>40999500</v>
      </c>
      <c r="BY115" s="230">
        <v>40825350</v>
      </c>
      <c r="BZ115" s="230">
        <v>174150</v>
      </c>
      <c r="CA115" s="229">
        <v>4.3E-3</v>
      </c>
      <c r="CB115" s="230">
        <v>38751750</v>
      </c>
      <c r="CC115" s="230">
        <v>39112875</v>
      </c>
      <c r="CD115" s="230">
        <v>-361125</v>
      </c>
      <c r="CE115" s="229">
        <v>-9.1999999999999998E-3</v>
      </c>
      <c r="CF115" s="230">
        <v>2192400</v>
      </c>
      <c r="CG115" s="230">
        <v>1665900</v>
      </c>
      <c r="CH115" s="230">
        <v>526500</v>
      </c>
      <c r="CI115" s="229">
        <v>0.316</v>
      </c>
      <c r="CJ115" s="230">
        <v>55350</v>
      </c>
      <c r="CK115" s="230">
        <v>46575</v>
      </c>
      <c r="CL115" s="230">
        <v>8775</v>
      </c>
      <c r="CM115" s="229">
        <v>0.18840000000000001</v>
      </c>
      <c r="CN115" s="230">
        <v>8768925</v>
      </c>
      <c r="CO115" s="230">
        <v>8577900</v>
      </c>
      <c r="CP115" s="230">
        <v>191025</v>
      </c>
      <c r="CQ115" s="229">
        <v>2.23E-2</v>
      </c>
      <c r="CR115" s="230">
        <v>6768225</v>
      </c>
      <c r="CS115" s="230">
        <v>5780025</v>
      </c>
      <c r="CT115" s="230">
        <v>988200</v>
      </c>
      <c r="CU115" s="229">
        <v>0.17100000000000001</v>
      </c>
      <c r="CV115" s="230">
        <v>56536650</v>
      </c>
      <c r="CW115" s="230">
        <v>55183275</v>
      </c>
      <c r="CX115" s="230">
        <v>1353375</v>
      </c>
      <c r="CY115" s="229">
        <v>2.4500000000000001E-2</v>
      </c>
      <c r="CZ115" s="228">
        <v>25.95</v>
      </c>
      <c r="DA115" s="228">
        <v>26.83</v>
      </c>
      <c r="DB115" s="228">
        <v>-0.88</v>
      </c>
      <c r="DC115" s="228">
        <v>-0.88</v>
      </c>
      <c r="DD115" s="228">
        <v>30.91</v>
      </c>
      <c r="DE115" s="228">
        <v>30.97</v>
      </c>
      <c r="DF115" s="228">
        <v>-4.96</v>
      </c>
      <c r="DG115" s="228">
        <v>-0.06</v>
      </c>
      <c r="DH115" s="228">
        <v>25.34</v>
      </c>
      <c r="DI115" s="228">
        <v>26.83</v>
      </c>
      <c r="DJ115" s="228">
        <v>-1.49</v>
      </c>
      <c r="DK115" s="228">
        <v>-1.49</v>
      </c>
      <c r="DL115" s="228">
        <v>27.49</v>
      </c>
      <c r="DM115" s="228">
        <v>26.85</v>
      </c>
      <c r="DN115" s="228">
        <v>0.64</v>
      </c>
      <c r="DO115" s="228">
        <v>0.64</v>
      </c>
      <c r="DP115" s="228">
        <v>0.77</v>
      </c>
      <c r="DQ115" s="228">
        <v>0.67</v>
      </c>
      <c r="DR115" s="228">
        <v>0.1</v>
      </c>
      <c r="DS115" s="229">
        <v>0.14929999999999999</v>
      </c>
      <c r="DT115" s="231">
        <v>1100</v>
      </c>
      <c r="DU115" s="231">
        <v>1040</v>
      </c>
      <c r="DV115" s="228">
        <v>0.4</v>
      </c>
      <c r="DW115" s="228">
        <v>0.37</v>
      </c>
      <c r="DX115" s="228">
        <v>0.03</v>
      </c>
      <c r="DY115" s="229">
        <v>8.1100000000000005E-2</v>
      </c>
      <c r="DZ115" s="229">
        <v>5.4800000000000001E-2</v>
      </c>
      <c r="EA115" s="230">
        <v>1712475</v>
      </c>
      <c r="EB115" s="229">
        <v>5.3E-3</v>
      </c>
      <c r="EC115" s="229">
        <v>5.4800000000000001E-2</v>
      </c>
      <c r="ED115" s="228">
        <v>7.61</v>
      </c>
      <c r="EE115" s="229">
        <v>7.0000000000000001E-3</v>
      </c>
      <c r="EF115" s="230">
        <v>639730</v>
      </c>
      <c r="EG115" s="230">
        <v>1047312</v>
      </c>
      <c r="EH115" s="229">
        <v>-0.38919999999999999</v>
      </c>
      <c r="EI115" s="229">
        <v>0.4677</v>
      </c>
      <c r="EJ115" s="231">
        <v>194233.67</v>
      </c>
      <c r="EK115" s="231">
        <v>74973.759999999995</v>
      </c>
      <c r="EL115" s="231">
        <v>43627.839999999997</v>
      </c>
      <c r="EM115" s="228">
        <v>0</v>
      </c>
      <c r="EN115" s="231">
        <v>312835.27</v>
      </c>
      <c r="EO115" s="231">
        <v>293095.40000000002</v>
      </c>
      <c r="EP115" s="231">
        <v>19739.87</v>
      </c>
      <c r="EQ115" s="229">
        <v>6.7299999999999999E-2</v>
      </c>
      <c r="ER115" s="231">
        <v>97226</v>
      </c>
      <c r="ES115" s="231">
        <v>68954</v>
      </c>
      <c r="ET115" s="231">
        <v>445388</v>
      </c>
      <c r="EU115" s="231">
        <v>266333238</v>
      </c>
      <c r="EV115" s="231">
        <v>611569</v>
      </c>
      <c r="EW115" s="231">
        <v>593194</v>
      </c>
      <c r="EX115" s="231">
        <v>18375</v>
      </c>
      <c r="EY115" s="229">
        <v>3.1E-2</v>
      </c>
      <c r="EZ115" s="229">
        <v>0.21229999999999999</v>
      </c>
      <c r="FA115" s="227" t="s">
        <v>555</v>
      </c>
      <c r="FB115" s="161">
        <f t="shared" si="1"/>
        <v>2247750</v>
      </c>
    </row>
    <row r="116" spans="1:158" ht="17.25" hidden="1" thickBot="1" x14ac:dyDescent="0.3">
      <c r="A116" s="226">
        <v>45889</v>
      </c>
      <c r="B116" s="227" t="s">
        <v>168</v>
      </c>
      <c r="C116" s="227" t="s">
        <v>245</v>
      </c>
      <c r="D116" s="228">
        <v>1250</v>
      </c>
      <c r="E116" s="228">
        <v>635.9</v>
      </c>
      <c r="F116" s="228">
        <v>634.85</v>
      </c>
      <c r="G116" s="228">
        <v>1.05</v>
      </c>
      <c r="H116" s="229">
        <v>1.6999999999999999E-3</v>
      </c>
      <c r="I116" s="228">
        <v>634.20000000000005</v>
      </c>
      <c r="J116" s="228">
        <v>634.04999999999995</v>
      </c>
      <c r="K116" s="228">
        <v>0.15</v>
      </c>
      <c r="L116" s="229">
        <v>2.0000000000000001E-4</v>
      </c>
      <c r="M116" s="228">
        <v>635.9</v>
      </c>
      <c r="N116" s="228">
        <v>634.85</v>
      </c>
      <c r="O116" s="228">
        <v>1.05</v>
      </c>
      <c r="P116" s="229">
        <v>1.6999999999999999E-3</v>
      </c>
      <c r="Q116" s="228">
        <v>639.15</v>
      </c>
      <c r="R116" s="228">
        <v>638.65</v>
      </c>
      <c r="S116" s="228">
        <v>0.5</v>
      </c>
      <c r="T116" s="229">
        <v>8.0000000000000004E-4</v>
      </c>
      <c r="U116" s="228">
        <v>642.20000000000005</v>
      </c>
      <c r="V116" s="228">
        <v>636.20000000000005</v>
      </c>
      <c r="W116" s="228">
        <v>6</v>
      </c>
      <c r="X116" s="229">
        <v>9.4000000000000004E-3</v>
      </c>
      <c r="Y116" s="228">
        <v>1.7</v>
      </c>
      <c r="Z116" s="228">
        <v>0.8</v>
      </c>
      <c r="AA116" s="228">
        <v>0.9</v>
      </c>
      <c r="AB116" s="229">
        <v>2.7000000000000001E-3</v>
      </c>
      <c r="AC116" s="228">
        <v>1.7</v>
      </c>
      <c r="AD116" s="228">
        <v>0.8</v>
      </c>
      <c r="AE116" s="228">
        <v>0.9</v>
      </c>
      <c r="AF116" s="229">
        <v>2.7000000000000001E-3</v>
      </c>
      <c r="AG116" s="228">
        <v>4.95</v>
      </c>
      <c r="AH116" s="228">
        <v>4.5999999999999996</v>
      </c>
      <c r="AI116" s="228">
        <v>0.35</v>
      </c>
      <c r="AJ116" s="229">
        <v>7.7999999999999996E-3</v>
      </c>
      <c r="AK116" s="228">
        <v>8</v>
      </c>
      <c r="AL116" s="228">
        <v>2.15</v>
      </c>
      <c r="AM116" s="228">
        <v>5.85</v>
      </c>
      <c r="AN116" s="229">
        <v>1.26E-2</v>
      </c>
      <c r="AO116" s="228">
        <v>636.62</v>
      </c>
      <c r="AP116" s="228">
        <v>640.05999999999995</v>
      </c>
      <c r="AQ116" s="228">
        <v>0</v>
      </c>
      <c r="AR116" s="230">
        <v>1993750</v>
      </c>
      <c r="AS116" s="230">
        <v>3206250</v>
      </c>
      <c r="AT116" s="230">
        <v>-1212500</v>
      </c>
      <c r="AU116" s="229">
        <v>-0.37819999999999998</v>
      </c>
      <c r="AV116" s="230">
        <v>1670000</v>
      </c>
      <c r="AW116" s="230">
        <v>2845000</v>
      </c>
      <c r="AX116" s="230">
        <v>-1175000</v>
      </c>
      <c r="AY116" s="229">
        <v>-0.41299999999999998</v>
      </c>
      <c r="AZ116" s="230">
        <v>298750</v>
      </c>
      <c r="BA116" s="230">
        <v>342500</v>
      </c>
      <c r="BB116" s="230">
        <v>-43750</v>
      </c>
      <c r="BC116" s="229">
        <v>-0.12770000000000001</v>
      </c>
      <c r="BD116" s="230">
        <v>25000</v>
      </c>
      <c r="BE116" s="230">
        <v>18750</v>
      </c>
      <c r="BF116" s="230">
        <v>6250</v>
      </c>
      <c r="BG116" s="229">
        <v>0.33329999999999999</v>
      </c>
      <c r="BH116" s="230">
        <v>5461250</v>
      </c>
      <c r="BI116" s="230">
        <v>10912500</v>
      </c>
      <c r="BJ116" s="230">
        <v>-5451250</v>
      </c>
      <c r="BK116" s="229">
        <v>-0.4995</v>
      </c>
      <c r="BL116" s="230">
        <v>1988750</v>
      </c>
      <c r="BM116" s="230">
        <v>4442500</v>
      </c>
      <c r="BN116" s="230">
        <v>-2453750</v>
      </c>
      <c r="BO116" s="229">
        <v>-0.55230000000000001</v>
      </c>
      <c r="BP116" s="230">
        <v>9443750</v>
      </c>
      <c r="BQ116" s="230">
        <v>18561250</v>
      </c>
      <c r="BR116" s="230">
        <v>-9117500</v>
      </c>
      <c r="BS116" s="229">
        <v>-0.49120000000000003</v>
      </c>
      <c r="BT116" s="230">
        <v>1302330</v>
      </c>
      <c r="BU116" s="230">
        <v>1668067</v>
      </c>
      <c r="BV116" s="230">
        <v>-365737</v>
      </c>
      <c r="BW116" s="229">
        <v>-0.21929999999999999</v>
      </c>
      <c r="BX116" s="230">
        <v>25443750</v>
      </c>
      <c r="BY116" s="230">
        <v>25336250</v>
      </c>
      <c r="BZ116" s="230">
        <v>107500</v>
      </c>
      <c r="CA116" s="229">
        <v>4.1999999999999997E-3</v>
      </c>
      <c r="CB116" s="230">
        <v>24605000</v>
      </c>
      <c r="CC116" s="230">
        <v>24630000</v>
      </c>
      <c r="CD116" s="230">
        <v>-25000</v>
      </c>
      <c r="CE116" s="229">
        <v>-1E-3</v>
      </c>
      <c r="CF116" s="230">
        <v>776250</v>
      </c>
      <c r="CG116" s="230">
        <v>660000</v>
      </c>
      <c r="CH116" s="230">
        <v>116250</v>
      </c>
      <c r="CI116" s="229">
        <v>0.17610000000000001</v>
      </c>
      <c r="CJ116" s="230">
        <v>62500</v>
      </c>
      <c r="CK116" s="230">
        <v>46250</v>
      </c>
      <c r="CL116" s="230">
        <v>16250</v>
      </c>
      <c r="CM116" s="229">
        <v>0.35139999999999999</v>
      </c>
      <c r="CN116" s="230">
        <v>7905000</v>
      </c>
      <c r="CO116" s="230">
        <v>7997500</v>
      </c>
      <c r="CP116" s="230">
        <v>-92500</v>
      </c>
      <c r="CQ116" s="229">
        <v>-1.1599999999999999E-2</v>
      </c>
      <c r="CR116" s="230">
        <v>4135000</v>
      </c>
      <c r="CS116" s="230">
        <v>4097500</v>
      </c>
      <c r="CT116" s="230">
        <v>37500</v>
      </c>
      <c r="CU116" s="229">
        <v>9.1999999999999998E-3</v>
      </c>
      <c r="CV116" s="230">
        <v>37483750</v>
      </c>
      <c r="CW116" s="230">
        <v>37431250</v>
      </c>
      <c r="CX116" s="230">
        <v>52500</v>
      </c>
      <c r="CY116" s="229">
        <v>1.4E-3</v>
      </c>
      <c r="CZ116" s="228">
        <v>28.82</v>
      </c>
      <c r="DA116" s="228">
        <v>28.77</v>
      </c>
      <c r="DB116" s="228">
        <v>0.05</v>
      </c>
      <c r="DC116" s="228">
        <v>0.05</v>
      </c>
      <c r="DD116" s="228">
        <v>35.26</v>
      </c>
      <c r="DE116" s="228">
        <v>35.35</v>
      </c>
      <c r="DF116" s="228">
        <v>-6.44</v>
      </c>
      <c r="DG116" s="228">
        <v>-0.09</v>
      </c>
      <c r="DH116" s="228">
        <v>29.44</v>
      </c>
      <c r="DI116" s="228">
        <v>29.37</v>
      </c>
      <c r="DJ116" s="228">
        <v>7.0000000000000007E-2</v>
      </c>
      <c r="DK116" s="228">
        <v>7.0000000000000007E-2</v>
      </c>
      <c r="DL116" s="228">
        <v>27.11</v>
      </c>
      <c r="DM116" s="228">
        <v>27.3</v>
      </c>
      <c r="DN116" s="228">
        <v>-0.19</v>
      </c>
      <c r="DO116" s="228">
        <v>-0.19</v>
      </c>
      <c r="DP116" s="228">
        <v>0.52</v>
      </c>
      <c r="DQ116" s="228">
        <v>0.51</v>
      </c>
      <c r="DR116" s="228">
        <v>0.01</v>
      </c>
      <c r="DS116" s="229">
        <v>1.9599999999999999E-2</v>
      </c>
      <c r="DT116" s="228">
        <v>660</v>
      </c>
      <c r="DU116" s="228">
        <v>630</v>
      </c>
      <c r="DV116" s="228">
        <v>0.36</v>
      </c>
      <c r="DW116" s="228">
        <v>0.41</v>
      </c>
      <c r="DX116" s="228">
        <v>-0.05</v>
      </c>
      <c r="DY116" s="229">
        <v>-0.122</v>
      </c>
      <c r="DZ116" s="229">
        <v>3.3000000000000002E-2</v>
      </c>
      <c r="EA116" s="230">
        <v>706250</v>
      </c>
      <c r="EB116" s="229">
        <v>5.1000000000000004E-3</v>
      </c>
      <c r="EC116" s="229">
        <v>3.3000000000000002E-2</v>
      </c>
      <c r="ED116" s="228">
        <v>3.44</v>
      </c>
      <c r="EE116" s="229">
        <v>5.4000000000000003E-3</v>
      </c>
      <c r="EF116" s="230">
        <v>875809</v>
      </c>
      <c r="EG116" s="230">
        <v>873821</v>
      </c>
      <c r="EH116" s="229">
        <v>2.3E-3</v>
      </c>
      <c r="EI116" s="229">
        <v>0.67249999999999999</v>
      </c>
      <c r="EJ116" s="231">
        <v>36024.33</v>
      </c>
      <c r="EK116" s="231">
        <v>12377.71</v>
      </c>
      <c r="EL116" s="231">
        <v>12704.47</v>
      </c>
      <c r="EM116" s="228">
        <v>0</v>
      </c>
      <c r="EN116" s="231">
        <v>61106.51</v>
      </c>
      <c r="EO116" s="231">
        <v>120168.37</v>
      </c>
      <c r="EP116" s="231">
        <v>-59061.86</v>
      </c>
      <c r="EQ116" s="229">
        <v>-0.49149999999999999</v>
      </c>
      <c r="ER116" s="231">
        <v>52989</v>
      </c>
      <c r="ES116" s="231">
        <v>25651</v>
      </c>
      <c r="ET116" s="231">
        <v>161826</v>
      </c>
      <c r="EU116" s="231">
        <v>78379986</v>
      </c>
      <c r="EV116" s="231">
        <v>240466</v>
      </c>
      <c r="EW116" s="231">
        <v>239905</v>
      </c>
      <c r="EX116" s="228">
        <v>561</v>
      </c>
      <c r="EY116" s="229">
        <v>2.3E-3</v>
      </c>
      <c r="EZ116" s="229">
        <v>0.47820000000000001</v>
      </c>
      <c r="FA116" s="227" t="s">
        <v>555</v>
      </c>
      <c r="FB116" s="161">
        <f t="shared" si="1"/>
        <v>838750</v>
      </c>
    </row>
    <row r="117" spans="1:158" ht="17.25" hidden="1" thickBot="1" x14ac:dyDescent="0.3">
      <c r="A117" s="226">
        <v>45889</v>
      </c>
      <c r="B117" s="227" t="s">
        <v>168</v>
      </c>
      <c r="C117" s="227" t="s">
        <v>583</v>
      </c>
      <c r="D117" s="228">
        <v>1175</v>
      </c>
      <c r="E117" s="228">
        <v>511.25</v>
      </c>
      <c r="F117" s="228">
        <v>509.05</v>
      </c>
      <c r="G117" s="228">
        <v>2.2000000000000002</v>
      </c>
      <c r="H117" s="229">
        <v>4.3E-3</v>
      </c>
      <c r="I117" s="228">
        <v>510.6</v>
      </c>
      <c r="J117" s="228">
        <v>507.35</v>
      </c>
      <c r="K117" s="228">
        <v>3.25</v>
      </c>
      <c r="L117" s="229">
        <v>6.4000000000000003E-3</v>
      </c>
      <c r="M117" s="228">
        <v>511.25</v>
      </c>
      <c r="N117" s="228">
        <v>509.05</v>
      </c>
      <c r="O117" s="228">
        <v>2.2000000000000002</v>
      </c>
      <c r="P117" s="229">
        <v>4.3E-3</v>
      </c>
      <c r="Q117" s="228">
        <v>512.75</v>
      </c>
      <c r="R117" s="228">
        <v>510.3</v>
      </c>
      <c r="S117" s="228">
        <v>2.4500000000000002</v>
      </c>
      <c r="T117" s="229">
        <v>4.7999999999999996E-3</v>
      </c>
      <c r="U117" s="228">
        <v>515.04999999999995</v>
      </c>
      <c r="V117" s="228">
        <v>512.79999999999995</v>
      </c>
      <c r="W117" s="228">
        <v>2.25</v>
      </c>
      <c r="X117" s="229">
        <v>4.4000000000000003E-3</v>
      </c>
      <c r="Y117" s="228">
        <v>0.65</v>
      </c>
      <c r="Z117" s="228">
        <v>1.7</v>
      </c>
      <c r="AA117" s="228">
        <v>-1.05</v>
      </c>
      <c r="AB117" s="229">
        <v>1.2999999999999999E-3</v>
      </c>
      <c r="AC117" s="228">
        <v>0.65</v>
      </c>
      <c r="AD117" s="228">
        <v>1.7</v>
      </c>
      <c r="AE117" s="228">
        <v>-1.05</v>
      </c>
      <c r="AF117" s="229">
        <v>1.2999999999999999E-3</v>
      </c>
      <c r="AG117" s="228">
        <v>2.15</v>
      </c>
      <c r="AH117" s="228">
        <v>2.95</v>
      </c>
      <c r="AI117" s="228">
        <v>-0.8</v>
      </c>
      <c r="AJ117" s="229">
        <v>4.1999999999999997E-3</v>
      </c>
      <c r="AK117" s="228">
        <v>4.45</v>
      </c>
      <c r="AL117" s="228">
        <v>5.45</v>
      </c>
      <c r="AM117" s="228">
        <v>-1</v>
      </c>
      <c r="AN117" s="229">
        <v>8.6999999999999994E-3</v>
      </c>
      <c r="AO117" s="228">
        <v>510.28</v>
      </c>
      <c r="AP117" s="228">
        <v>511.86</v>
      </c>
      <c r="AQ117" s="228">
        <v>0</v>
      </c>
      <c r="AR117" s="230">
        <v>24280200</v>
      </c>
      <c r="AS117" s="230">
        <v>12921475</v>
      </c>
      <c r="AT117" s="230">
        <v>11358725</v>
      </c>
      <c r="AU117" s="229">
        <v>0.87909999999999999</v>
      </c>
      <c r="AV117" s="230">
        <v>14887250</v>
      </c>
      <c r="AW117" s="230">
        <v>9236675</v>
      </c>
      <c r="AX117" s="230">
        <v>5650575</v>
      </c>
      <c r="AY117" s="229">
        <v>0.61180000000000001</v>
      </c>
      <c r="AZ117" s="230">
        <v>9231975</v>
      </c>
      <c r="BA117" s="230">
        <v>3527350</v>
      </c>
      <c r="BB117" s="230">
        <v>5704625</v>
      </c>
      <c r="BC117" s="229">
        <v>1.6173</v>
      </c>
      <c r="BD117" s="230">
        <v>160975</v>
      </c>
      <c r="BE117" s="230">
        <v>157450</v>
      </c>
      <c r="BF117" s="230">
        <v>3525</v>
      </c>
      <c r="BG117" s="229">
        <v>2.24E-2</v>
      </c>
      <c r="BH117" s="230">
        <v>51939700</v>
      </c>
      <c r="BI117" s="230">
        <v>48311300</v>
      </c>
      <c r="BJ117" s="230">
        <v>3628400</v>
      </c>
      <c r="BK117" s="229">
        <v>7.51E-2</v>
      </c>
      <c r="BL117" s="230">
        <v>15609875</v>
      </c>
      <c r="BM117" s="230">
        <v>21255750</v>
      </c>
      <c r="BN117" s="230">
        <v>-5645875</v>
      </c>
      <c r="BO117" s="229">
        <v>-0.2656</v>
      </c>
      <c r="BP117" s="230">
        <v>91829775</v>
      </c>
      <c r="BQ117" s="230">
        <v>82488525</v>
      </c>
      <c r="BR117" s="230">
        <v>9341250</v>
      </c>
      <c r="BS117" s="229">
        <v>0.1132</v>
      </c>
      <c r="BT117" s="230">
        <v>9200905</v>
      </c>
      <c r="BU117" s="230">
        <v>11063165</v>
      </c>
      <c r="BV117" s="230">
        <v>-1862260</v>
      </c>
      <c r="BW117" s="229">
        <v>-0.16830000000000001</v>
      </c>
      <c r="BX117" s="230">
        <v>33001050</v>
      </c>
      <c r="BY117" s="230">
        <v>31760250</v>
      </c>
      <c r="BZ117" s="230">
        <v>1240800</v>
      </c>
      <c r="CA117" s="229">
        <v>3.9100000000000003E-2</v>
      </c>
      <c r="CB117" s="230">
        <v>20883275</v>
      </c>
      <c r="CC117" s="230">
        <v>26960375</v>
      </c>
      <c r="CD117" s="230">
        <v>-6077100</v>
      </c>
      <c r="CE117" s="229">
        <v>-0.22539999999999999</v>
      </c>
      <c r="CF117" s="230">
        <v>11731200</v>
      </c>
      <c r="CG117" s="230">
        <v>4448550</v>
      </c>
      <c r="CH117" s="230">
        <v>7282650</v>
      </c>
      <c r="CI117" s="229">
        <v>1.6371</v>
      </c>
      <c r="CJ117" s="230">
        <v>386575</v>
      </c>
      <c r="CK117" s="230">
        <v>351325</v>
      </c>
      <c r="CL117" s="230">
        <v>35250</v>
      </c>
      <c r="CM117" s="229">
        <v>0.1003</v>
      </c>
      <c r="CN117" s="230">
        <v>29474875</v>
      </c>
      <c r="CO117" s="230">
        <v>29035425</v>
      </c>
      <c r="CP117" s="230">
        <v>439450</v>
      </c>
      <c r="CQ117" s="229">
        <v>1.5100000000000001E-2</v>
      </c>
      <c r="CR117" s="230">
        <v>10171975</v>
      </c>
      <c r="CS117" s="230">
        <v>9638525</v>
      </c>
      <c r="CT117" s="230">
        <v>533450</v>
      </c>
      <c r="CU117" s="229">
        <v>5.5300000000000002E-2</v>
      </c>
      <c r="CV117" s="230">
        <v>72647900</v>
      </c>
      <c r="CW117" s="230">
        <v>70434200</v>
      </c>
      <c r="CX117" s="230">
        <v>2213700</v>
      </c>
      <c r="CY117" s="229">
        <v>3.1399999999999997E-2</v>
      </c>
      <c r="CZ117" s="228">
        <v>45.45</v>
      </c>
      <c r="DA117" s="228">
        <v>45.46</v>
      </c>
      <c r="DB117" s="228">
        <v>-0.01</v>
      </c>
      <c r="DC117" s="228">
        <v>-0.01</v>
      </c>
      <c r="DD117" s="228">
        <v>54.81</v>
      </c>
      <c r="DE117" s="228">
        <v>54.94</v>
      </c>
      <c r="DF117" s="228">
        <v>-9.36</v>
      </c>
      <c r="DG117" s="228">
        <v>-0.13</v>
      </c>
      <c r="DH117" s="228">
        <v>46.64</v>
      </c>
      <c r="DI117" s="228">
        <v>46.81</v>
      </c>
      <c r="DJ117" s="228">
        <v>-0.17</v>
      </c>
      <c r="DK117" s="228">
        <v>-0.17</v>
      </c>
      <c r="DL117" s="228">
        <v>41.47</v>
      </c>
      <c r="DM117" s="228">
        <v>42.4</v>
      </c>
      <c r="DN117" s="228">
        <v>-0.93</v>
      </c>
      <c r="DO117" s="228">
        <v>-0.93</v>
      </c>
      <c r="DP117" s="228">
        <v>0.35</v>
      </c>
      <c r="DQ117" s="228">
        <v>0.33</v>
      </c>
      <c r="DR117" s="228">
        <v>0.02</v>
      </c>
      <c r="DS117" s="229">
        <v>6.0600000000000001E-2</v>
      </c>
      <c r="DT117" s="228">
        <v>600</v>
      </c>
      <c r="DU117" s="228">
        <v>500</v>
      </c>
      <c r="DV117" s="228">
        <v>0.3</v>
      </c>
      <c r="DW117" s="228">
        <v>0.44</v>
      </c>
      <c r="DX117" s="228">
        <v>-0.14000000000000001</v>
      </c>
      <c r="DY117" s="229">
        <v>-0.31819999999999998</v>
      </c>
      <c r="DZ117" s="229">
        <v>0.36720000000000003</v>
      </c>
      <c r="EA117" s="230">
        <v>4799875</v>
      </c>
      <c r="EB117" s="229">
        <v>2.8999999999999998E-3</v>
      </c>
      <c r="EC117" s="229">
        <v>0.36720000000000003</v>
      </c>
      <c r="ED117" s="228">
        <v>1.58</v>
      </c>
      <c r="EE117" s="229">
        <v>3.0999999999999999E-3</v>
      </c>
      <c r="EF117" s="230">
        <v>2783552</v>
      </c>
      <c r="EG117" s="230">
        <v>4242535</v>
      </c>
      <c r="EH117" s="229">
        <v>-0.34389999999999998</v>
      </c>
      <c r="EI117" s="229">
        <v>0.30249999999999999</v>
      </c>
      <c r="EJ117" s="231">
        <v>283531.45</v>
      </c>
      <c r="EK117" s="231">
        <v>79909.63</v>
      </c>
      <c r="EL117" s="231">
        <v>124048.73</v>
      </c>
      <c r="EM117" s="228">
        <v>0</v>
      </c>
      <c r="EN117" s="231">
        <v>487489.81</v>
      </c>
      <c r="EO117" s="231">
        <v>439856.33</v>
      </c>
      <c r="EP117" s="231">
        <v>47633.48</v>
      </c>
      <c r="EQ117" s="229">
        <v>0.10829999999999999</v>
      </c>
      <c r="ER117" s="231">
        <v>168120</v>
      </c>
      <c r="ES117" s="231">
        <v>52292</v>
      </c>
      <c r="ET117" s="231">
        <v>168909</v>
      </c>
      <c r="EU117" s="231">
        <v>76736012</v>
      </c>
      <c r="EV117" s="231">
        <v>389321</v>
      </c>
      <c r="EW117" s="231">
        <v>377894</v>
      </c>
      <c r="EX117" s="231">
        <v>11427</v>
      </c>
      <c r="EY117" s="229">
        <v>3.0200000000000001E-2</v>
      </c>
      <c r="EZ117" s="229">
        <v>0.94669999999999999</v>
      </c>
      <c r="FA117" s="227" t="s">
        <v>555</v>
      </c>
      <c r="FB117" s="161">
        <f t="shared" si="1"/>
        <v>12117775</v>
      </c>
    </row>
    <row r="118" spans="1:158" ht="17.25" hidden="1" thickBot="1" x14ac:dyDescent="0.3">
      <c r="A118" s="226">
        <v>45889</v>
      </c>
      <c r="B118" s="227" t="s">
        <v>184</v>
      </c>
      <c r="C118" s="227" t="s">
        <v>678</v>
      </c>
      <c r="D118" s="228">
        <v>100</v>
      </c>
      <c r="E118" s="231">
        <v>6218.5</v>
      </c>
      <c r="F118" s="231">
        <v>6292</v>
      </c>
      <c r="G118" s="228">
        <v>-73.5</v>
      </c>
      <c r="H118" s="229">
        <v>-1.17E-2</v>
      </c>
      <c r="I118" s="231">
        <v>6200.5</v>
      </c>
      <c r="J118" s="231">
        <v>6272</v>
      </c>
      <c r="K118" s="228">
        <v>-71.5</v>
      </c>
      <c r="L118" s="229">
        <v>-1.14E-2</v>
      </c>
      <c r="M118" s="231">
        <v>6218.5</v>
      </c>
      <c r="N118" s="231">
        <v>6292</v>
      </c>
      <c r="O118" s="228">
        <v>-73.5</v>
      </c>
      <c r="P118" s="229">
        <v>-1.17E-2</v>
      </c>
      <c r="Q118" s="231">
        <v>6243.5</v>
      </c>
      <c r="R118" s="231">
        <v>6313</v>
      </c>
      <c r="S118" s="228">
        <v>-69.5</v>
      </c>
      <c r="T118" s="229">
        <v>-1.0999999999999999E-2</v>
      </c>
      <c r="U118" s="231">
        <v>6262.5</v>
      </c>
      <c r="V118" s="231">
        <v>6331.5</v>
      </c>
      <c r="W118" s="228">
        <v>-69</v>
      </c>
      <c r="X118" s="229">
        <v>-1.09E-2</v>
      </c>
      <c r="Y118" s="228">
        <v>18</v>
      </c>
      <c r="Z118" s="228">
        <v>20</v>
      </c>
      <c r="AA118" s="228">
        <v>-2</v>
      </c>
      <c r="AB118" s="229">
        <v>2.8999999999999998E-3</v>
      </c>
      <c r="AC118" s="228">
        <v>18</v>
      </c>
      <c r="AD118" s="228">
        <v>20</v>
      </c>
      <c r="AE118" s="228">
        <v>-2</v>
      </c>
      <c r="AF118" s="229">
        <v>2.8999999999999998E-3</v>
      </c>
      <c r="AG118" s="228">
        <v>43</v>
      </c>
      <c r="AH118" s="228">
        <v>41</v>
      </c>
      <c r="AI118" s="228">
        <v>2</v>
      </c>
      <c r="AJ118" s="229">
        <v>6.8999999999999999E-3</v>
      </c>
      <c r="AK118" s="228">
        <v>62</v>
      </c>
      <c r="AL118" s="228">
        <v>59.5</v>
      </c>
      <c r="AM118" s="228">
        <v>2.5</v>
      </c>
      <c r="AN118" s="229">
        <v>0.01</v>
      </c>
      <c r="AO118" s="231">
        <v>6248.75</v>
      </c>
      <c r="AP118" s="231">
        <v>6268.5</v>
      </c>
      <c r="AQ118" s="228">
        <v>0</v>
      </c>
      <c r="AR118" s="230">
        <v>224800</v>
      </c>
      <c r="AS118" s="230">
        <v>270000</v>
      </c>
      <c r="AT118" s="230">
        <v>-45200</v>
      </c>
      <c r="AU118" s="229">
        <v>-0.16739999999999999</v>
      </c>
      <c r="AV118" s="230">
        <v>180600</v>
      </c>
      <c r="AW118" s="230">
        <v>229000</v>
      </c>
      <c r="AX118" s="230">
        <v>-48400</v>
      </c>
      <c r="AY118" s="229">
        <v>-0.2114</v>
      </c>
      <c r="AZ118" s="230">
        <v>40000</v>
      </c>
      <c r="BA118" s="230">
        <v>37700</v>
      </c>
      <c r="BB118" s="230">
        <v>2300</v>
      </c>
      <c r="BC118" s="229">
        <v>6.0999999999999999E-2</v>
      </c>
      <c r="BD118" s="230">
        <v>4200</v>
      </c>
      <c r="BE118" s="230">
        <v>3300</v>
      </c>
      <c r="BF118" s="228">
        <v>900</v>
      </c>
      <c r="BG118" s="229">
        <v>0.2727</v>
      </c>
      <c r="BH118" s="230">
        <v>1188800</v>
      </c>
      <c r="BI118" s="230">
        <v>1267800</v>
      </c>
      <c r="BJ118" s="230">
        <v>-79000</v>
      </c>
      <c r="BK118" s="229">
        <v>-6.2300000000000001E-2</v>
      </c>
      <c r="BL118" s="230">
        <v>540500</v>
      </c>
      <c r="BM118" s="230">
        <v>555700</v>
      </c>
      <c r="BN118" s="230">
        <v>-15200</v>
      </c>
      <c r="BO118" s="229">
        <v>-2.7400000000000001E-2</v>
      </c>
      <c r="BP118" s="230">
        <v>1954100</v>
      </c>
      <c r="BQ118" s="230">
        <v>2093500</v>
      </c>
      <c r="BR118" s="230">
        <v>-139400</v>
      </c>
      <c r="BS118" s="229">
        <v>-6.6600000000000006E-2</v>
      </c>
      <c r="BT118" s="230">
        <v>303758</v>
      </c>
      <c r="BU118" s="230">
        <v>355305</v>
      </c>
      <c r="BV118" s="230">
        <v>-51547</v>
      </c>
      <c r="BW118" s="229">
        <v>-0.14510000000000001</v>
      </c>
      <c r="BX118" s="230">
        <v>830100</v>
      </c>
      <c r="BY118" s="230">
        <v>819400</v>
      </c>
      <c r="BZ118" s="230">
        <v>10700</v>
      </c>
      <c r="CA118" s="229">
        <v>1.3100000000000001E-2</v>
      </c>
      <c r="CB118" s="230">
        <v>772000</v>
      </c>
      <c r="CC118" s="230">
        <v>772000</v>
      </c>
      <c r="CD118" s="228">
        <v>0</v>
      </c>
      <c r="CE118" s="229">
        <v>0</v>
      </c>
      <c r="CF118" s="230">
        <v>53700</v>
      </c>
      <c r="CG118" s="230">
        <v>43300</v>
      </c>
      <c r="CH118" s="230">
        <v>10400</v>
      </c>
      <c r="CI118" s="229">
        <v>0.2402</v>
      </c>
      <c r="CJ118" s="230">
        <v>4400</v>
      </c>
      <c r="CK118" s="230">
        <v>4100</v>
      </c>
      <c r="CL118" s="228">
        <v>300</v>
      </c>
      <c r="CM118" s="229">
        <v>7.3200000000000001E-2</v>
      </c>
      <c r="CN118" s="230">
        <v>967100</v>
      </c>
      <c r="CO118" s="230">
        <v>894400</v>
      </c>
      <c r="CP118" s="230">
        <v>72700</v>
      </c>
      <c r="CQ118" s="229">
        <v>8.1299999999999997E-2</v>
      </c>
      <c r="CR118" s="230">
        <v>610700</v>
      </c>
      <c r="CS118" s="230">
        <v>607700</v>
      </c>
      <c r="CT118" s="230">
        <v>3000</v>
      </c>
      <c r="CU118" s="229">
        <v>4.8999999999999998E-3</v>
      </c>
      <c r="CV118" s="230">
        <v>2407900</v>
      </c>
      <c r="CW118" s="230">
        <v>2321500</v>
      </c>
      <c r="CX118" s="230">
        <v>86400</v>
      </c>
      <c r="CY118" s="229">
        <v>3.7199999999999997E-2</v>
      </c>
      <c r="CZ118" s="228">
        <v>38.909999999999997</v>
      </c>
      <c r="DA118" s="228">
        <v>37.74</v>
      </c>
      <c r="DB118" s="228">
        <v>1.17</v>
      </c>
      <c r="DC118" s="228">
        <v>1.17</v>
      </c>
      <c r="DD118" s="228">
        <v>58.33</v>
      </c>
      <c r="DE118" s="228">
        <v>58.46</v>
      </c>
      <c r="DF118" s="228">
        <v>-19.420000000000002</v>
      </c>
      <c r="DG118" s="228">
        <v>-0.13</v>
      </c>
      <c r="DH118" s="228">
        <v>38.700000000000003</v>
      </c>
      <c r="DI118" s="228">
        <v>37.36</v>
      </c>
      <c r="DJ118" s="228">
        <v>1.34</v>
      </c>
      <c r="DK118" s="228">
        <v>1.34</v>
      </c>
      <c r="DL118" s="228">
        <v>39.380000000000003</v>
      </c>
      <c r="DM118" s="228">
        <v>38.6</v>
      </c>
      <c r="DN118" s="228">
        <v>0.78</v>
      </c>
      <c r="DO118" s="228">
        <v>0.78</v>
      </c>
      <c r="DP118" s="228">
        <v>0.63</v>
      </c>
      <c r="DQ118" s="228">
        <v>0.68</v>
      </c>
      <c r="DR118" s="228">
        <v>-0.05</v>
      </c>
      <c r="DS118" s="229">
        <v>-7.3499999999999996E-2</v>
      </c>
      <c r="DT118" s="231">
        <v>7000</v>
      </c>
      <c r="DU118" s="231">
        <v>5000</v>
      </c>
      <c r="DV118" s="228">
        <v>0.45</v>
      </c>
      <c r="DW118" s="228">
        <v>0.44</v>
      </c>
      <c r="DX118" s="228">
        <v>0.01</v>
      </c>
      <c r="DY118" s="229">
        <v>2.2700000000000001E-2</v>
      </c>
      <c r="DZ118" s="229">
        <v>7.0000000000000007E-2</v>
      </c>
      <c r="EA118" s="230">
        <v>47400</v>
      </c>
      <c r="EB118" s="229">
        <v>4.0000000000000001E-3</v>
      </c>
      <c r="EC118" s="229">
        <v>7.0000000000000007E-2</v>
      </c>
      <c r="ED118" s="228">
        <v>19.75</v>
      </c>
      <c r="EE118" s="229">
        <v>3.2000000000000002E-3</v>
      </c>
      <c r="EF118" s="230">
        <v>66514</v>
      </c>
      <c r="EG118" s="230">
        <v>78261</v>
      </c>
      <c r="EH118" s="229">
        <v>-0.15010000000000001</v>
      </c>
      <c r="EI118" s="229">
        <v>0.219</v>
      </c>
      <c r="EJ118" s="231">
        <v>78213.84</v>
      </c>
      <c r="EK118" s="231">
        <v>32865.53</v>
      </c>
      <c r="EL118" s="231">
        <v>14057.86</v>
      </c>
      <c r="EM118" s="228">
        <v>0</v>
      </c>
      <c r="EN118" s="231">
        <v>125137.23</v>
      </c>
      <c r="EO118" s="231">
        <v>134530.79999999999</v>
      </c>
      <c r="EP118" s="231">
        <v>-9393.57</v>
      </c>
      <c r="EQ118" s="229">
        <v>-6.9800000000000001E-2</v>
      </c>
      <c r="ER118" s="231">
        <v>63179</v>
      </c>
      <c r="ES118" s="231">
        <v>34732</v>
      </c>
      <c r="ET118" s="231">
        <v>51635</v>
      </c>
      <c r="EU118" s="231">
        <v>6223712</v>
      </c>
      <c r="EV118" s="231">
        <v>149547</v>
      </c>
      <c r="EW118" s="231">
        <v>144565</v>
      </c>
      <c r="EX118" s="231">
        <v>4982</v>
      </c>
      <c r="EY118" s="229">
        <v>3.4500000000000003E-2</v>
      </c>
      <c r="EZ118" s="229">
        <v>0.38690000000000002</v>
      </c>
      <c r="FA118" s="227" t="s">
        <v>567</v>
      </c>
      <c r="FB118" s="161">
        <f t="shared" si="1"/>
        <v>58100</v>
      </c>
    </row>
    <row r="119" spans="1:158" ht="17.25" hidden="1" thickBot="1" x14ac:dyDescent="0.3">
      <c r="A119" s="226">
        <v>45889</v>
      </c>
      <c r="B119" s="227" t="s">
        <v>161</v>
      </c>
      <c r="C119" s="227" t="s">
        <v>611</v>
      </c>
      <c r="D119" s="228">
        <v>175</v>
      </c>
      <c r="E119" s="231">
        <v>3987.7</v>
      </c>
      <c r="F119" s="231">
        <v>3956.2</v>
      </c>
      <c r="G119" s="228">
        <v>31.5</v>
      </c>
      <c r="H119" s="229">
        <v>8.0000000000000002E-3</v>
      </c>
      <c r="I119" s="231">
        <v>3986.4</v>
      </c>
      <c r="J119" s="231">
        <v>3946.6</v>
      </c>
      <c r="K119" s="228">
        <v>39.799999999999997</v>
      </c>
      <c r="L119" s="229">
        <v>1.01E-2</v>
      </c>
      <c r="M119" s="231">
        <v>3987.7</v>
      </c>
      <c r="N119" s="231">
        <v>3956.2</v>
      </c>
      <c r="O119" s="228">
        <v>31.5</v>
      </c>
      <c r="P119" s="229">
        <v>8.0000000000000002E-3</v>
      </c>
      <c r="Q119" s="231">
        <v>4006.7</v>
      </c>
      <c r="R119" s="231">
        <v>3973.9</v>
      </c>
      <c r="S119" s="228">
        <v>32.799999999999997</v>
      </c>
      <c r="T119" s="229">
        <v>8.3000000000000001E-3</v>
      </c>
      <c r="U119" s="231">
        <v>4040</v>
      </c>
      <c r="V119" s="231">
        <v>3991.6</v>
      </c>
      <c r="W119" s="228">
        <v>48.4</v>
      </c>
      <c r="X119" s="229">
        <v>1.21E-2</v>
      </c>
      <c r="Y119" s="228">
        <v>1.3</v>
      </c>
      <c r="Z119" s="228">
        <v>9.6</v>
      </c>
      <c r="AA119" s="228">
        <v>-8.3000000000000007</v>
      </c>
      <c r="AB119" s="229">
        <v>2.9999999999999997E-4</v>
      </c>
      <c r="AC119" s="228">
        <v>1.3</v>
      </c>
      <c r="AD119" s="228">
        <v>9.6</v>
      </c>
      <c r="AE119" s="228">
        <v>-8.3000000000000007</v>
      </c>
      <c r="AF119" s="229">
        <v>2.9999999999999997E-4</v>
      </c>
      <c r="AG119" s="228">
        <v>20.3</v>
      </c>
      <c r="AH119" s="228">
        <v>27.3</v>
      </c>
      <c r="AI119" s="228">
        <v>-7</v>
      </c>
      <c r="AJ119" s="229">
        <v>5.1000000000000004E-3</v>
      </c>
      <c r="AK119" s="228">
        <v>53.6</v>
      </c>
      <c r="AL119" s="228">
        <v>45</v>
      </c>
      <c r="AM119" s="228">
        <v>8.6</v>
      </c>
      <c r="AN119" s="229">
        <v>1.34E-2</v>
      </c>
      <c r="AO119" s="231">
        <v>4012.87</v>
      </c>
      <c r="AP119" s="231">
        <v>4033.83</v>
      </c>
      <c r="AQ119" s="228">
        <v>0</v>
      </c>
      <c r="AR119" s="230">
        <v>438725</v>
      </c>
      <c r="AS119" s="230">
        <v>467075</v>
      </c>
      <c r="AT119" s="230">
        <v>-28350</v>
      </c>
      <c r="AU119" s="229">
        <v>-6.0699999999999997E-2</v>
      </c>
      <c r="AV119" s="230">
        <v>363825</v>
      </c>
      <c r="AW119" s="230">
        <v>434700</v>
      </c>
      <c r="AX119" s="230">
        <v>-70875</v>
      </c>
      <c r="AY119" s="229">
        <v>-0.16300000000000001</v>
      </c>
      <c r="AZ119" s="230">
        <v>72100</v>
      </c>
      <c r="BA119" s="230">
        <v>31325</v>
      </c>
      <c r="BB119" s="230">
        <v>40775</v>
      </c>
      <c r="BC119" s="229">
        <v>1.3017000000000001</v>
      </c>
      <c r="BD119" s="230">
        <v>2800</v>
      </c>
      <c r="BE119" s="230">
        <v>1050</v>
      </c>
      <c r="BF119" s="230">
        <v>1750</v>
      </c>
      <c r="BG119" s="229">
        <v>1.6667000000000001</v>
      </c>
      <c r="BH119" s="230">
        <v>2781975</v>
      </c>
      <c r="BI119" s="230">
        <v>1072750</v>
      </c>
      <c r="BJ119" s="230">
        <v>1709225</v>
      </c>
      <c r="BK119" s="229">
        <v>1.5932999999999999</v>
      </c>
      <c r="BL119" s="230">
        <v>900025</v>
      </c>
      <c r="BM119" s="230">
        <v>467950</v>
      </c>
      <c r="BN119" s="230">
        <v>432075</v>
      </c>
      <c r="BO119" s="229">
        <v>0.92330000000000001</v>
      </c>
      <c r="BP119" s="230">
        <v>4120725</v>
      </c>
      <c r="BQ119" s="230">
        <v>2007775</v>
      </c>
      <c r="BR119" s="230">
        <v>2112950</v>
      </c>
      <c r="BS119" s="229">
        <v>1.0524</v>
      </c>
      <c r="BT119" s="230">
        <v>403103</v>
      </c>
      <c r="BU119" s="230">
        <v>515215</v>
      </c>
      <c r="BV119" s="230">
        <v>-112112</v>
      </c>
      <c r="BW119" s="229">
        <v>-0.21759999999999999</v>
      </c>
      <c r="BX119" s="230">
        <v>1170575</v>
      </c>
      <c r="BY119" s="230">
        <v>1188250</v>
      </c>
      <c r="BZ119" s="230">
        <v>-17675</v>
      </c>
      <c r="CA119" s="229">
        <v>-1.49E-2</v>
      </c>
      <c r="CB119" s="230">
        <v>1134175</v>
      </c>
      <c r="CC119" s="230">
        <v>1157450</v>
      </c>
      <c r="CD119" s="230">
        <v>-23275</v>
      </c>
      <c r="CE119" s="229">
        <v>-2.01E-2</v>
      </c>
      <c r="CF119" s="230">
        <v>34475</v>
      </c>
      <c r="CG119" s="230">
        <v>28875</v>
      </c>
      <c r="CH119" s="230">
        <v>5600</v>
      </c>
      <c r="CI119" s="229">
        <v>0.19389999999999999</v>
      </c>
      <c r="CJ119" s="230">
        <v>1925</v>
      </c>
      <c r="CK119" s="230">
        <v>1925</v>
      </c>
      <c r="CL119" s="228">
        <v>0</v>
      </c>
      <c r="CM119" s="229">
        <v>0</v>
      </c>
      <c r="CN119" s="230">
        <v>507325</v>
      </c>
      <c r="CO119" s="230">
        <v>363125</v>
      </c>
      <c r="CP119" s="230">
        <v>144200</v>
      </c>
      <c r="CQ119" s="229">
        <v>0.39710000000000001</v>
      </c>
      <c r="CR119" s="230">
        <v>363300</v>
      </c>
      <c r="CS119" s="230">
        <v>365750</v>
      </c>
      <c r="CT119" s="230">
        <v>-2450</v>
      </c>
      <c r="CU119" s="229">
        <v>-6.7000000000000002E-3</v>
      </c>
      <c r="CV119" s="230">
        <v>2041200</v>
      </c>
      <c r="CW119" s="230">
        <v>1917125</v>
      </c>
      <c r="CX119" s="230">
        <v>124075</v>
      </c>
      <c r="CY119" s="229">
        <v>6.4699999999999994E-2</v>
      </c>
      <c r="CZ119" s="228">
        <v>30.16</v>
      </c>
      <c r="DA119" s="228">
        <v>27.63</v>
      </c>
      <c r="DB119" s="228">
        <v>2.5299999999999998</v>
      </c>
      <c r="DC119" s="228">
        <v>2.5299999999999998</v>
      </c>
      <c r="DD119" s="228">
        <v>51.76</v>
      </c>
      <c r="DE119" s="228">
        <v>51.88</v>
      </c>
      <c r="DF119" s="228">
        <v>-21.6</v>
      </c>
      <c r="DG119" s="228">
        <v>-0.12</v>
      </c>
      <c r="DH119" s="228">
        <v>30.72</v>
      </c>
      <c r="DI119" s="228">
        <v>27.76</v>
      </c>
      <c r="DJ119" s="228">
        <v>2.96</v>
      </c>
      <c r="DK119" s="228">
        <v>2.96</v>
      </c>
      <c r="DL119" s="228">
        <v>28.42</v>
      </c>
      <c r="DM119" s="228">
        <v>27.33</v>
      </c>
      <c r="DN119" s="228">
        <v>1.0900000000000001</v>
      </c>
      <c r="DO119" s="228">
        <v>1.0900000000000001</v>
      </c>
      <c r="DP119" s="228">
        <v>0.72</v>
      </c>
      <c r="DQ119" s="228">
        <v>1.01</v>
      </c>
      <c r="DR119" s="228">
        <v>-0.28999999999999998</v>
      </c>
      <c r="DS119" s="229">
        <v>-0.28710000000000002</v>
      </c>
      <c r="DT119" s="231">
        <v>4100</v>
      </c>
      <c r="DU119" s="231">
        <v>3800</v>
      </c>
      <c r="DV119" s="228">
        <v>0.32</v>
      </c>
      <c r="DW119" s="228">
        <v>0.44</v>
      </c>
      <c r="DX119" s="228">
        <v>-0.12</v>
      </c>
      <c r="DY119" s="229">
        <v>-0.2727</v>
      </c>
      <c r="DZ119" s="229">
        <v>3.1099999999999999E-2</v>
      </c>
      <c r="EA119" s="230">
        <v>30800</v>
      </c>
      <c r="EB119" s="229">
        <v>4.7999999999999996E-3</v>
      </c>
      <c r="EC119" s="229">
        <v>3.1099999999999999E-2</v>
      </c>
      <c r="ED119" s="228">
        <v>20.96</v>
      </c>
      <c r="EE119" s="229">
        <v>5.1999999999999998E-3</v>
      </c>
      <c r="EF119" s="230">
        <v>165649</v>
      </c>
      <c r="EG119" s="230">
        <v>327621</v>
      </c>
      <c r="EH119" s="229">
        <v>-0.49440000000000001</v>
      </c>
      <c r="EI119" s="229">
        <v>0.41089999999999999</v>
      </c>
      <c r="EJ119" s="231">
        <v>114817.01</v>
      </c>
      <c r="EK119" s="231">
        <v>35244.03</v>
      </c>
      <c r="EL119" s="231">
        <v>17621.78</v>
      </c>
      <c r="EM119" s="228">
        <v>0</v>
      </c>
      <c r="EN119" s="231">
        <v>167682.82</v>
      </c>
      <c r="EO119" s="231">
        <v>79590.06</v>
      </c>
      <c r="EP119" s="231">
        <v>88092.76</v>
      </c>
      <c r="EQ119" s="229">
        <v>1.1068</v>
      </c>
      <c r="ER119" s="231">
        <v>20543</v>
      </c>
      <c r="ES119" s="231">
        <v>13845</v>
      </c>
      <c r="ET119" s="231">
        <v>46687</v>
      </c>
      <c r="EU119" s="231">
        <v>12418320</v>
      </c>
      <c r="EV119" s="231">
        <v>81075</v>
      </c>
      <c r="EW119" s="231">
        <v>75372</v>
      </c>
      <c r="EX119" s="231">
        <v>5703</v>
      </c>
      <c r="EY119" s="229">
        <v>7.5700000000000003E-2</v>
      </c>
      <c r="EZ119" s="229">
        <v>0.16439999999999999</v>
      </c>
      <c r="FA119" s="227" t="s">
        <v>556</v>
      </c>
      <c r="FB119" s="161">
        <f t="shared" si="1"/>
        <v>36400</v>
      </c>
    </row>
    <row r="120" spans="1:158" ht="17.25" hidden="1" thickBot="1" x14ac:dyDescent="0.3">
      <c r="A120" s="226">
        <v>45889</v>
      </c>
      <c r="B120" s="227" t="s">
        <v>175</v>
      </c>
      <c r="C120" s="227" t="s">
        <v>685</v>
      </c>
      <c r="D120" s="228">
        <v>450</v>
      </c>
      <c r="E120" s="231">
        <v>1112.4000000000001</v>
      </c>
      <c r="F120" s="231">
        <v>1122.5999999999999</v>
      </c>
      <c r="G120" s="228">
        <v>-10.199999999999999</v>
      </c>
      <c r="H120" s="229">
        <v>-9.1000000000000004E-3</v>
      </c>
      <c r="I120" s="231">
        <v>1115.8</v>
      </c>
      <c r="J120" s="231">
        <v>1125.4000000000001</v>
      </c>
      <c r="K120" s="228">
        <v>-9.6</v>
      </c>
      <c r="L120" s="229">
        <v>-8.5000000000000006E-3</v>
      </c>
      <c r="M120" s="231">
        <v>1112.4000000000001</v>
      </c>
      <c r="N120" s="231">
        <v>1122.5999999999999</v>
      </c>
      <c r="O120" s="228">
        <v>-10.199999999999999</v>
      </c>
      <c r="P120" s="229">
        <v>-9.1000000000000004E-3</v>
      </c>
      <c r="Q120" s="231">
        <v>1117.9000000000001</v>
      </c>
      <c r="R120" s="231">
        <v>1125.9000000000001</v>
      </c>
      <c r="S120" s="228">
        <v>-8</v>
      </c>
      <c r="T120" s="229">
        <v>-7.1000000000000004E-3</v>
      </c>
      <c r="U120" s="231">
        <v>1121</v>
      </c>
      <c r="V120" s="231">
        <v>1122.7</v>
      </c>
      <c r="W120" s="228">
        <v>-1.7</v>
      </c>
      <c r="X120" s="229">
        <v>-1.5E-3</v>
      </c>
      <c r="Y120" s="228">
        <v>-3.4</v>
      </c>
      <c r="Z120" s="228">
        <v>-2.8</v>
      </c>
      <c r="AA120" s="228">
        <v>-0.6</v>
      </c>
      <c r="AB120" s="229">
        <v>-3.0000000000000001E-3</v>
      </c>
      <c r="AC120" s="228">
        <v>-3.4</v>
      </c>
      <c r="AD120" s="228">
        <v>-2.8</v>
      </c>
      <c r="AE120" s="228">
        <v>-0.6</v>
      </c>
      <c r="AF120" s="229">
        <v>-3.0000000000000001E-3</v>
      </c>
      <c r="AG120" s="228">
        <v>2.1</v>
      </c>
      <c r="AH120" s="228">
        <v>0.5</v>
      </c>
      <c r="AI120" s="228">
        <v>1.6</v>
      </c>
      <c r="AJ120" s="229">
        <v>1.9E-3</v>
      </c>
      <c r="AK120" s="228">
        <v>5.2</v>
      </c>
      <c r="AL120" s="228">
        <v>-2.7</v>
      </c>
      <c r="AM120" s="228">
        <v>7.9</v>
      </c>
      <c r="AN120" s="229">
        <v>4.7000000000000002E-3</v>
      </c>
      <c r="AO120" s="231">
        <v>1109.5899999999999</v>
      </c>
      <c r="AP120" s="231">
        <v>1116.48</v>
      </c>
      <c r="AQ120" s="228">
        <v>0</v>
      </c>
      <c r="AR120" s="230">
        <v>520200</v>
      </c>
      <c r="AS120" s="230">
        <v>694350</v>
      </c>
      <c r="AT120" s="230">
        <v>-174150</v>
      </c>
      <c r="AU120" s="229">
        <v>-0.25080000000000002</v>
      </c>
      <c r="AV120" s="230">
        <v>436050</v>
      </c>
      <c r="AW120" s="230">
        <v>634050</v>
      </c>
      <c r="AX120" s="230">
        <v>-198000</v>
      </c>
      <c r="AY120" s="229">
        <v>-0.31230000000000002</v>
      </c>
      <c r="AZ120" s="230">
        <v>80100</v>
      </c>
      <c r="BA120" s="230">
        <v>58500</v>
      </c>
      <c r="BB120" s="230">
        <v>21600</v>
      </c>
      <c r="BC120" s="229">
        <v>0.36919999999999997</v>
      </c>
      <c r="BD120" s="230">
        <v>4050</v>
      </c>
      <c r="BE120" s="230">
        <v>1800</v>
      </c>
      <c r="BF120" s="230">
        <v>2250</v>
      </c>
      <c r="BG120" s="229">
        <v>1.25</v>
      </c>
      <c r="BH120" s="230">
        <v>1113750</v>
      </c>
      <c r="BI120" s="230">
        <v>1351350</v>
      </c>
      <c r="BJ120" s="230">
        <v>-237600</v>
      </c>
      <c r="BK120" s="229">
        <v>-0.17580000000000001</v>
      </c>
      <c r="BL120" s="230">
        <v>388350</v>
      </c>
      <c r="BM120" s="230">
        <v>447750</v>
      </c>
      <c r="BN120" s="230">
        <v>-59400</v>
      </c>
      <c r="BO120" s="229">
        <v>-0.13270000000000001</v>
      </c>
      <c r="BP120" s="230">
        <v>2022300</v>
      </c>
      <c r="BQ120" s="230">
        <v>2493450</v>
      </c>
      <c r="BR120" s="230">
        <v>-471150</v>
      </c>
      <c r="BS120" s="229">
        <v>-0.189</v>
      </c>
      <c r="BT120" s="230">
        <v>705438</v>
      </c>
      <c r="BU120" s="230">
        <v>678882</v>
      </c>
      <c r="BV120" s="230">
        <v>26556</v>
      </c>
      <c r="BW120" s="229">
        <v>3.9100000000000003E-2</v>
      </c>
      <c r="BX120" s="230">
        <v>2164500</v>
      </c>
      <c r="BY120" s="230">
        <v>2108250</v>
      </c>
      <c r="BZ120" s="230">
        <v>56250</v>
      </c>
      <c r="CA120" s="229">
        <v>2.6700000000000002E-2</v>
      </c>
      <c r="CB120" s="230">
        <v>2008350</v>
      </c>
      <c r="CC120" s="230">
        <v>1980000</v>
      </c>
      <c r="CD120" s="230">
        <v>28350</v>
      </c>
      <c r="CE120" s="229">
        <v>1.43E-2</v>
      </c>
      <c r="CF120" s="230">
        <v>145800</v>
      </c>
      <c r="CG120" s="230">
        <v>120600</v>
      </c>
      <c r="CH120" s="230">
        <v>25200</v>
      </c>
      <c r="CI120" s="229">
        <v>0.20899999999999999</v>
      </c>
      <c r="CJ120" s="230">
        <v>10350</v>
      </c>
      <c r="CK120" s="230">
        <v>7650</v>
      </c>
      <c r="CL120" s="230">
        <v>2700</v>
      </c>
      <c r="CM120" s="229">
        <v>0.35289999999999999</v>
      </c>
      <c r="CN120" s="230">
        <v>1063350</v>
      </c>
      <c r="CO120" s="230">
        <v>908100</v>
      </c>
      <c r="CP120" s="230">
        <v>155250</v>
      </c>
      <c r="CQ120" s="229">
        <v>0.17100000000000001</v>
      </c>
      <c r="CR120" s="230">
        <v>497250</v>
      </c>
      <c r="CS120" s="230">
        <v>513000</v>
      </c>
      <c r="CT120" s="230">
        <v>-15750</v>
      </c>
      <c r="CU120" s="229">
        <v>-3.0700000000000002E-2</v>
      </c>
      <c r="CV120" s="230">
        <v>3725100</v>
      </c>
      <c r="CW120" s="230">
        <v>3529350</v>
      </c>
      <c r="CX120" s="230">
        <v>195750</v>
      </c>
      <c r="CY120" s="229">
        <v>5.5500000000000001E-2</v>
      </c>
      <c r="CZ120" s="228">
        <v>42.46</v>
      </c>
      <c r="DA120" s="228">
        <v>41.69</v>
      </c>
      <c r="DB120" s="228">
        <v>0.77</v>
      </c>
      <c r="DC120" s="228">
        <v>0.77</v>
      </c>
      <c r="DD120" s="228">
        <v>58.8</v>
      </c>
      <c r="DE120" s="228">
        <v>58.93</v>
      </c>
      <c r="DF120" s="228">
        <v>-16.34</v>
      </c>
      <c r="DG120" s="228">
        <v>-0.13</v>
      </c>
      <c r="DH120" s="228">
        <v>43.62</v>
      </c>
      <c r="DI120" s="228">
        <v>42.11</v>
      </c>
      <c r="DJ120" s="228">
        <v>1.51</v>
      </c>
      <c r="DK120" s="228">
        <v>1.51</v>
      </c>
      <c r="DL120" s="228">
        <v>39.119999999999997</v>
      </c>
      <c r="DM120" s="228">
        <v>40.43</v>
      </c>
      <c r="DN120" s="228">
        <v>-1.31</v>
      </c>
      <c r="DO120" s="228">
        <v>-1.31</v>
      </c>
      <c r="DP120" s="228">
        <v>0.47</v>
      </c>
      <c r="DQ120" s="228">
        <v>0.56000000000000005</v>
      </c>
      <c r="DR120" s="228">
        <v>-0.09</v>
      </c>
      <c r="DS120" s="229">
        <v>-0.16070000000000001</v>
      </c>
      <c r="DT120" s="231">
        <v>1200</v>
      </c>
      <c r="DU120" s="231">
        <v>1100</v>
      </c>
      <c r="DV120" s="228">
        <v>0.35</v>
      </c>
      <c r="DW120" s="228">
        <v>0.33</v>
      </c>
      <c r="DX120" s="228">
        <v>0.02</v>
      </c>
      <c r="DY120" s="229">
        <v>6.0600000000000001E-2</v>
      </c>
      <c r="DZ120" s="229">
        <v>7.2099999999999997E-2</v>
      </c>
      <c r="EA120" s="230">
        <v>128250</v>
      </c>
      <c r="EB120" s="229">
        <v>4.8999999999999998E-3</v>
      </c>
      <c r="EC120" s="229">
        <v>7.2099999999999997E-2</v>
      </c>
      <c r="ED120" s="228">
        <v>6.89</v>
      </c>
      <c r="EE120" s="229">
        <v>6.1999999999999998E-3</v>
      </c>
      <c r="EF120" s="230">
        <v>365537</v>
      </c>
      <c r="EG120" s="230">
        <v>326749</v>
      </c>
      <c r="EH120" s="229">
        <v>0.1187</v>
      </c>
      <c r="EI120" s="229">
        <v>0.51819999999999999</v>
      </c>
      <c r="EJ120" s="231">
        <v>13499.55</v>
      </c>
      <c r="EK120" s="231">
        <v>4147.91</v>
      </c>
      <c r="EL120" s="231">
        <v>5778</v>
      </c>
      <c r="EM120" s="228">
        <v>0</v>
      </c>
      <c r="EN120" s="231">
        <v>23425.46</v>
      </c>
      <c r="EO120" s="231">
        <v>28797.52</v>
      </c>
      <c r="EP120" s="231">
        <v>-5372.06</v>
      </c>
      <c r="EQ120" s="229">
        <v>-0.1865</v>
      </c>
      <c r="ER120" s="231">
        <v>12913</v>
      </c>
      <c r="ES120" s="231">
        <v>5333</v>
      </c>
      <c r="ET120" s="231">
        <v>24087</v>
      </c>
      <c r="EU120" s="231">
        <v>26548239</v>
      </c>
      <c r="EV120" s="231">
        <v>42333</v>
      </c>
      <c r="EW120" s="231">
        <v>40142</v>
      </c>
      <c r="EX120" s="231">
        <v>2191</v>
      </c>
      <c r="EY120" s="229">
        <v>5.4600000000000003E-2</v>
      </c>
      <c r="EZ120" s="229">
        <v>0.14030000000000001</v>
      </c>
      <c r="FA120" s="227" t="s">
        <v>567</v>
      </c>
      <c r="FB120" s="161">
        <f t="shared" si="1"/>
        <v>156150</v>
      </c>
    </row>
    <row r="121" spans="1:158" ht="17.25" hidden="1" thickBot="1" x14ac:dyDescent="0.3">
      <c r="A121" s="226">
        <v>45889</v>
      </c>
      <c r="B121" s="227" t="s">
        <v>172</v>
      </c>
      <c r="C121" s="227" t="s">
        <v>246</v>
      </c>
      <c r="D121" s="228">
        <v>400</v>
      </c>
      <c r="E121" s="231">
        <v>2019.2</v>
      </c>
      <c r="F121" s="231">
        <v>2031.2</v>
      </c>
      <c r="G121" s="228">
        <v>-12</v>
      </c>
      <c r="H121" s="229">
        <v>-5.8999999999999999E-3</v>
      </c>
      <c r="I121" s="231">
        <v>2017.5</v>
      </c>
      <c r="J121" s="231">
        <v>2029.9</v>
      </c>
      <c r="K121" s="228">
        <v>-12.4</v>
      </c>
      <c r="L121" s="229">
        <v>-6.1000000000000004E-3</v>
      </c>
      <c r="M121" s="231">
        <v>2019.2</v>
      </c>
      <c r="N121" s="231">
        <v>2031.2</v>
      </c>
      <c r="O121" s="228">
        <v>-12</v>
      </c>
      <c r="P121" s="229">
        <v>-5.8999999999999999E-3</v>
      </c>
      <c r="Q121" s="231">
        <v>2030.7</v>
      </c>
      <c r="R121" s="231">
        <v>2043</v>
      </c>
      <c r="S121" s="228">
        <v>-12.3</v>
      </c>
      <c r="T121" s="229">
        <v>-6.0000000000000001E-3</v>
      </c>
      <c r="U121" s="231">
        <v>2040.3</v>
      </c>
      <c r="V121" s="231">
        <v>2054.4</v>
      </c>
      <c r="W121" s="228">
        <v>-14.1</v>
      </c>
      <c r="X121" s="229">
        <v>-6.8999999999999999E-3</v>
      </c>
      <c r="Y121" s="228">
        <v>1.7</v>
      </c>
      <c r="Z121" s="228">
        <v>1.3</v>
      </c>
      <c r="AA121" s="228">
        <v>0.4</v>
      </c>
      <c r="AB121" s="229">
        <v>8.0000000000000004E-4</v>
      </c>
      <c r="AC121" s="228">
        <v>1.7</v>
      </c>
      <c r="AD121" s="228">
        <v>1.3</v>
      </c>
      <c r="AE121" s="228">
        <v>0.4</v>
      </c>
      <c r="AF121" s="229">
        <v>8.0000000000000004E-4</v>
      </c>
      <c r="AG121" s="228">
        <v>13.2</v>
      </c>
      <c r="AH121" s="228">
        <v>13.1</v>
      </c>
      <c r="AI121" s="228">
        <v>0.1</v>
      </c>
      <c r="AJ121" s="229">
        <v>6.4999999999999997E-3</v>
      </c>
      <c r="AK121" s="228">
        <v>22.8</v>
      </c>
      <c r="AL121" s="228">
        <v>24.5</v>
      </c>
      <c r="AM121" s="228">
        <v>-1.7</v>
      </c>
      <c r="AN121" s="229">
        <v>1.1299999999999999E-2</v>
      </c>
      <c r="AO121" s="231">
        <v>2018.76</v>
      </c>
      <c r="AP121" s="231">
        <v>2030.61</v>
      </c>
      <c r="AQ121" s="228">
        <v>0</v>
      </c>
      <c r="AR121" s="230">
        <v>3733600</v>
      </c>
      <c r="AS121" s="230">
        <v>4149200</v>
      </c>
      <c r="AT121" s="230">
        <v>-415600</v>
      </c>
      <c r="AU121" s="229">
        <v>-0.1002</v>
      </c>
      <c r="AV121" s="230">
        <v>2703600</v>
      </c>
      <c r="AW121" s="230">
        <v>3260400</v>
      </c>
      <c r="AX121" s="230">
        <v>-556800</v>
      </c>
      <c r="AY121" s="229">
        <v>-0.17080000000000001</v>
      </c>
      <c r="AZ121" s="230">
        <v>685200</v>
      </c>
      <c r="BA121" s="230">
        <v>266000</v>
      </c>
      <c r="BB121" s="230">
        <v>419200</v>
      </c>
      <c r="BC121" s="229">
        <v>1.5759000000000001</v>
      </c>
      <c r="BD121" s="230">
        <v>344800</v>
      </c>
      <c r="BE121" s="230">
        <v>622800</v>
      </c>
      <c r="BF121" s="230">
        <v>-278000</v>
      </c>
      <c r="BG121" s="229">
        <v>-0.44640000000000002</v>
      </c>
      <c r="BH121" s="230">
        <v>5927600</v>
      </c>
      <c r="BI121" s="230">
        <v>11594800</v>
      </c>
      <c r="BJ121" s="230">
        <v>-5667200</v>
      </c>
      <c r="BK121" s="229">
        <v>-0.48880000000000001</v>
      </c>
      <c r="BL121" s="230">
        <v>3779200</v>
      </c>
      <c r="BM121" s="230">
        <v>6754400</v>
      </c>
      <c r="BN121" s="230">
        <v>-2975200</v>
      </c>
      <c r="BO121" s="229">
        <v>-0.4405</v>
      </c>
      <c r="BP121" s="230">
        <v>13440400</v>
      </c>
      <c r="BQ121" s="230">
        <v>22498400</v>
      </c>
      <c r="BR121" s="230">
        <v>-9058000</v>
      </c>
      <c r="BS121" s="229">
        <v>-0.40260000000000001</v>
      </c>
      <c r="BT121" s="230">
        <v>2679530</v>
      </c>
      <c r="BU121" s="230">
        <v>3339229</v>
      </c>
      <c r="BV121" s="230">
        <v>-659699</v>
      </c>
      <c r="BW121" s="229">
        <v>-0.1976</v>
      </c>
      <c r="BX121" s="230">
        <v>33848800</v>
      </c>
      <c r="BY121" s="230">
        <v>33804800</v>
      </c>
      <c r="BZ121" s="230">
        <v>44000</v>
      </c>
      <c r="CA121" s="229">
        <v>1.2999999999999999E-3</v>
      </c>
      <c r="CB121" s="230">
        <v>30062800</v>
      </c>
      <c r="CC121" s="230">
        <v>30837600</v>
      </c>
      <c r="CD121" s="230">
        <v>-774800</v>
      </c>
      <c r="CE121" s="229">
        <v>-2.5100000000000001E-2</v>
      </c>
      <c r="CF121" s="230">
        <v>1954000</v>
      </c>
      <c r="CG121" s="230">
        <v>1465600</v>
      </c>
      <c r="CH121" s="230">
        <v>488400</v>
      </c>
      <c r="CI121" s="229">
        <v>0.3332</v>
      </c>
      <c r="CJ121" s="230">
        <v>1832000</v>
      </c>
      <c r="CK121" s="230">
        <v>1501600</v>
      </c>
      <c r="CL121" s="230">
        <v>330400</v>
      </c>
      <c r="CM121" s="229">
        <v>0.22</v>
      </c>
      <c r="CN121" s="230">
        <v>7740400</v>
      </c>
      <c r="CO121" s="230">
        <v>7678000</v>
      </c>
      <c r="CP121" s="230">
        <v>62400</v>
      </c>
      <c r="CQ121" s="229">
        <v>8.0999999999999996E-3</v>
      </c>
      <c r="CR121" s="230">
        <v>5545200</v>
      </c>
      <c r="CS121" s="230">
        <v>5704800</v>
      </c>
      <c r="CT121" s="230">
        <v>-159600</v>
      </c>
      <c r="CU121" s="229">
        <v>-2.8000000000000001E-2</v>
      </c>
      <c r="CV121" s="230">
        <v>47134400</v>
      </c>
      <c r="CW121" s="230">
        <v>47187600</v>
      </c>
      <c r="CX121" s="230">
        <v>-53200</v>
      </c>
      <c r="CY121" s="229">
        <v>-1.1000000000000001E-3</v>
      </c>
      <c r="CZ121" s="228">
        <v>18.02</v>
      </c>
      <c r="DA121" s="228">
        <v>17.98</v>
      </c>
      <c r="DB121" s="228">
        <v>0.04</v>
      </c>
      <c r="DC121" s="228">
        <v>0.04</v>
      </c>
      <c r="DD121" s="228">
        <v>28.63</v>
      </c>
      <c r="DE121" s="228">
        <v>28.69</v>
      </c>
      <c r="DF121" s="228">
        <v>-10.61</v>
      </c>
      <c r="DG121" s="228">
        <v>-0.06</v>
      </c>
      <c r="DH121" s="228">
        <v>18.45</v>
      </c>
      <c r="DI121" s="228">
        <v>17.670000000000002</v>
      </c>
      <c r="DJ121" s="228">
        <v>0.78</v>
      </c>
      <c r="DK121" s="228">
        <v>0.78</v>
      </c>
      <c r="DL121" s="228">
        <v>17.36</v>
      </c>
      <c r="DM121" s="228">
        <v>18.5</v>
      </c>
      <c r="DN121" s="228">
        <v>-1.1399999999999999</v>
      </c>
      <c r="DO121" s="228">
        <v>-1.1399999999999999</v>
      </c>
      <c r="DP121" s="228">
        <v>0.72</v>
      </c>
      <c r="DQ121" s="228">
        <v>0.74</v>
      </c>
      <c r="DR121" s="228">
        <v>-0.02</v>
      </c>
      <c r="DS121" s="229">
        <v>-2.7E-2</v>
      </c>
      <c r="DT121" s="231">
        <v>2200</v>
      </c>
      <c r="DU121" s="231">
        <v>2000</v>
      </c>
      <c r="DV121" s="228">
        <v>0.64</v>
      </c>
      <c r="DW121" s="228">
        <v>0.57999999999999996</v>
      </c>
      <c r="DX121" s="228">
        <v>0.06</v>
      </c>
      <c r="DY121" s="229">
        <v>0.10340000000000001</v>
      </c>
      <c r="DZ121" s="229">
        <v>0.1119</v>
      </c>
      <c r="EA121" s="230">
        <v>2967200</v>
      </c>
      <c r="EB121" s="229">
        <v>5.7000000000000002E-3</v>
      </c>
      <c r="EC121" s="229">
        <v>0.1119</v>
      </c>
      <c r="ED121" s="228">
        <v>11.85</v>
      </c>
      <c r="EE121" s="229">
        <v>5.8999999999999999E-3</v>
      </c>
      <c r="EF121" s="230">
        <v>2109466</v>
      </c>
      <c r="EG121" s="230">
        <v>2350302</v>
      </c>
      <c r="EH121" s="229">
        <v>-0.10249999999999999</v>
      </c>
      <c r="EI121" s="229">
        <v>0.7873</v>
      </c>
      <c r="EJ121" s="231">
        <v>122714.83</v>
      </c>
      <c r="EK121" s="231">
        <v>76482.45</v>
      </c>
      <c r="EL121" s="231">
        <v>75524.09</v>
      </c>
      <c r="EM121" s="228">
        <v>0</v>
      </c>
      <c r="EN121" s="231">
        <v>274721.37</v>
      </c>
      <c r="EO121" s="231">
        <v>458875.38</v>
      </c>
      <c r="EP121" s="231">
        <v>-184154.01</v>
      </c>
      <c r="EQ121" s="229">
        <v>-0.40129999999999999</v>
      </c>
      <c r="ER121" s="231">
        <v>163510</v>
      </c>
      <c r="ES121" s="231">
        <v>108135</v>
      </c>
      <c r="ET121" s="231">
        <v>684086</v>
      </c>
      <c r="EU121" s="231">
        <v>294735983</v>
      </c>
      <c r="EV121" s="231">
        <v>955731</v>
      </c>
      <c r="EW121" s="231">
        <v>960906</v>
      </c>
      <c r="EX121" s="231">
        <v>-5175</v>
      </c>
      <c r="EY121" s="229">
        <v>-5.4000000000000003E-3</v>
      </c>
      <c r="EZ121" s="229">
        <v>0.15989999999999999</v>
      </c>
      <c r="FA121" s="227" t="s">
        <v>567</v>
      </c>
      <c r="FB121" s="161">
        <f t="shared" si="1"/>
        <v>3786000</v>
      </c>
    </row>
    <row r="122" spans="1:158" ht="17.25" hidden="1" thickBot="1" x14ac:dyDescent="0.3">
      <c r="A122" s="226">
        <v>45889</v>
      </c>
      <c r="B122" s="227" t="s">
        <v>221</v>
      </c>
      <c r="C122" s="227" t="s">
        <v>578</v>
      </c>
      <c r="D122" s="228">
        <v>400</v>
      </c>
      <c r="E122" s="231">
        <v>1217.5999999999999</v>
      </c>
      <c r="F122" s="231">
        <v>1203</v>
      </c>
      <c r="G122" s="228">
        <v>14.6</v>
      </c>
      <c r="H122" s="229">
        <v>1.21E-2</v>
      </c>
      <c r="I122" s="231">
        <v>1214.5999999999999</v>
      </c>
      <c r="J122" s="231">
        <v>1199.5</v>
      </c>
      <c r="K122" s="228">
        <v>15.1</v>
      </c>
      <c r="L122" s="229">
        <v>1.26E-2</v>
      </c>
      <c r="M122" s="231">
        <v>1217.5999999999999</v>
      </c>
      <c r="N122" s="231">
        <v>1203</v>
      </c>
      <c r="O122" s="228">
        <v>14.6</v>
      </c>
      <c r="P122" s="229">
        <v>1.21E-2</v>
      </c>
      <c r="Q122" s="231">
        <v>1216.5</v>
      </c>
      <c r="R122" s="231">
        <v>1201.8</v>
      </c>
      <c r="S122" s="228">
        <v>14.7</v>
      </c>
      <c r="T122" s="229">
        <v>1.2200000000000001E-2</v>
      </c>
      <c r="U122" s="231">
        <v>1217.9000000000001</v>
      </c>
      <c r="V122" s="231">
        <v>1202</v>
      </c>
      <c r="W122" s="228">
        <v>15.9</v>
      </c>
      <c r="X122" s="229">
        <v>1.32E-2</v>
      </c>
      <c r="Y122" s="228">
        <v>3</v>
      </c>
      <c r="Z122" s="228">
        <v>3.5</v>
      </c>
      <c r="AA122" s="228">
        <v>-0.5</v>
      </c>
      <c r="AB122" s="229">
        <v>2.5000000000000001E-3</v>
      </c>
      <c r="AC122" s="228">
        <v>3</v>
      </c>
      <c r="AD122" s="228">
        <v>3.5</v>
      </c>
      <c r="AE122" s="228">
        <v>-0.5</v>
      </c>
      <c r="AF122" s="229">
        <v>2.5000000000000001E-3</v>
      </c>
      <c r="AG122" s="228">
        <v>1.9</v>
      </c>
      <c r="AH122" s="228">
        <v>2.2999999999999998</v>
      </c>
      <c r="AI122" s="228">
        <v>-0.4</v>
      </c>
      <c r="AJ122" s="229">
        <v>1.6000000000000001E-3</v>
      </c>
      <c r="AK122" s="228">
        <v>3.3</v>
      </c>
      <c r="AL122" s="228">
        <v>2.5</v>
      </c>
      <c r="AM122" s="228">
        <v>0.8</v>
      </c>
      <c r="AN122" s="229">
        <v>2.7000000000000001E-3</v>
      </c>
      <c r="AO122" s="231">
        <v>1213.3499999999999</v>
      </c>
      <c r="AP122" s="231">
        <v>1209.3800000000001</v>
      </c>
      <c r="AQ122" s="228">
        <v>0</v>
      </c>
      <c r="AR122" s="230">
        <v>1376400</v>
      </c>
      <c r="AS122" s="230">
        <v>1107200</v>
      </c>
      <c r="AT122" s="230">
        <v>269200</v>
      </c>
      <c r="AU122" s="229">
        <v>0.24310000000000001</v>
      </c>
      <c r="AV122" s="230">
        <v>967200</v>
      </c>
      <c r="AW122" s="230">
        <v>839600</v>
      </c>
      <c r="AX122" s="230">
        <v>127600</v>
      </c>
      <c r="AY122" s="229">
        <v>0.152</v>
      </c>
      <c r="AZ122" s="230">
        <v>394000</v>
      </c>
      <c r="BA122" s="230">
        <v>261600</v>
      </c>
      <c r="BB122" s="230">
        <v>132400</v>
      </c>
      <c r="BC122" s="229">
        <v>0.50609999999999999</v>
      </c>
      <c r="BD122" s="230">
        <v>15200</v>
      </c>
      <c r="BE122" s="230">
        <v>6000</v>
      </c>
      <c r="BF122" s="230">
        <v>9200</v>
      </c>
      <c r="BG122" s="229">
        <v>1.5333000000000001</v>
      </c>
      <c r="BH122" s="230">
        <v>3585600</v>
      </c>
      <c r="BI122" s="230">
        <v>2619600</v>
      </c>
      <c r="BJ122" s="230">
        <v>966000</v>
      </c>
      <c r="BK122" s="229">
        <v>0.36880000000000002</v>
      </c>
      <c r="BL122" s="230">
        <v>1023200</v>
      </c>
      <c r="BM122" s="230">
        <v>1455600</v>
      </c>
      <c r="BN122" s="230">
        <v>-432400</v>
      </c>
      <c r="BO122" s="229">
        <v>-0.29709999999999998</v>
      </c>
      <c r="BP122" s="230">
        <v>5985200</v>
      </c>
      <c r="BQ122" s="230">
        <v>5182400</v>
      </c>
      <c r="BR122" s="230">
        <v>802800</v>
      </c>
      <c r="BS122" s="229">
        <v>0.15490000000000001</v>
      </c>
      <c r="BT122" s="230">
        <v>1133983</v>
      </c>
      <c r="BU122" s="230">
        <v>637672</v>
      </c>
      <c r="BV122" s="230">
        <v>496311</v>
      </c>
      <c r="BW122" s="229">
        <v>0.77829999999999999</v>
      </c>
      <c r="BX122" s="230">
        <v>4353200</v>
      </c>
      <c r="BY122" s="230">
        <v>4371600</v>
      </c>
      <c r="BZ122" s="230">
        <v>-18400</v>
      </c>
      <c r="CA122" s="229">
        <v>-4.1999999999999997E-3</v>
      </c>
      <c r="CB122" s="230">
        <v>3774400</v>
      </c>
      <c r="CC122" s="230">
        <v>3915200</v>
      </c>
      <c r="CD122" s="230">
        <v>-140800</v>
      </c>
      <c r="CE122" s="229">
        <v>-3.5999999999999997E-2</v>
      </c>
      <c r="CF122" s="230">
        <v>555600</v>
      </c>
      <c r="CG122" s="230">
        <v>438400</v>
      </c>
      <c r="CH122" s="230">
        <v>117200</v>
      </c>
      <c r="CI122" s="229">
        <v>0.26729999999999998</v>
      </c>
      <c r="CJ122" s="230">
        <v>23200</v>
      </c>
      <c r="CK122" s="230">
        <v>18000</v>
      </c>
      <c r="CL122" s="230">
        <v>5200</v>
      </c>
      <c r="CM122" s="229">
        <v>0.28889999999999999</v>
      </c>
      <c r="CN122" s="230">
        <v>2887600</v>
      </c>
      <c r="CO122" s="230">
        <v>2851200</v>
      </c>
      <c r="CP122" s="230">
        <v>36400</v>
      </c>
      <c r="CQ122" s="229">
        <v>1.2800000000000001E-2</v>
      </c>
      <c r="CR122" s="230">
        <v>2469200</v>
      </c>
      <c r="CS122" s="230">
        <v>2400400</v>
      </c>
      <c r="CT122" s="230">
        <v>68800</v>
      </c>
      <c r="CU122" s="229">
        <v>2.87E-2</v>
      </c>
      <c r="CV122" s="230">
        <v>9710000</v>
      </c>
      <c r="CW122" s="230">
        <v>9623200</v>
      </c>
      <c r="CX122" s="230">
        <v>86800</v>
      </c>
      <c r="CY122" s="229">
        <v>8.9999999999999993E-3</v>
      </c>
      <c r="CZ122" s="228">
        <v>30.39</v>
      </c>
      <c r="DA122" s="228">
        <v>32.61</v>
      </c>
      <c r="DB122" s="228">
        <v>-2.2200000000000002</v>
      </c>
      <c r="DC122" s="228">
        <v>-2.2200000000000002</v>
      </c>
      <c r="DD122" s="228">
        <v>45.25</v>
      </c>
      <c r="DE122" s="228">
        <v>45.33</v>
      </c>
      <c r="DF122" s="228">
        <v>-14.86</v>
      </c>
      <c r="DG122" s="228">
        <v>-0.08</v>
      </c>
      <c r="DH122" s="228">
        <v>30.78</v>
      </c>
      <c r="DI122" s="228">
        <v>34.270000000000003</v>
      </c>
      <c r="DJ122" s="228">
        <v>-3.49</v>
      </c>
      <c r="DK122" s="228">
        <v>-3.49</v>
      </c>
      <c r="DL122" s="228">
        <v>29.01</v>
      </c>
      <c r="DM122" s="228">
        <v>29.61</v>
      </c>
      <c r="DN122" s="228">
        <v>-0.6</v>
      </c>
      <c r="DO122" s="228">
        <v>-0.6</v>
      </c>
      <c r="DP122" s="228">
        <v>0.86</v>
      </c>
      <c r="DQ122" s="228">
        <v>0.84</v>
      </c>
      <c r="DR122" s="228">
        <v>0.02</v>
      </c>
      <c r="DS122" s="229">
        <v>2.3800000000000002E-2</v>
      </c>
      <c r="DT122" s="231">
        <v>1300</v>
      </c>
      <c r="DU122" s="231">
        <v>1140</v>
      </c>
      <c r="DV122" s="228">
        <v>0.28999999999999998</v>
      </c>
      <c r="DW122" s="228">
        <v>0.56000000000000005</v>
      </c>
      <c r="DX122" s="228">
        <v>-0.27</v>
      </c>
      <c r="DY122" s="229">
        <v>-0.48209999999999997</v>
      </c>
      <c r="DZ122" s="229">
        <v>0.13300000000000001</v>
      </c>
      <c r="EA122" s="230">
        <v>456400</v>
      </c>
      <c r="EB122" s="229">
        <v>-8.9999999999999998E-4</v>
      </c>
      <c r="EC122" s="229">
        <v>0.13300000000000001</v>
      </c>
      <c r="ED122" s="228">
        <v>-3.97</v>
      </c>
      <c r="EE122" s="229">
        <v>-3.3E-3</v>
      </c>
      <c r="EF122" s="230">
        <v>595489</v>
      </c>
      <c r="EG122" s="230">
        <v>243139</v>
      </c>
      <c r="EH122" s="229">
        <v>1.4492</v>
      </c>
      <c r="EI122" s="229">
        <v>0.52510000000000001</v>
      </c>
      <c r="EJ122" s="231">
        <v>45129.87</v>
      </c>
      <c r="EK122" s="231">
        <v>12068.45</v>
      </c>
      <c r="EL122" s="231">
        <v>16684.34</v>
      </c>
      <c r="EM122" s="228">
        <v>0</v>
      </c>
      <c r="EN122" s="231">
        <v>73882.66</v>
      </c>
      <c r="EO122" s="231">
        <v>63819.48</v>
      </c>
      <c r="EP122" s="231">
        <v>10063.18</v>
      </c>
      <c r="EQ122" s="229">
        <v>0.15770000000000001</v>
      </c>
      <c r="ER122" s="231">
        <v>37148</v>
      </c>
      <c r="ES122" s="231">
        <v>28416</v>
      </c>
      <c r="ET122" s="231">
        <v>52999</v>
      </c>
      <c r="EU122" s="231">
        <v>32757726</v>
      </c>
      <c r="EV122" s="231">
        <v>118562</v>
      </c>
      <c r="EW122" s="231">
        <v>116925</v>
      </c>
      <c r="EX122" s="231">
        <v>1637</v>
      </c>
      <c r="EY122" s="229">
        <v>1.4E-2</v>
      </c>
      <c r="EZ122" s="229">
        <v>0.2964</v>
      </c>
      <c r="FA122" s="227" t="s">
        <v>556</v>
      </c>
      <c r="FB122" s="161">
        <f t="shared" si="1"/>
        <v>578800</v>
      </c>
    </row>
    <row r="123" spans="1:158" ht="17.25" hidden="1" thickBot="1" x14ac:dyDescent="0.3">
      <c r="A123" s="226">
        <v>45889</v>
      </c>
      <c r="B123" s="227" t="s">
        <v>170</v>
      </c>
      <c r="C123" s="227" t="s">
        <v>535</v>
      </c>
      <c r="D123" s="228">
        <v>1700</v>
      </c>
      <c r="E123" s="228">
        <v>876.65</v>
      </c>
      <c r="F123" s="228">
        <v>885.65</v>
      </c>
      <c r="G123" s="228">
        <v>-9</v>
      </c>
      <c r="H123" s="229">
        <v>-1.0200000000000001E-2</v>
      </c>
      <c r="I123" s="228">
        <v>876.05</v>
      </c>
      <c r="J123" s="228">
        <v>883.9</v>
      </c>
      <c r="K123" s="228">
        <v>-7.85</v>
      </c>
      <c r="L123" s="229">
        <v>-8.8999999999999999E-3</v>
      </c>
      <c r="M123" s="228">
        <v>876.65</v>
      </c>
      <c r="N123" s="228">
        <v>885.65</v>
      </c>
      <c r="O123" s="228">
        <v>-9</v>
      </c>
      <c r="P123" s="229">
        <v>-1.0200000000000001E-2</v>
      </c>
      <c r="Q123" s="228">
        <v>881.55</v>
      </c>
      <c r="R123" s="228">
        <v>890.05</v>
      </c>
      <c r="S123" s="228">
        <v>-8.5</v>
      </c>
      <c r="T123" s="229">
        <v>-9.5999999999999992E-3</v>
      </c>
      <c r="U123" s="228">
        <v>885.8</v>
      </c>
      <c r="V123" s="228">
        <v>895.55</v>
      </c>
      <c r="W123" s="228">
        <v>-9.75</v>
      </c>
      <c r="X123" s="229">
        <v>-1.09E-2</v>
      </c>
      <c r="Y123" s="228">
        <v>0.6</v>
      </c>
      <c r="Z123" s="228">
        <v>1.75</v>
      </c>
      <c r="AA123" s="228">
        <v>-1.1499999999999999</v>
      </c>
      <c r="AB123" s="229">
        <v>6.9999999999999999E-4</v>
      </c>
      <c r="AC123" s="228">
        <v>0.6</v>
      </c>
      <c r="AD123" s="228">
        <v>1.75</v>
      </c>
      <c r="AE123" s="228">
        <v>-1.1499999999999999</v>
      </c>
      <c r="AF123" s="229">
        <v>6.9999999999999999E-4</v>
      </c>
      <c r="AG123" s="228">
        <v>5.5</v>
      </c>
      <c r="AH123" s="228">
        <v>6.15</v>
      </c>
      <c r="AI123" s="228">
        <v>-0.65</v>
      </c>
      <c r="AJ123" s="229">
        <v>6.3E-3</v>
      </c>
      <c r="AK123" s="228">
        <v>9.75</v>
      </c>
      <c r="AL123" s="228">
        <v>11.65</v>
      </c>
      <c r="AM123" s="228">
        <v>-1.9</v>
      </c>
      <c r="AN123" s="229">
        <v>1.11E-2</v>
      </c>
      <c r="AO123" s="228">
        <v>882.78</v>
      </c>
      <c r="AP123" s="228">
        <v>887.8</v>
      </c>
      <c r="AQ123" s="228">
        <v>0</v>
      </c>
      <c r="AR123" s="230">
        <v>4542400</v>
      </c>
      <c r="AS123" s="230">
        <v>4533900</v>
      </c>
      <c r="AT123" s="230">
        <v>8500</v>
      </c>
      <c r="AU123" s="229">
        <v>1.9E-3</v>
      </c>
      <c r="AV123" s="230">
        <v>3621000</v>
      </c>
      <c r="AW123" s="230">
        <v>3949100</v>
      </c>
      <c r="AX123" s="230">
        <v>-328100</v>
      </c>
      <c r="AY123" s="229">
        <v>-8.3099999999999993E-2</v>
      </c>
      <c r="AZ123" s="230">
        <v>884000</v>
      </c>
      <c r="BA123" s="230">
        <v>530400</v>
      </c>
      <c r="BB123" s="230">
        <v>353600</v>
      </c>
      <c r="BC123" s="229">
        <v>0.66669999999999996</v>
      </c>
      <c r="BD123" s="230">
        <v>37400</v>
      </c>
      <c r="BE123" s="230">
        <v>54400</v>
      </c>
      <c r="BF123" s="230">
        <v>-17000</v>
      </c>
      <c r="BG123" s="229">
        <v>-0.3125</v>
      </c>
      <c r="BH123" s="230">
        <v>14104900</v>
      </c>
      <c r="BI123" s="230">
        <v>20384700</v>
      </c>
      <c r="BJ123" s="230">
        <v>-6279800</v>
      </c>
      <c r="BK123" s="229">
        <v>-0.30809999999999998</v>
      </c>
      <c r="BL123" s="230">
        <v>7078800</v>
      </c>
      <c r="BM123" s="230">
        <v>8702300</v>
      </c>
      <c r="BN123" s="230">
        <v>-1623500</v>
      </c>
      <c r="BO123" s="229">
        <v>-0.18659999999999999</v>
      </c>
      <c r="BP123" s="230">
        <v>25726100</v>
      </c>
      <c r="BQ123" s="230">
        <v>33620900</v>
      </c>
      <c r="BR123" s="230">
        <v>-7894800</v>
      </c>
      <c r="BS123" s="229">
        <v>-0.23480000000000001</v>
      </c>
      <c r="BT123" s="230">
        <v>1287175</v>
      </c>
      <c r="BU123" s="230">
        <v>1611097</v>
      </c>
      <c r="BV123" s="230">
        <v>-323922</v>
      </c>
      <c r="BW123" s="229">
        <v>-0.2011</v>
      </c>
      <c r="BX123" s="230">
        <v>14968500</v>
      </c>
      <c r="BY123" s="230">
        <v>14708400</v>
      </c>
      <c r="BZ123" s="230">
        <v>260100</v>
      </c>
      <c r="CA123" s="229">
        <v>1.77E-2</v>
      </c>
      <c r="CB123" s="230">
        <v>13328000</v>
      </c>
      <c r="CC123" s="230">
        <v>13285500</v>
      </c>
      <c r="CD123" s="230">
        <v>42500</v>
      </c>
      <c r="CE123" s="229">
        <v>3.2000000000000002E-3</v>
      </c>
      <c r="CF123" s="230">
        <v>1501100</v>
      </c>
      <c r="CG123" s="230">
        <v>1278400</v>
      </c>
      <c r="CH123" s="230">
        <v>222700</v>
      </c>
      <c r="CI123" s="229">
        <v>0.17419999999999999</v>
      </c>
      <c r="CJ123" s="230">
        <v>139400</v>
      </c>
      <c r="CK123" s="230">
        <v>144500</v>
      </c>
      <c r="CL123" s="230">
        <v>-5100</v>
      </c>
      <c r="CM123" s="229">
        <v>-3.5299999999999998E-2</v>
      </c>
      <c r="CN123" s="230">
        <v>15289800</v>
      </c>
      <c r="CO123" s="230">
        <v>14597900</v>
      </c>
      <c r="CP123" s="230">
        <v>691900</v>
      </c>
      <c r="CQ123" s="229">
        <v>4.7399999999999998E-2</v>
      </c>
      <c r="CR123" s="230">
        <v>9569300</v>
      </c>
      <c r="CS123" s="230">
        <v>9717200</v>
      </c>
      <c r="CT123" s="230">
        <v>-147900</v>
      </c>
      <c r="CU123" s="229">
        <v>-1.52E-2</v>
      </c>
      <c r="CV123" s="230">
        <v>39827600</v>
      </c>
      <c r="CW123" s="230">
        <v>39023500</v>
      </c>
      <c r="CX123" s="230">
        <v>804100</v>
      </c>
      <c r="CY123" s="229">
        <v>2.06E-2</v>
      </c>
      <c r="CZ123" s="228">
        <v>29.66</v>
      </c>
      <c r="DA123" s="228">
        <v>30.3</v>
      </c>
      <c r="DB123" s="228">
        <v>-0.64</v>
      </c>
      <c r="DC123" s="228">
        <v>-0.64</v>
      </c>
      <c r="DD123" s="228">
        <v>42.41</v>
      </c>
      <c r="DE123" s="228">
        <v>42.49</v>
      </c>
      <c r="DF123" s="228">
        <v>-12.75</v>
      </c>
      <c r="DG123" s="228">
        <v>-0.08</v>
      </c>
      <c r="DH123" s="228">
        <v>30.06</v>
      </c>
      <c r="DI123" s="228">
        <v>29.63</v>
      </c>
      <c r="DJ123" s="228">
        <v>0.43</v>
      </c>
      <c r="DK123" s="228">
        <v>0.43</v>
      </c>
      <c r="DL123" s="228">
        <v>28.86</v>
      </c>
      <c r="DM123" s="228">
        <v>31.87</v>
      </c>
      <c r="DN123" s="228">
        <v>-3.01</v>
      </c>
      <c r="DO123" s="228">
        <v>-3.01</v>
      </c>
      <c r="DP123" s="228">
        <v>0.63</v>
      </c>
      <c r="DQ123" s="228">
        <v>0.67</v>
      </c>
      <c r="DR123" s="228">
        <v>-0.04</v>
      </c>
      <c r="DS123" s="229">
        <v>-5.9700000000000003E-2</v>
      </c>
      <c r="DT123" s="231">
        <v>1000</v>
      </c>
      <c r="DU123" s="228">
        <v>800</v>
      </c>
      <c r="DV123" s="228">
        <v>0.5</v>
      </c>
      <c r="DW123" s="228">
        <v>0.43</v>
      </c>
      <c r="DX123" s="228">
        <v>7.0000000000000007E-2</v>
      </c>
      <c r="DY123" s="229">
        <v>0.1628</v>
      </c>
      <c r="DZ123" s="229">
        <v>0.1096</v>
      </c>
      <c r="EA123" s="230">
        <v>1422900</v>
      </c>
      <c r="EB123" s="229">
        <v>5.5999999999999999E-3</v>
      </c>
      <c r="EC123" s="229">
        <v>0.1096</v>
      </c>
      <c r="ED123" s="228">
        <v>5.0199999999999996</v>
      </c>
      <c r="EE123" s="229">
        <v>5.7000000000000002E-3</v>
      </c>
      <c r="EF123" s="230">
        <v>445503</v>
      </c>
      <c r="EG123" s="230">
        <v>655441</v>
      </c>
      <c r="EH123" s="229">
        <v>-0.32029999999999997</v>
      </c>
      <c r="EI123" s="229">
        <v>0.34610000000000002</v>
      </c>
      <c r="EJ123" s="231">
        <v>129274.05</v>
      </c>
      <c r="EK123" s="231">
        <v>61384.35</v>
      </c>
      <c r="EL123" s="231">
        <v>40147.629999999997</v>
      </c>
      <c r="EM123" s="228">
        <v>0</v>
      </c>
      <c r="EN123" s="231">
        <v>230806.03</v>
      </c>
      <c r="EO123" s="231">
        <v>299951.78000000003</v>
      </c>
      <c r="EP123" s="231">
        <v>-69145.75</v>
      </c>
      <c r="EQ123" s="229">
        <v>-0.23050000000000001</v>
      </c>
      <c r="ER123" s="231">
        <v>139543</v>
      </c>
      <c r="ES123" s="231">
        <v>78779</v>
      </c>
      <c r="ET123" s="231">
        <v>131308</v>
      </c>
      <c r="EU123" s="231">
        <v>78172636</v>
      </c>
      <c r="EV123" s="231">
        <v>349630</v>
      </c>
      <c r="EW123" s="231">
        <v>343376</v>
      </c>
      <c r="EX123" s="231">
        <v>6254</v>
      </c>
      <c r="EY123" s="229">
        <v>1.8200000000000001E-2</v>
      </c>
      <c r="EZ123" s="229">
        <v>0.50949999999999995</v>
      </c>
      <c r="FA123" s="227" t="s">
        <v>567</v>
      </c>
      <c r="FB123" s="161">
        <f t="shared" si="1"/>
        <v>1640500</v>
      </c>
    </row>
    <row r="124" spans="1:158" ht="17.25" hidden="1" thickBot="1" x14ac:dyDescent="0.3">
      <c r="A124" s="226">
        <v>45889</v>
      </c>
      <c r="B124" s="227" t="s">
        <v>175</v>
      </c>
      <c r="C124" s="227" t="s">
        <v>248</v>
      </c>
      <c r="D124" s="228">
        <v>1000</v>
      </c>
      <c r="E124" s="228">
        <v>572.15</v>
      </c>
      <c r="F124" s="228">
        <v>571.9</v>
      </c>
      <c r="G124" s="228">
        <v>0.25</v>
      </c>
      <c r="H124" s="229">
        <v>4.0000000000000002E-4</v>
      </c>
      <c r="I124" s="228">
        <v>580.1</v>
      </c>
      <c r="J124" s="228">
        <v>579.75</v>
      </c>
      <c r="K124" s="228">
        <v>0.35</v>
      </c>
      <c r="L124" s="229">
        <v>5.9999999999999995E-4</v>
      </c>
      <c r="M124" s="228">
        <v>572.15</v>
      </c>
      <c r="N124" s="228">
        <v>571.9</v>
      </c>
      <c r="O124" s="228">
        <v>0.25</v>
      </c>
      <c r="P124" s="229">
        <v>4.0000000000000002E-4</v>
      </c>
      <c r="Q124" s="228">
        <v>574.95000000000005</v>
      </c>
      <c r="R124" s="228">
        <v>574.65</v>
      </c>
      <c r="S124" s="228">
        <v>0.3</v>
      </c>
      <c r="T124" s="229">
        <v>5.0000000000000001E-4</v>
      </c>
      <c r="U124" s="228">
        <v>578.04999999999995</v>
      </c>
      <c r="V124" s="228">
        <v>577.54999999999995</v>
      </c>
      <c r="W124" s="228">
        <v>0.5</v>
      </c>
      <c r="X124" s="229">
        <v>8.9999999999999998E-4</v>
      </c>
      <c r="Y124" s="228">
        <v>-7.95</v>
      </c>
      <c r="Z124" s="228">
        <v>-7.85</v>
      </c>
      <c r="AA124" s="228">
        <v>-0.1</v>
      </c>
      <c r="AB124" s="229">
        <v>-1.37E-2</v>
      </c>
      <c r="AC124" s="228">
        <v>-7.95</v>
      </c>
      <c r="AD124" s="228">
        <v>-7.85</v>
      </c>
      <c r="AE124" s="228">
        <v>-0.1</v>
      </c>
      <c r="AF124" s="229">
        <v>-1.37E-2</v>
      </c>
      <c r="AG124" s="228">
        <v>-5.15</v>
      </c>
      <c r="AH124" s="228">
        <v>-5.0999999999999996</v>
      </c>
      <c r="AI124" s="228">
        <v>-0.05</v>
      </c>
      <c r="AJ124" s="229">
        <v>-8.8999999999999999E-3</v>
      </c>
      <c r="AK124" s="228">
        <v>-2.0499999999999998</v>
      </c>
      <c r="AL124" s="228">
        <v>-2.2000000000000002</v>
      </c>
      <c r="AM124" s="228">
        <v>0.15</v>
      </c>
      <c r="AN124" s="229">
        <v>-3.5000000000000001E-3</v>
      </c>
      <c r="AO124" s="228">
        <v>572.29</v>
      </c>
      <c r="AP124" s="228">
        <v>574.89</v>
      </c>
      <c r="AQ124" s="228">
        <v>0</v>
      </c>
      <c r="AR124" s="230">
        <v>6647000</v>
      </c>
      <c r="AS124" s="230">
        <v>8937000</v>
      </c>
      <c r="AT124" s="230">
        <v>-2290000</v>
      </c>
      <c r="AU124" s="229">
        <v>-0.25619999999999998</v>
      </c>
      <c r="AV124" s="230">
        <v>4167000</v>
      </c>
      <c r="AW124" s="230">
        <v>7032000</v>
      </c>
      <c r="AX124" s="230">
        <v>-2865000</v>
      </c>
      <c r="AY124" s="229">
        <v>-0.40739999999999998</v>
      </c>
      <c r="AZ124" s="230">
        <v>2461000</v>
      </c>
      <c r="BA124" s="230">
        <v>1825000</v>
      </c>
      <c r="BB124" s="230">
        <v>636000</v>
      </c>
      <c r="BC124" s="229">
        <v>0.34849999999999998</v>
      </c>
      <c r="BD124" s="230">
        <v>19000</v>
      </c>
      <c r="BE124" s="230">
        <v>80000</v>
      </c>
      <c r="BF124" s="230">
        <v>-61000</v>
      </c>
      <c r="BG124" s="229">
        <v>-0.76249999999999996</v>
      </c>
      <c r="BH124" s="230">
        <v>7554000</v>
      </c>
      <c r="BI124" s="230">
        <v>15129000</v>
      </c>
      <c r="BJ124" s="230">
        <v>-7575000</v>
      </c>
      <c r="BK124" s="229">
        <v>-0.50070000000000003</v>
      </c>
      <c r="BL124" s="230">
        <v>2945000</v>
      </c>
      <c r="BM124" s="230">
        <v>5156000</v>
      </c>
      <c r="BN124" s="230">
        <v>-2211000</v>
      </c>
      <c r="BO124" s="229">
        <v>-0.42880000000000001</v>
      </c>
      <c r="BP124" s="230">
        <v>17146000</v>
      </c>
      <c r="BQ124" s="230">
        <v>29222000</v>
      </c>
      <c r="BR124" s="230">
        <v>-12076000</v>
      </c>
      <c r="BS124" s="229">
        <v>-0.4133</v>
      </c>
      <c r="BT124" s="230">
        <v>1622205</v>
      </c>
      <c r="BU124" s="230">
        <v>4371940</v>
      </c>
      <c r="BV124" s="230">
        <v>-2749735</v>
      </c>
      <c r="BW124" s="229">
        <v>-0.629</v>
      </c>
      <c r="BX124" s="230">
        <v>31864000</v>
      </c>
      <c r="BY124" s="230">
        <v>33315000</v>
      </c>
      <c r="BZ124" s="230">
        <v>-1451000</v>
      </c>
      <c r="CA124" s="229">
        <v>-4.36E-2</v>
      </c>
      <c r="CB124" s="230">
        <v>23045000</v>
      </c>
      <c r="CC124" s="230">
        <v>24692000</v>
      </c>
      <c r="CD124" s="230">
        <v>-1647000</v>
      </c>
      <c r="CE124" s="229">
        <v>-6.6699999999999995E-2</v>
      </c>
      <c r="CF124" s="230">
        <v>8716000</v>
      </c>
      <c r="CG124" s="230">
        <v>8529000</v>
      </c>
      <c r="CH124" s="230">
        <v>187000</v>
      </c>
      <c r="CI124" s="229">
        <v>2.1899999999999999E-2</v>
      </c>
      <c r="CJ124" s="230">
        <v>103000</v>
      </c>
      <c r="CK124" s="230">
        <v>94000</v>
      </c>
      <c r="CL124" s="230">
        <v>9000</v>
      </c>
      <c r="CM124" s="229">
        <v>9.5699999999999993E-2</v>
      </c>
      <c r="CN124" s="230">
        <v>12132000</v>
      </c>
      <c r="CO124" s="230">
        <v>12136000</v>
      </c>
      <c r="CP124" s="230">
        <v>-4000</v>
      </c>
      <c r="CQ124" s="229">
        <v>-2.9999999999999997E-4</v>
      </c>
      <c r="CR124" s="230">
        <v>7906000</v>
      </c>
      <c r="CS124" s="230">
        <v>8066000</v>
      </c>
      <c r="CT124" s="230">
        <v>-160000</v>
      </c>
      <c r="CU124" s="229">
        <v>-1.9800000000000002E-2</v>
      </c>
      <c r="CV124" s="230">
        <v>51902000</v>
      </c>
      <c r="CW124" s="230">
        <v>53517000</v>
      </c>
      <c r="CX124" s="230">
        <v>-1615000</v>
      </c>
      <c r="CY124" s="229">
        <v>-3.0200000000000001E-2</v>
      </c>
      <c r="CZ124" s="228">
        <v>25.88</v>
      </c>
      <c r="DA124" s="228">
        <v>26.58</v>
      </c>
      <c r="DB124" s="228">
        <v>-0.7</v>
      </c>
      <c r="DC124" s="228">
        <v>-0.7</v>
      </c>
      <c r="DD124" s="228">
        <v>36.909999999999997</v>
      </c>
      <c r="DE124" s="228">
        <v>37</v>
      </c>
      <c r="DF124" s="228">
        <v>-11.03</v>
      </c>
      <c r="DG124" s="228">
        <v>-0.09</v>
      </c>
      <c r="DH124" s="228">
        <v>26.18</v>
      </c>
      <c r="DI124" s="228">
        <v>26.88</v>
      </c>
      <c r="DJ124" s="228">
        <v>-0.7</v>
      </c>
      <c r="DK124" s="228">
        <v>-0.7</v>
      </c>
      <c r="DL124" s="228">
        <v>25.12</v>
      </c>
      <c r="DM124" s="228">
        <v>25.7</v>
      </c>
      <c r="DN124" s="228">
        <v>-0.57999999999999996</v>
      </c>
      <c r="DO124" s="228">
        <v>-0.57999999999999996</v>
      </c>
      <c r="DP124" s="228">
        <v>0.65</v>
      </c>
      <c r="DQ124" s="228">
        <v>0.66</v>
      </c>
      <c r="DR124" s="228">
        <v>-0.01</v>
      </c>
      <c r="DS124" s="229">
        <v>-1.52E-2</v>
      </c>
      <c r="DT124" s="228">
        <v>600</v>
      </c>
      <c r="DU124" s="228">
        <v>580</v>
      </c>
      <c r="DV124" s="228">
        <v>0.39</v>
      </c>
      <c r="DW124" s="228">
        <v>0.34</v>
      </c>
      <c r="DX124" s="228">
        <v>0.05</v>
      </c>
      <c r="DY124" s="229">
        <v>0.14710000000000001</v>
      </c>
      <c r="DZ124" s="229">
        <v>0.27679999999999999</v>
      </c>
      <c r="EA124" s="230">
        <v>8623000</v>
      </c>
      <c r="EB124" s="229">
        <v>4.8999999999999998E-3</v>
      </c>
      <c r="EC124" s="229">
        <v>0.27679999999999999</v>
      </c>
      <c r="ED124" s="228">
        <v>2.6</v>
      </c>
      <c r="EE124" s="229">
        <v>4.4999999999999997E-3</v>
      </c>
      <c r="EF124" s="230">
        <v>951657</v>
      </c>
      <c r="EG124" s="230">
        <v>2856707</v>
      </c>
      <c r="EH124" s="229">
        <v>-0.66690000000000005</v>
      </c>
      <c r="EI124" s="229">
        <v>0.58660000000000001</v>
      </c>
      <c r="EJ124" s="231">
        <v>44816.2</v>
      </c>
      <c r="EK124" s="231">
        <v>16918.099999999999</v>
      </c>
      <c r="EL124" s="231">
        <v>38105.74</v>
      </c>
      <c r="EM124" s="228">
        <v>0</v>
      </c>
      <c r="EN124" s="231">
        <v>99840.04</v>
      </c>
      <c r="EO124" s="231">
        <v>169522.44</v>
      </c>
      <c r="EP124" s="231">
        <v>-69682.399999999994</v>
      </c>
      <c r="EQ124" s="229">
        <v>-0.41110000000000002</v>
      </c>
      <c r="ER124" s="231">
        <v>73301</v>
      </c>
      <c r="ES124" s="231">
        <v>45635</v>
      </c>
      <c r="ET124" s="231">
        <v>182560</v>
      </c>
      <c r="EU124" s="231">
        <v>60244101</v>
      </c>
      <c r="EV124" s="231">
        <v>301496</v>
      </c>
      <c r="EW124" s="231">
        <v>310560</v>
      </c>
      <c r="EX124" s="231">
        <v>-9064</v>
      </c>
      <c r="EY124" s="229">
        <v>-2.92E-2</v>
      </c>
      <c r="EZ124" s="229">
        <v>0.86150000000000004</v>
      </c>
      <c r="FA124" s="227" t="s">
        <v>556</v>
      </c>
      <c r="FB124" s="161">
        <f t="shared" si="1"/>
        <v>8819000</v>
      </c>
    </row>
    <row r="125" spans="1:158" ht="17.25" hidden="1" thickBot="1" x14ac:dyDescent="0.3">
      <c r="A125" s="226">
        <v>45889</v>
      </c>
      <c r="B125" s="227" t="s">
        <v>175</v>
      </c>
      <c r="C125" s="227" t="s">
        <v>608</v>
      </c>
      <c r="D125" s="228">
        <v>700</v>
      </c>
      <c r="E125" s="228">
        <v>901.5</v>
      </c>
      <c r="F125" s="228">
        <v>897.7</v>
      </c>
      <c r="G125" s="228">
        <v>3.8</v>
      </c>
      <c r="H125" s="229">
        <v>4.1999999999999997E-3</v>
      </c>
      <c r="I125" s="228">
        <v>899.35</v>
      </c>
      <c r="J125" s="228">
        <v>894.3</v>
      </c>
      <c r="K125" s="228">
        <v>5.05</v>
      </c>
      <c r="L125" s="229">
        <v>5.5999999999999999E-3</v>
      </c>
      <c r="M125" s="228">
        <v>901.5</v>
      </c>
      <c r="N125" s="228">
        <v>897.7</v>
      </c>
      <c r="O125" s="228">
        <v>3.8</v>
      </c>
      <c r="P125" s="229">
        <v>4.1999999999999997E-3</v>
      </c>
      <c r="Q125" s="228">
        <v>905.4</v>
      </c>
      <c r="R125" s="228">
        <v>901.6</v>
      </c>
      <c r="S125" s="228">
        <v>3.8</v>
      </c>
      <c r="T125" s="229">
        <v>4.1999999999999997E-3</v>
      </c>
      <c r="U125" s="228">
        <v>909.1</v>
      </c>
      <c r="V125" s="228">
        <v>904.3</v>
      </c>
      <c r="W125" s="228">
        <v>4.8</v>
      </c>
      <c r="X125" s="229">
        <v>5.3E-3</v>
      </c>
      <c r="Y125" s="228">
        <v>2.15</v>
      </c>
      <c r="Z125" s="228">
        <v>3.4</v>
      </c>
      <c r="AA125" s="228">
        <v>-1.25</v>
      </c>
      <c r="AB125" s="229">
        <v>2.3999999999999998E-3</v>
      </c>
      <c r="AC125" s="228">
        <v>2.15</v>
      </c>
      <c r="AD125" s="228">
        <v>3.4</v>
      </c>
      <c r="AE125" s="228">
        <v>-1.25</v>
      </c>
      <c r="AF125" s="229">
        <v>2.3999999999999998E-3</v>
      </c>
      <c r="AG125" s="228">
        <v>6.05</v>
      </c>
      <c r="AH125" s="228">
        <v>7.3</v>
      </c>
      <c r="AI125" s="228">
        <v>-1.25</v>
      </c>
      <c r="AJ125" s="229">
        <v>6.7000000000000002E-3</v>
      </c>
      <c r="AK125" s="228">
        <v>9.75</v>
      </c>
      <c r="AL125" s="228">
        <v>10</v>
      </c>
      <c r="AM125" s="228">
        <v>-0.25</v>
      </c>
      <c r="AN125" s="229">
        <v>1.0800000000000001E-2</v>
      </c>
      <c r="AO125" s="228">
        <v>897.97</v>
      </c>
      <c r="AP125" s="228">
        <v>902.11</v>
      </c>
      <c r="AQ125" s="228">
        <v>0</v>
      </c>
      <c r="AR125" s="230">
        <v>1398600</v>
      </c>
      <c r="AS125" s="230">
        <v>2311400</v>
      </c>
      <c r="AT125" s="230">
        <v>-912800</v>
      </c>
      <c r="AU125" s="229">
        <v>-0.39489999999999997</v>
      </c>
      <c r="AV125" s="230">
        <v>1047200</v>
      </c>
      <c r="AW125" s="230">
        <v>1689800</v>
      </c>
      <c r="AX125" s="230">
        <v>-642600</v>
      </c>
      <c r="AY125" s="229">
        <v>-0.38030000000000003</v>
      </c>
      <c r="AZ125" s="230">
        <v>301700</v>
      </c>
      <c r="BA125" s="230">
        <v>587300</v>
      </c>
      <c r="BB125" s="230">
        <v>-285600</v>
      </c>
      <c r="BC125" s="229">
        <v>-0.48630000000000001</v>
      </c>
      <c r="BD125" s="230">
        <v>49700</v>
      </c>
      <c r="BE125" s="230">
        <v>34300</v>
      </c>
      <c r="BF125" s="230">
        <v>15400</v>
      </c>
      <c r="BG125" s="229">
        <v>0.44900000000000001</v>
      </c>
      <c r="BH125" s="230">
        <v>4113900</v>
      </c>
      <c r="BI125" s="230">
        <v>7236600</v>
      </c>
      <c r="BJ125" s="230">
        <v>-3122700</v>
      </c>
      <c r="BK125" s="229">
        <v>-0.43149999999999999</v>
      </c>
      <c r="BL125" s="230">
        <v>1867600</v>
      </c>
      <c r="BM125" s="230">
        <v>2732800</v>
      </c>
      <c r="BN125" s="230">
        <v>-865200</v>
      </c>
      <c r="BO125" s="229">
        <v>-0.31659999999999999</v>
      </c>
      <c r="BP125" s="230">
        <v>7380100</v>
      </c>
      <c r="BQ125" s="230">
        <v>12280800</v>
      </c>
      <c r="BR125" s="230">
        <v>-4900700</v>
      </c>
      <c r="BS125" s="229">
        <v>-0.39910000000000001</v>
      </c>
      <c r="BT125" s="230">
        <v>453745</v>
      </c>
      <c r="BU125" s="230">
        <v>1203475</v>
      </c>
      <c r="BV125" s="230">
        <v>-749730</v>
      </c>
      <c r="BW125" s="229">
        <v>-0.623</v>
      </c>
      <c r="BX125" s="230">
        <v>8148700</v>
      </c>
      <c r="BY125" s="230">
        <v>7929600</v>
      </c>
      <c r="BZ125" s="230">
        <v>219100</v>
      </c>
      <c r="CA125" s="229">
        <v>2.76E-2</v>
      </c>
      <c r="CB125" s="230">
        <v>7035700</v>
      </c>
      <c r="CC125" s="230">
        <v>6901300</v>
      </c>
      <c r="CD125" s="230">
        <v>134400</v>
      </c>
      <c r="CE125" s="229">
        <v>1.95E-2</v>
      </c>
      <c r="CF125" s="230">
        <v>1018500</v>
      </c>
      <c r="CG125" s="230">
        <v>942900</v>
      </c>
      <c r="CH125" s="230">
        <v>75600</v>
      </c>
      <c r="CI125" s="229">
        <v>8.0199999999999994E-2</v>
      </c>
      <c r="CJ125" s="230">
        <v>94500</v>
      </c>
      <c r="CK125" s="230">
        <v>85400</v>
      </c>
      <c r="CL125" s="230">
        <v>9100</v>
      </c>
      <c r="CM125" s="229">
        <v>0.1066</v>
      </c>
      <c r="CN125" s="230">
        <v>5122600</v>
      </c>
      <c r="CO125" s="230">
        <v>5257000</v>
      </c>
      <c r="CP125" s="230">
        <v>-134400</v>
      </c>
      <c r="CQ125" s="229">
        <v>-2.5600000000000001E-2</v>
      </c>
      <c r="CR125" s="230">
        <v>2939300</v>
      </c>
      <c r="CS125" s="230">
        <v>2875600</v>
      </c>
      <c r="CT125" s="230">
        <v>63700</v>
      </c>
      <c r="CU125" s="229">
        <v>2.2200000000000001E-2</v>
      </c>
      <c r="CV125" s="230">
        <v>16210600</v>
      </c>
      <c r="CW125" s="230">
        <v>16062200</v>
      </c>
      <c r="CX125" s="230">
        <v>148400</v>
      </c>
      <c r="CY125" s="229">
        <v>9.1999999999999998E-3</v>
      </c>
      <c r="CZ125" s="228">
        <v>25.27</v>
      </c>
      <c r="DA125" s="228">
        <v>25.52</v>
      </c>
      <c r="DB125" s="228">
        <v>-0.25</v>
      </c>
      <c r="DC125" s="228">
        <v>-0.25</v>
      </c>
      <c r="DD125" s="228">
        <v>34.450000000000003</v>
      </c>
      <c r="DE125" s="228">
        <v>34.53</v>
      </c>
      <c r="DF125" s="228">
        <v>-9.18</v>
      </c>
      <c r="DG125" s="228">
        <v>-0.08</v>
      </c>
      <c r="DH125" s="228">
        <v>25.4</v>
      </c>
      <c r="DI125" s="228">
        <v>25.77</v>
      </c>
      <c r="DJ125" s="228">
        <v>-0.37</v>
      </c>
      <c r="DK125" s="228">
        <v>-0.37</v>
      </c>
      <c r="DL125" s="228">
        <v>25</v>
      </c>
      <c r="DM125" s="228">
        <v>24.87</v>
      </c>
      <c r="DN125" s="228">
        <v>0.13</v>
      </c>
      <c r="DO125" s="228">
        <v>0.13</v>
      </c>
      <c r="DP125" s="228">
        <v>0.56999999999999995</v>
      </c>
      <c r="DQ125" s="228">
        <v>0.55000000000000004</v>
      </c>
      <c r="DR125" s="228">
        <v>0.02</v>
      </c>
      <c r="DS125" s="229">
        <v>3.6400000000000002E-2</v>
      </c>
      <c r="DT125" s="228">
        <v>920</v>
      </c>
      <c r="DU125" s="228">
        <v>850</v>
      </c>
      <c r="DV125" s="228">
        <v>0.45</v>
      </c>
      <c r="DW125" s="228">
        <v>0.38</v>
      </c>
      <c r="DX125" s="228">
        <v>7.0000000000000007E-2</v>
      </c>
      <c r="DY125" s="229">
        <v>0.1842</v>
      </c>
      <c r="DZ125" s="229">
        <v>0.1366</v>
      </c>
      <c r="EA125" s="230">
        <v>1028300</v>
      </c>
      <c r="EB125" s="229">
        <v>4.3E-3</v>
      </c>
      <c r="EC125" s="229">
        <v>0.1366</v>
      </c>
      <c r="ED125" s="228">
        <v>4.1399999999999997</v>
      </c>
      <c r="EE125" s="229">
        <v>4.5999999999999999E-3</v>
      </c>
      <c r="EF125" s="230">
        <v>196154</v>
      </c>
      <c r="EG125" s="230">
        <v>671468</v>
      </c>
      <c r="EH125" s="229">
        <v>-0.70789999999999997</v>
      </c>
      <c r="EI125" s="229">
        <v>0.43230000000000002</v>
      </c>
      <c r="EJ125" s="231">
        <v>38753.53</v>
      </c>
      <c r="EK125" s="231">
        <v>16496.560000000001</v>
      </c>
      <c r="EL125" s="231">
        <v>12575.47</v>
      </c>
      <c r="EM125" s="228">
        <v>0</v>
      </c>
      <c r="EN125" s="231">
        <v>67825.56</v>
      </c>
      <c r="EO125" s="231">
        <v>112641.93</v>
      </c>
      <c r="EP125" s="231">
        <v>-44816.37</v>
      </c>
      <c r="EQ125" s="229">
        <v>-0.39789999999999998</v>
      </c>
      <c r="ER125" s="231">
        <v>47916</v>
      </c>
      <c r="ES125" s="231">
        <v>25716</v>
      </c>
      <c r="ET125" s="231">
        <v>73507</v>
      </c>
      <c r="EU125" s="231">
        <v>44274984</v>
      </c>
      <c r="EV125" s="231">
        <v>147140</v>
      </c>
      <c r="EW125" s="231">
        <v>145526</v>
      </c>
      <c r="EX125" s="231">
        <v>1614</v>
      </c>
      <c r="EY125" s="229">
        <v>1.11E-2</v>
      </c>
      <c r="EZ125" s="229">
        <v>0.36609999999999998</v>
      </c>
      <c r="FA125" s="227" t="s">
        <v>555</v>
      </c>
      <c r="FB125" s="161">
        <f t="shared" si="1"/>
        <v>1113000</v>
      </c>
    </row>
    <row r="126" spans="1:158" ht="17.25" hidden="1" thickBot="1" x14ac:dyDescent="0.3">
      <c r="A126" s="226">
        <v>45889</v>
      </c>
      <c r="B126" s="227" t="s">
        <v>206</v>
      </c>
      <c r="C126" s="227" t="s">
        <v>589</v>
      </c>
      <c r="D126" s="228">
        <v>450</v>
      </c>
      <c r="E126" s="231">
        <v>1295.7</v>
      </c>
      <c r="F126" s="231">
        <v>1254.5999999999999</v>
      </c>
      <c r="G126" s="228">
        <v>41.1</v>
      </c>
      <c r="H126" s="229">
        <v>3.2800000000000003E-2</v>
      </c>
      <c r="I126" s="231">
        <v>1300</v>
      </c>
      <c r="J126" s="231">
        <v>1257.8</v>
      </c>
      <c r="K126" s="228">
        <v>42.2</v>
      </c>
      <c r="L126" s="229">
        <v>3.3599999999999998E-2</v>
      </c>
      <c r="M126" s="231">
        <v>1295.7</v>
      </c>
      <c r="N126" s="231">
        <v>1254.5999999999999</v>
      </c>
      <c r="O126" s="228">
        <v>41.1</v>
      </c>
      <c r="P126" s="229">
        <v>3.2800000000000003E-2</v>
      </c>
      <c r="Q126" s="231">
        <v>1301.2</v>
      </c>
      <c r="R126" s="231">
        <v>1259.0999999999999</v>
      </c>
      <c r="S126" s="228">
        <v>42.1</v>
      </c>
      <c r="T126" s="229">
        <v>3.3399999999999999E-2</v>
      </c>
      <c r="U126" s="231">
        <v>1304</v>
      </c>
      <c r="V126" s="231">
        <v>1260.0999999999999</v>
      </c>
      <c r="W126" s="228">
        <v>43.9</v>
      </c>
      <c r="X126" s="229">
        <v>3.4799999999999998E-2</v>
      </c>
      <c r="Y126" s="228">
        <v>-4.3</v>
      </c>
      <c r="Z126" s="228">
        <v>-3.2</v>
      </c>
      <c r="AA126" s="228">
        <v>-1.1000000000000001</v>
      </c>
      <c r="AB126" s="229">
        <v>-3.3E-3</v>
      </c>
      <c r="AC126" s="228">
        <v>-4.3</v>
      </c>
      <c r="AD126" s="228">
        <v>-3.2</v>
      </c>
      <c r="AE126" s="228">
        <v>-1.1000000000000001</v>
      </c>
      <c r="AF126" s="229">
        <v>-3.3E-3</v>
      </c>
      <c r="AG126" s="228">
        <v>1.2</v>
      </c>
      <c r="AH126" s="228">
        <v>1.3</v>
      </c>
      <c r="AI126" s="228">
        <v>-0.1</v>
      </c>
      <c r="AJ126" s="229">
        <v>8.9999999999999998E-4</v>
      </c>
      <c r="AK126" s="228">
        <v>4</v>
      </c>
      <c r="AL126" s="228">
        <v>2.2999999999999998</v>
      </c>
      <c r="AM126" s="228">
        <v>1.7</v>
      </c>
      <c r="AN126" s="229">
        <v>3.0999999999999999E-3</v>
      </c>
      <c r="AO126" s="231">
        <v>1280.2</v>
      </c>
      <c r="AP126" s="231">
        <v>1286.44</v>
      </c>
      <c r="AQ126" s="228">
        <v>0</v>
      </c>
      <c r="AR126" s="230">
        <v>2407050</v>
      </c>
      <c r="AS126" s="230">
        <v>938700</v>
      </c>
      <c r="AT126" s="230">
        <v>1468350</v>
      </c>
      <c r="AU126" s="229">
        <v>1.5642</v>
      </c>
      <c r="AV126" s="230">
        <v>1923750</v>
      </c>
      <c r="AW126" s="230">
        <v>819900</v>
      </c>
      <c r="AX126" s="230">
        <v>1103850</v>
      </c>
      <c r="AY126" s="229">
        <v>1.3463000000000001</v>
      </c>
      <c r="AZ126" s="230">
        <v>476100</v>
      </c>
      <c r="BA126" s="230">
        <v>115200</v>
      </c>
      <c r="BB126" s="230">
        <v>360900</v>
      </c>
      <c r="BC126" s="229">
        <v>3.1328</v>
      </c>
      <c r="BD126" s="230">
        <v>7200</v>
      </c>
      <c r="BE126" s="230">
        <v>3600</v>
      </c>
      <c r="BF126" s="230">
        <v>3600</v>
      </c>
      <c r="BG126" s="229">
        <v>1</v>
      </c>
      <c r="BH126" s="230">
        <v>12234600</v>
      </c>
      <c r="BI126" s="230">
        <v>2268000</v>
      </c>
      <c r="BJ126" s="230">
        <v>9966600</v>
      </c>
      <c r="BK126" s="229">
        <v>4.3944000000000001</v>
      </c>
      <c r="BL126" s="230">
        <v>2490750</v>
      </c>
      <c r="BM126" s="230">
        <v>1381050</v>
      </c>
      <c r="BN126" s="230">
        <v>1109700</v>
      </c>
      <c r="BO126" s="229">
        <v>0.80349999999999999</v>
      </c>
      <c r="BP126" s="230">
        <v>17132400</v>
      </c>
      <c r="BQ126" s="230">
        <v>4587750</v>
      </c>
      <c r="BR126" s="230">
        <v>12544650</v>
      </c>
      <c r="BS126" s="229">
        <v>2.7343999999999999</v>
      </c>
      <c r="BT126" s="230">
        <v>1963076</v>
      </c>
      <c r="BU126" s="230">
        <v>1121310</v>
      </c>
      <c r="BV126" s="230">
        <v>841766</v>
      </c>
      <c r="BW126" s="229">
        <v>0.75070000000000003</v>
      </c>
      <c r="BX126" s="230">
        <v>9057150</v>
      </c>
      <c r="BY126" s="230">
        <v>8973900</v>
      </c>
      <c r="BZ126" s="230">
        <v>83250</v>
      </c>
      <c r="CA126" s="229">
        <v>9.2999999999999992E-3</v>
      </c>
      <c r="CB126" s="230">
        <v>8466750</v>
      </c>
      <c r="CC126" s="230">
        <v>8591850</v>
      </c>
      <c r="CD126" s="230">
        <v>-125100</v>
      </c>
      <c r="CE126" s="229">
        <v>-1.46E-2</v>
      </c>
      <c r="CF126" s="230">
        <v>582750</v>
      </c>
      <c r="CG126" s="230">
        <v>377100</v>
      </c>
      <c r="CH126" s="230">
        <v>205650</v>
      </c>
      <c r="CI126" s="229">
        <v>0.54530000000000001</v>
      </c>
      <c r="CJ126" s="230">
        <v>7650</v>
      </c>
      <c r="CK126" s="230">
        <v>4950</v>
      </c>
      <c r="CL126" s="230">
        <v>2700</v>
      </c>
      <c r="CM126" s="229">
        <v>0.54549999999999998</v>
      </c>
      <c r="CN126" s="230">
        <v>1926000</v>
      </c>
      <c r="CO126" s="230">
        <v>2109150</v>
      </c>
      <c r="CP126" s="230">
        <v>-183150</v>
      </c>
      <c r="CQ126" s="229">
        <v>-8.6800000000000002E-2</v>
      </c>
      <c r="CR126" s="230">
        <v>1242000</v>
      </c>
      <c r="CS126" s="230">
        <v>1113750</v>
      </c>
      <c r="CT126" s="230">
        <v>128250</v>
      </c>
      <c r="CU126" s="229">
        <v>0.1152</v>
      </c>
      <c r="CV126" s="230">
        <v>12225150</v>
      </c>
      <c r="CW126" s="230">
        <v>12196800</v>
      </c>
      <c r="CX126" s="230">
        <v>28350</v>
      </c>
      <c r="CY126" s="229">
        <v>2.3E-3</v>
      </c>
      <c r="CZ126" s="228">
        <v>32.770000000000003</v>
      </c>
      <c r="DA126" s="228">
        <v>32.700000000000003</v>
      </c>
      <c r="DB126" s="228">
        <v>7.0000000000000007E-2</v>
      </c>
      <c r="DC126" s="228">
        <v>7.0000000000000007E-2</v>
      </c>
      <c r="DD126" s="228">
        <v>50.89</v>
      </c>
      <c r="DE126" s="228">
        <v>50.82</v>
      </c>
      <c r="DF126" s="228">
        <v>-18.12</v>
      </c>
      <c r="DG126" s="228">
        <v>7.0000000000000007E-2</v>
      </c>
      <c r="DH126" s="228">
        <v>32.61</v>
      </c>
      <c r="DI126" s="228">
        <v>32.97</v>
      </c>
      <c r="DJ126" s="228">
        <v>-0.36</v>
      </c>
      <c r="DK126" s="228">
        <v>-0.36</v>
      </c>
      <c r="DL126" s="228">
        <v>33.53</v>
      </c>
      <c r="DM126" s="228">
        <v>32.270000000000003</v>
      </c>
      <c r="DN126" s="228">
        <v>1.26</v>
      </c>
      <c r="DO126" s="228">
        <v>1.26</v>
      </c>
      <c r="DP126" s="228">
        <v>0.64</v>
      </c>
      <c r="DQ126" s="228">
        <v>0.53</v>
      </c>
      <c r="DR126" s="228">
        <v>0.11</v>
      </c>
      <c r="DS126" s="229">
        <v>0.20749999999999999</v>
      </c>
      <c r="DT126" s="231">
        <v>1300</v>
      </c>
      <c r="DU126" s="231">
        <v>1200</v>
      </c>
      <c r="DV126" s="228">
        <v>0.2</v>
      </c>
      <c r="DW126" s="228">
        <v>0.61</v>
      </c>
      <c r="DX126" s="228">
        <v>-0.41</v>
      </c>
      <c r="DY126" s="229">
        <v>-0.67210000000000003</v>
      </c>
      <c r="DZ126" s="229">
        <v>6.5199999999999994E-2</v>
      </c>
      <c r="EA126" s="230">
        <v>382050</v>
      </c>
      <c r="EB126" s="229">
        <v>4.1999999999999997E-3</v>
      </c>
      <c r="EC126" s="229">
        <v>6.5199999999999994E-2</v>
      </c>
      <c r="ED126" s="228">
        <v>6.24</v>
      </c>
      <c r="EE126" s="229">
        <v>4.8999999999999998E-3</v>
      </c>
      <c r="EF126" s="230">
        <v>1214817</v>
      </c>
      <c r="EG126" s="230">
        <v>693365</v>
      </c>
      <c r="EH126" s="229">
        <v>0.75209999999999999</v>
      </c>
      <c r="EI126" s="229">
        <v>0.61880000000000002</v>
      </c>
      <c r="EJ126" s="231">
        <v>161181.85</v>
      </c>
      <c r="EK126" s="231">
        <v>31363.86</v>
      </c>
      <c r="EL126" s="231">
        <v>30846</v>
      </c>
      <c r="EM126" s="228">
        <v>0</v>
      </c>
      <c r="EN126" s="231">
        <v>223391.71</v>
      </c>
      <c r="EO126" s="231">
        <v>58373.73</v>
      </c>
      <c r="EP126" s="231">
        <v>165017.98000000001</v>
      </c>
      <c r="EQ126" s="229">
        <v>2.8269000000000002</v>
      </c>
      <c r="ER126" s="231">
        <v>25609</v>
      </c>
      <c r="ES126" s="231">
        <v>15287</v>
      </c>
      <c r="ET126" s="231">
        <v>117386</v>
      </c>
      <c r="EU126" s="231">
        <v>56080191</v>
      </c>
      <c r="EV126" s="231">
        <v>158282</v>
      </c>
      <c r="EW126" s="231">
        <v>154136</v>
      </c>
      <c r="EX126" s="231">
        <v>4146</v>
      </c>
      <c r="EY126" s="229">
        <v>2.69E-2</v>
      </c>
      <c r="EZ126" s="229">
        <v>0.218</v>
      </c>
      <c r="FA126" s="227" t="s">
        <v>555</v>
      </c>
      <c r="FB126" s="161">
        <f t="shared" si="1"/>
        <v>590400</v>
      </c>
    </row>
    <row r="127" spans="1:158" ht="17.25" hidden="1" thickBot="1" x14ac:dyDescent="0.3">
      <c r="A127" s="226">
        <v>45889</v>
      </c>
      <c r="B127" s="227" t="s">
        <v>184</v>
      </c>
      <c r="C127" s="227" t="s">
        <v>249</v>
      </c>
      <c r="D127" s="228">
        <v>175</v>
      </c>
      <c r="E127" s="231">
        <v>3595.4</v>
      </c>
      <c r="F127" s="231">
        <v>3623.3</v>
      </c>
      <c r="G127" s="228">
        <v>-27.9</v>
      </c>
      <c r="H127" s="229">
        <v>-7.7000000000000002E-3</v>
      </c>
      <c r="I127" s="231">
        <v>3592.3</v>
      </c>
      <c r="J127" s="231">
        <v>3613</v>
      </c>
      <c r="K127" s="228">
        <v>-20.7</v>
      </c>
      <c r="L127" s="229">
        <v>-5.7000000000000002E-3</v>
      </c>
      <c r="M127" s="231">
        <v>3595.4</v>
      </c>
      <c r="N127" s="231">
        <v>3623.3</v>
      </c>
      <c r="O127" s="228">
        <v>-27.9</v>
      </c>
      <c r="P127" s="229">
        <v>-7.7000000000000002E-3</v>
      </c>
      <c r="Q127" s="231">
        <v>3616.8</v>
      </c>
      <c r="R127" s="231">
        <v>3644.3</v>
      </c>
      <c r="S127" s="228">
        <v>-27.5</v>
      </c>
      <c r="T127" s="229">
        <v>-7.4999999999999997E-3</v>
      </c>
      <c r="U127" s="231">
        <v>3633.9</v>
      </c>
      <c r="V127" s="231">
        <v>3662.5</v>
      </c>
      <c r="W127" s="228">
        <v>-28.6</v>
      </c>
      <c r="X127" s="229">
        <v>-7.7999999999999996E-3</v>
      </c>
      <c r="Y127" s="228">
        <v>3.1</v>
      </c>
      <c r="Z127" s="228">
        <v>10.3</v>
      </c>
      <c r="AA127" s="228">
        <v>-7.2</v>
      </c>
      <c r="AB127" s="229">
        <v>8.9999999999999998E-4</v>
      </c>
      <c r="AC127" s="228">
        <v>3.1</v>
      </c>
      <c r="AD127" s="228">
        <v>10.3</v>
      </c>
      <c r="AE127" s="228">
        <v>-7.2</v>
      </c>
      <c r="AF127" s="229">
        <v>8.9999999999999998E-4</v>
      </c>
      <c r="AG127" s="228">
        <v>24.5</v>
      </c>
      <c r="AH127" s="228">
        <v>31.3</v>
      </c>
      <c r="AI127" s="228">
        <v>-6.8</v>
      </c>
      <c r="AJ127" s="229">
        <v>6.7999999999999996E-3</v>
      </c>
      <c r="AK127" s="228">
        <v>41.6</v>
      </c>
      <c r="AL127" s="228">
        <v>49.5</v>
      </c>
      <c r="AM127" s="228">
        <v>-7.9</v>
      </c>
      <c r="AN127" s="229">
        <v>1.1599999999999999E-2</v>
      </c>
      <c r="AO127" s="231">
        <v>3596.58</v>
      </c>
      <c r="AP127" s="231">
        <v>3617.15</v>
      </c>
      <c r="AQ127" s="228">
        <v>0</v>
      </c>
      <c r="AR127" s="230">
        <v>2461025</v>
      </c>
      <c r="AS127" s="230">
        <v>1573950</v>
      </c>
      <c r="AT127" s="230">
        <v>887075</v>
      </c>
      <c r="AU127" s="229">
        <v>0.56359999999999999</v>
      </c>
      <c r="AV127" s="230">
        <v>1905575</v>
      </c>
      <c r="AW127" s="230">
        <v>1260875</v>
      </c>
      <c r="AX127" s="230">
        <v>644700</v>
      </c>
      <c r="AY127" s="229">
        <v>0.51129999999999998</v>
      </c>
      <c r="AZ127" s="230">
        <v>451500</v>
      </c>
      <c r="BA127" s="230">
        <v>298200</v>
      </c>
      <c r="BB127" s="230">
        <v>153300</v>
      </c>
      <c r="BC127" s="229">
        <v>0.5141</v>
      </c>
      <c r="BD127" s="230">
        <v>103950</v>
      </c>
      <c r="BE127" s="230">
        <v>14875</v>
      </c>
      <c r="BF127" s="230">
        <v>89075</v>
      </c>
      <c r="BG127" s="229">
        <v>5.9882</v>
      </c>
      <c r="BH127" s="230">
        <v>8802325</v>
      </c>
      <c r="BI127" s="230">
        <v>5437600</v>
      </c>
      <c r="BJ127" s="230">
        <v>3364725</v>
      </c>
      <c r="BK127" s="229">
        <v>0.61880000000000002</v>
      </c>
      <c r="BL127" s="230">
        <v>3905125</v>
      </c>
      <c r="BM127" s="230">
        <v>2071825</v>
      </c>
      <c r="BN127" s="230">
        <v>1833300</v>
      </c>
      <c r="BO127" s="229">
        <v>0.88490000000000002</v>
      </c>
      <c r="BP127" s="230">
        <v>15168475</v>
      </c>
      <c r="BQ127" s="230">
        <v>9083375</v>
      </c>
      <c r="BR127" s="230">
        <v>6085100</v>
      </c>
      <c r="BS127" s="229">
        <v>0.66990000000000005</v>
      </c>
      <c r="BT127" s="230">
        <v>1370636</v>
      </c>
      <c r="BU127" s="230">
        <v>1389154</v>
      </c>
      <c r="BV127" s="230">
        <v>-18518</v>
      </c>
      <c r="BW127" s="229">
        <v>-1.3299999999999999E-2</v>
      </c>
      <c r="BX127" s="230">
        <v>15232875</v>
      </c>
      <c r="BY127" s="230">
        <v>15114050</v>
      </c>
      <c r="BZ127" s="230">
        <v>118825</v>
      </c>
      <c r="CA127" s="229">
        <v>7.9000000000000008E-3</v>
      </c>
      <c r="CB127" s="230">
        <v>12733875</v>
      </c>
      <c r="CC127" s="230">
        <v>13033475</v>
      </c>
      <c r="CD127" s="230">
        <v>-299600</v>
      </c>
      <c r="CE127" s="229">
        <v>-2.3E-2</v>
      </c>
      <c r="CF127" s="230">
        <v>2079525</v>
      </c>
      <c r="CG127" s="230">
        <v>1758575</v>
      </c>
      <c r="CH127" s="230">
        <v>320950</v>
      </c>
      <c r="CI127" s="229">
        <v>0.1825</v>
      </c>
      <c r="CJ127" s="230">
        <v>419475</v>
      </c>
      <c r="CK127" s="230">
        <v>322000</v>
      </c>
      <c r="CL127" s="230">
        <v>97475</v>
      </c>
      <c r="CM127" s="229">
        <v>0.30270000000000002</v>
      </c>
      <c r="CN127" s="230">
        <v>6356000</v>
      </c>
      <c r="CO127" s="230">
        <v>5429900</v>
      </c>
      <c r="CP127" s="230">
        <v>926100</v>
      </c>
      <c r="CQ127" s="229">
        <v>0.1706</v>
      </c>
      <c r="CR127" s="230">
        <v>3020850</v>
      </c>
      <c r="CS127" s="230">
        <v>2902550</v>
      </c>
      <c r="CT127" s="230">
        <v>118300</v>
      </c>
      <c r="CU127" s="229">
        <v>4.0800000000000003E-2</v>
      </c>
      <c r="CV127" s="230">
        <v>24609725</v>
      </c>
      <c r="CW127" s="230">
        <v>23446500</v>
      </c>
      <c r="CX127" s="230">
        <v>1163225</v>
      </c>
      <c r="CY127" s="229">
        <v>4.9599999999999998E-2</v>
      </c>
      <c r="CZ127" s="228">
        <v>19.55</v>
      </c>
      <c r="DA127" s="228">
        <v>18.8</v>
      </c>
      <c r="DB127" s="228">
        <v>0.75</v>
      </c>
      <c r="DC127" s="228">
        <v>0.75</v>
      </c>
      <c r="DD127" s="228">
        <v>29.71</v>
      </c>
      <c r="DE127" s="228">
        <v>29.78</v>
      </c>
      <c r="DF127" s="228">
        <v>-10.16</v>
      </c>
      <c r="DG127" s="228">
        <v>-7.0000000000000007E-2</v>
      </c>
      <c r="DH127" s="228">
        <v>19.89</v>
      </c>
      <c r="DI127" s="228">
        <v>18.98</v>
      </c>
      <c r="DJ127" s="228">
        <v>0.91</v>
      </c>
      <c r="DK127" s="228">
        <v>0.91</v>
      </c>
      <c r="DL127" s="228">
        <v>18.78</v>
      </c>
      <c r="DM127" s="228">
        <v>18.329999999999998</v>
      </c>
      <c r="DN127" s="228">
        <v>0.45</v>
      </c>
      <c r="DO127" s="228">
        <v>0.45</v>
      </c>
      <c r="DP127" s="228">
        <v>0.48</v>
      </c>
      <c r="DQ127" s="228">
        <v>0.53</v>
      </c>
      <c r="DR127" s="228">
        <v>-0.05</v>
      </c>
      <c r="DS127" s="229">
        <v>-9.4299999999999995E-2</v>
      </c>
      <c r="DT127" s="231">
        <v>3700</v>
      </c>
      <c r="DU127" s="231">
        <v>3600</v>
      </c>
      <c r="DV127" s="228">
        <v>0.44</v>
      </c>
      <c r="DW127" s="228">
        <v>0.38</v>
      </c>
      <c r="DX127" s="228">
        <v>0.06</v>
      </c>
      <c r="DY127" s="229">
        <v>0.15790000000000001</v>
      </c>
      <c r="DZ127" s="229">
        <v>0.1641</v>
      </c>
      <c r="EA127" s="230">
        <v>2080575</v>
      </c>
      <c r="EB127" s="229">
        <v>6.0000000000000001E-3</v>
      </c>
      <c r="EC127" s="229">
        <v>0.1641</v>
      </c>
      <c r="ED127" s="228">
        <v>20.57</v>
      </c>
      <c r="EE127" s="229">
        <v>5.7000000000000002E-3</v>
      </c>
      <c r="EF127" s="230">
        <v>810957</v>
      </c>
      <c r="EG127" s="230">
        <v>934862</v>
      </c>
      <c r="EH127" s="229">
        <v>-0.13250000000000001</v>
      </c>
      <c r="EI127" s="229">
        <v>0.5917</v>
      </c>
      <c r="EJ127" s="231">
        <v>326495.53000000003</v>
      </c>
      <c r="EK127" s="231">
        <v>140217.60999999999</v>
      </c>
      <c r="EL127" s="231">
        <v>88652.42</v>
      </c>
      <c r="EM127" s="228">
        <v>0</v>
      </c>
      <c r="EN127" s="231">
        <v>555365.56000000006</v>
      </c>
      <c r="EO127" s="231">
        <v>335117.46000000002</v>
      </c>
      <c r="EP127" s="231">
        <v>220248.1</v>
      </c>
      <c r="EQ127" s="229">
        <v>0.65720000000000001</v>
      </c>
      <c r="ER127" s="231">
        <v>237397</v>
      </c>
      <c r="ES127" s="231">
        <v>107282</v>
      </c>
      <c r="ET127" s="231">
        <v>548289</v>
      </c>
      <c r="EU127" s="231">
        <v>272014607</v>
      </c>
      <c r="EV127" s="231">
        <v>892969</v>
      </c>
      <c r="EW127" s="231">
        <v>854581</v>
      </c>
      <c r="EX127" s="231">
        <v>38388</v>
      </c>
      <c r="EY127" s="229">
        <v>4.4900000000000002E-2</v>
      </c>
      <c r="EZ127" s="229">
        <v>9.0499999999999997E-2</v>
      </c>
      <c r="FA127" s="227" t="s">
        <v>567</v>
      </c>
      <c r="FB127" s="161">
        <f t="shared" si="1"/>
        <v>2499000</v>
      </c>
    </row>
    <row r="128" spans="1:158" ht="17.25" hidden="1" thickBot="1" x14ac:dyDescent="0.3">
      <c r="A128" s="226">
        <v>45889</v>
      </c>
      <c r="B128" s="227" t="s">
        <v>175</v>
      </c>
      <c r="C128" s="227" t="s">
        <v>565</v>
      </c>
      <c r="D128" s="228">
        <v>4462</v>
      </c>
      <c r="E128" s="228">
        <v>216.44</v>
      </c>
      <c r="F128" s="228">
        <v>217.14</v>
      </c>
      <c r="G128" s="228">
        <v>-0.7</v>
      </c>
      <c r="H128" s="229">
        <v>-3.2000000000000002E-3</v>
      </c>
      <c r="I128" s="228">
        <v>216.53</v>
      </c>
      <c r="J128" s="228">
        <v>217.03</v>
      </c>
      <c r="K128" s="228">
        <v>-0.5</v>
      </c>
      <c r="L128" s="229">
        <v>-2.3E-3</v>
      </c>
      <c r="M128" s="228">
        <v>216.44</v>
      </c>
      <c r="N128" s="228">
        <v>217.14</v>
      </c>
      <c r="O128" s="228">
        <v>-0.7</v>
      </c>
      <c r="P128" s="229">
        <v>-3.2000000000000002E-3</v>
      </c>
      <c r="Q128" s="228">
        <v>217.02</v>
      </c>
      <c r="R128" s="228">
        <v>217.69</v>
      </c>
      <c r="S128" s="228">
        <v>-0.67</v>
      </c>
      <c r="T128" s="229">
        <v>-3.0999999999999999E-3</v>
      </c>
      <c r="U128" s="228">
        <v>217.76</v>
      </c>
      <c r="V128" s="228">
        <v>218.48</v>
      </c>
      <c r="W128" s="228">
        <v>-0.72</v>
      </c>
      <c r="X128" s="229">
        <v>-3.3E-3</v>
      </c>
      <c r="Y128" s="228">
        <v>-0.09</v>
      </c>
      <c r="Z128" s="228">
        <v>0.11</v>
      </c>
      <c r="AA128" s="228">
        <v>-0.2</v>
      </c>
      <c r="AB128" s="229">
        <v>-4.0000000000000002E-4</v>
      </c>
      <c r="AC128" s="228">
        <v>-0.09</v>
      </c>
      <c r="AD128" s="228">
        <v>0.11</v>
      </c>
      <c r="AE128" s="228">
        <v>-0.2</v>
      </c>
      <c r="AF128" s="229">
        <v>-4.0000000000000002E-4</v>
      </c>
      <c r="AG128" s="228">
        <v>0.49</v>
      </c>
      <c r="AH128" s="228">
        <v>0.66</v>
      </c>
      <c r="AI128" s="228">
        <v>-0.17</v>
      </c>
      <c r="AJ128" s="229">
        <v>2.3E-3</v>
      </c>
      <c r="AK128" s="228">
        <v>1.23</v>
      </c>
      <c r="AL128" s="228">
        <v>1.45</v>
      </c>
      <c r="AM128" s="228">
        <v>-0.22</v>
      </c>
      <c r="AN128" s="229">
        <v>5.7000000000000002E-3</v>
      </c>
      <c r="AO128" s="228">
        <v>216.13</v>
      </c>
      <c r="AP128" s="228">
        <v>216.86</v>
      </c>
      <c r="AQ128" s="228">
        <v>0</v>
      </c>
      <c r="AR128" s="230">
        <v>12243728</v>
      </c>
      <c r="AS128" s="230">
        <v>25210300</v>
      </c>
      <c r="AT128" s="230">
        <v>-12966572</v>
      </c>
      <c r="AU128" s="229">
        <v>-0.51429999999999998</v>
      </c>
      <c r="AV128" s="230">
        <v>10231366</v>
      </c>
      <c r="AW128" s="230">
        <v>19766660</v>
      </c>
      <c r="AX128" s="230">
        <v>-9535294</v>
      </c>
      <c r="AY128" s="229">
        <v>-0.4824</v>
      </c>
      <c r="AZ128" s="230">
        <v>1909736</v>
      </c>
      <c r="BA128" s="230">
        <v>5064370</v>
      </c>
      <c r="BB128" s="230">
        <v>-3154634</v>
      </c>
      <c r="BC128" s="229">
        <v>-0.62290000000000001</v>
      </c>
      <c r="BD128" s="230">
        <v>102626</v>
      </c>
      <c r="BE128" s="230">
        <v>379270</v>
      </c>
      <c r="BF128" s="230">
        <v>-276644</v>
      </c>
      <c r="BG128" s="229">
        <v>-0.72940000000000005</v>
      </c>
      <c r="BH128" s="230">
        <v>22666960</v>
      </c>
      <c r="BI128" s="230">
        <v>72873384</v>
      </c>
      <c r="BJ128" s="230">
        <v>-50206424</v>
      </c>
      <c r="BK128" s="229">
        <v>-0.68899999999999995</v>
      </c>
      <c r="BL128" s="230">
        <v>10414308</v>
      </c>
      <c r="BM128" s="230">
        <v>39702876</v>
      </c>
      <c r="BN128" s="230">
        <v>-29288568</v>
      </c>
      <c r="BO128" s="229">
        <v>-0.73770000000000002</v>
      </c>
      <c r="BP128" s="230">
        <v>45324996</v>
      </c>
      <c r="BQ128" s="230">
        <v>137786560</v>
      </c>
      <c r="BR128" s="230">
        <v>-92461564</v>
      </c>
      <c r="BS128" s="229">
        <v>-0.67100000000000004</v>
      </c>
      <c r="BT128" s="230">
        <v>6609465</v>
      </c>
      <c r="BU128" s="230">
        <v>9901224</v>
      </c>
      <c r="BV128" s="230">
        <v>-3291759</v>
      </c>
      <c r="BW128" s="229">
        <v>-0.33250000000000002</v>
      </c>
      <c r="BX128" s="230">
        <v>47448908</v>
      </c>
      <c r="BY128" s="230">
        <v>48961526</v>
      </c>
      <c r="BZ128" s="230">
        <v>-1512618</v>
      </c>
      <c r="CA128" s="229">
        <v>-3.09E-2</v>
      </c>
      <c r="CB128" s="230">
        <v>43093996</v>
      </c>
      <c r="CC128" s="230">
        <v>44718164</v>
      </c>
      <c r="CD128" s="230">
        <v>-1624168</v>
      </c>
      <c r="CE128" s="229">
        <v>-3.6299999999999999E-2</v>
      </c>
      <c r="CF128" s="230">
        <v>4002414</v>
      </c>
      <c r="CG128" s="230">
        <v>3926560</v>
      </c>
      <c r="CH128" s="230">
        <v>75854</v>
      </c>
      <c r="CI128" s="229">
        <v>1.9300000000000001E-2</v>
      </c>
      <c r="CJ128" s="230">
        <v>352498</v>
      </c>
      <c r="CK128" s="230">
        <v>316802</v>
      </c>
      <c r="CL128" s="230">
        <v>35696</v>
      </c>
      <c r="CM128" s="229">
        <v>0.11269999999999999</v>
      </c>
      <c r="CN128" s="230">
        <v>29351036</v>
      </c>
      <c r="CO128" s="230">
        <v>28869140</v>
      </c>
      <c r="CP128" s="230">
        <v>481896</v>
      </c>
      <c r="CQ128" s="229">
        <v>1.67E-2</v>
      </c>
      <c r="CR128" s="230">
        <v>28445250</v>
      </c>
      <c r="CS128" s="230">
        <v>28333700</v>
      </c>
      <c r="CT128" s="230">
        <v>111550</v>
      </c>
      <c r="CU128" s="229">
        <v>3.8999999999999998E-3</v>
      </c>
      <c r="CV128" s="230">
        <v>105245194</v>
      </c>
      <c r="CW128" s="230">
        <v>106164366</v>
      </c>
      <c r="CX128" s="230">
        <v>-919172</v>
      </c>
      <c r="CY128" s="229">
        <v>-8.6999999999999994E-3</v>
      </c>
      <c r="CZ128" s="228">
        <v>29.78</v>
      </c>
      <c r="DA128" s="228">
        <v>31.69</v>
      </c>
      <c r="DB128" s="228">
        <v>-1.91</v>
      </c>
      <c r="DC128" s="228">
        <v>-1.91</v>
      </c>
      <c r="DD128" s="228">
        <v>39.840000000000003</v>
      </c>
      <c r="DE128" s="228">
        <v>39.94</v>
      </c>
      <c r="DF128" s="228">
        <v>-10.06</v>
      </c>
      <c r="DG128" s="228">
        <v>-0.1</v>
      </c>
      <c r="DH128" s="228">
        <v>28.67</v>
      </c>
      <c r="DI128" s="228">
        <v>30.72</v>
      </c>
      <c r="DJ128" s="228">
        <v>-2.0499999999999998</v>
      </c>
      <c r="DK128" s="228">
        <v>-2.0499999999999998</v>
      </c>
      <c r="DL128" s="228">
        <v>32.200000000000003</v>
      </c>
      <c r="DM128" s="228">
        <v>33.46</v>
      </c>
      <c r="DN128" s="228">
        <v>-1.26</v>
      </c>
      <c r="DO128" s="228">
        <v>-1.26</v>
      </c>
      <c r="DP128" s="228">
        <v>0.97</v>
      </c>
      <c r="DQ128" s="228">
        <v>0.98</v>
      </c>
      <c r="DR128" s="228">
        <v>-0.01</v>
      </c>
      <c r="DS128" s="229">
        <v>-1.0200000000000001E-2</v>
      </c>
      <c r="DT128" s="228">
        <v>200</v>
      </c>
      <c r="DU128" s="228">
        <v>180</v>
      </c>
      <c r="DV128" s="228">
        <v>0.46</v>
      </c>
      <c r="DW128" s="228">
        <v>0.54</v>
      </c>
      <c r="DX128" s="228">
        <v>-0.08</v>
      </c>
      <c r="DY128" s="229">
        <v>-0.14810000000000001</v>
      </c>
      <c r="DZ128" s="229">
        <v>9.1800000000000007E-2</v>
      </c>
      <c r="EA128" s="230">
        <v>4243362</v>
      </c>
      <c r="EB128" s="229">
        <v>2.7000000000000001E-3</v>
      </c>
      <c r="EC128" s="229">
        <v>9.1800000000000007E-2</v>
      </c>
      <c r="ED128" s="228">
        <v>0.73</v>
      </c>
      <c r="EE128" s="229">
        <v>3.3999999999999998E-3</v>
      </c>
      <c r="EF128" s="230">
        <v>4228311</v>
      </c>
      <c r="EG128" s="230">
        <v>4158620</v>
      </c>
      <c r="EH128" s="229">
        <v>1.6799999999999999E-2</v>
      </c>
      <c r="EI128" s="229">
        <v>0.63970000000000005</v>
      </c>
      <c r="EJ128" s="231">
        <v>50537.98</v>
      </c>
      <c r="EK128" s="231">
        <v>21995.03</v>
      </c>
      <c r="EL128" s="231">
        <v>26477.91</v>
      </c>
      <c r="EM128" s="228">
        <v>0</v>
      </c>
      <c r="EN128" s="231">
        <v>99010.92</v>
      </c>
      <c r="EO128" s="231">
        <v>299375.57</v>
      </c>
      <c r="EP128" s="231">
        <v>-200364.65</v>
      </c>
      <c r="EQ128" s="229">
        <v>-0.66930000000000001</v>
      </c>
      <c r="ER128" s="231">
        <v>63523</v>
      </c>
      <c r="ES128" s="231">
        <v>56406</v>
      </c>
      <c r="ET128" s="231">
        <v>102726</v>
      </c>
      <c r="EU128" s="231">
        <v>169036274</v>
      </c>
      <c r="EV128" s="231">
        <v>222655</v>
      </c>
      <c r="EW128" s="231">
        <v>224855</v>
      </c>
      <c r="EX128" s="231">
        <v>-2200</v>
      </c>
      <c r="EY128" s="229">
        <v>-9.7999999999999997E-3</v>
      </c>
      <c r="EZ128" s="229">
        <v>0.62260000000000004</v>
      </c>
      <c r="FA128" s="227" t="s">
        <v>568</v>
      </c>
      <c r="FB128" s="161">
        <f t="shared" si="1"/>
        <v>4354912</v>
      </c>
    </row>
    <row r="129" spans="1:158" ht="17.25" hidden="1" thickBot="1" x14ac:dyDescent="0.3">
      <c r="A129" s="226">
        <v>45889</v>
      </c>
      <c r="B129" s="227" t="s">
        <v>221</v>
      </c>
      <c r="C129" s="227" t="s">
        <v>561</v>
      </c>
      <c r="D129" s="228">
        <v>150</v>
      </c>
      <c r="E129" s="231">
        <v>5193</v>
      </c>
      <c r="F129" s="231">
        <v>5116.5</v>
      </c>
      <c r="G129" s="228">
        <v>76.5</v>
      </c>
      <c r="H129" s="229">
        <v>1.4999999999999999E-2</v>
      </c>
      <c r="I129" s="231">
        <v>5180.5</v>
      </c>
      <c r="J129" s="231">
        <v>5111</v>
      </c>
      <c r="K129" s="228">
        <v>69.5</v>
      </c>
      <c r="L129" s="229">
        <v>1.3599999999999999E-2</v>
      </c>
      <c r="M129" s="231">
        <v>5193</v>
      </c>
      <c r="N129" s="231">
        <v>5116.5</v>
      </c>
      <c r="O129" s="228">
        <v>76.5</v>
      </c>
      <c r="P129" s="229">
        <v>1.4999999999999999E-2</v>
      </c>
      <c r="Q129" s="231">
        <v>5193</v>
      </c>
      <c r="R129" s="231">
        <v>5119.5</v>
      </c>
      <c r="S129" s="228">
        <v>73.5</v>
      </c>
      <c r="T129" s="229">
        <v>1.44E-2</v>
      </c>
      <c r="U129" s="231">
        <v>5190</v>
      </c>
      <c r="V129" s="231">
        <v>5114.5</v>
      </c>
      <c r="W129" s="228">
        <v>75.5</v>
      </c>
      <c r="X129" s="229">
        <v>1.4800000000000001E-2</v>
      </c>
      <c r="Y129" s="228">
        <v>12.5</v>
      </c>
      <c r="Z129" s="228">
        <v>5.5</v>
      </c>
      <c r="AA129" s="228">
        <v>7</v>
      </c>
      <c r="AB129" s="229">
        <v>2.3999999999999998E-3</v>
      </c>
      <c r="AC129" s="228">
        <v>12.5</v>
      </c>
      <c r="AD129" s="228">
        <v>5.5</v>
      </c>
      <c r="AE129" s="228">
        <v>7</v>
      </c>
      <c r="AF129" s="229">
        <v>2.3999999999999998E-3</v>
      </c>
      <c r="AG129" s="228">
        <v>12.5</v>
      </c>
      <c r="AH129" s="228">
        <v>8.5</v>
      </c>
      <c r="AI129" s="228">
        <v>4</v>
      </c>
      <c r="AJ129" s="229">
        <v>2.3999999999999998E-3</v>
      </c>
      <c r="AK129" s="228">
        <v>9.5</v>
      </c>
      <c r="AL129" s="228">
        <v>3.5</v>
      </c>
      <c r="AM129" s="228">
        <v>6</v>
      </c>
      <c r="AN129" s="229">
        <v>1.8E-3</v>
      </c>
      <c r="AO129" s="231">
        <v>5191.0600000000004</v>
      </c>
      <c r="AP129" s="231">
        <v>5195.12</v>
      </c>
      <c r="AQ129" s="228">
        <v>0</v>
      </c>
      <c r="AR129" s="230">
        <v>887250</v>
      </c>
      <c r="AS129" s="230">
        <v>469950</v>
      </c>
      <c r="AT129" s="230">
        <v>417300</v>
      </c>
      <c r="AU129" s="229">
        <v>0.88800000000000001</v>
      </c>
      <c r="AV129" s="230">
        <v>687150</v>
      </c>
      <c r="AW129" s="230">
        <v>319650</v>
      </c>
      <c r="AX129" s="230">
        <v>367500</v>
      </c>
      <c r="AY129" s="229">
        <v>1.1496999999999999</v>
      </c>
      <c r="AZ129" s="230">
        <v>195600</v>
      </c>
      <c r="BA129" s="230">
        <v>148350</v>
      </c>
      <c r="BB129" s="230">
        <v>47250</v>
      </c>
      <c r="BC129" s="229">
        <v>0.31850000000000001</v>
      </c>
      <c r="BD129" s="230">
        <v>4500</v>
      </c>
      <c r="BE129" s="230">
        <v>1950</v>
      </c>
      <c r="BF129" s="230">
        <v>2550</v>
      </c>
      <c r="BG129" s="229">
        <v>1.3077000000000001</v>
      </c>
      <c r="BH129" s="230">
        <v>2691300</v>
      </c>
      <c r="BI129" s="230">
        <v>1197900</v>
      </c>
      <c r="BJ129" s="230">
        <v>1493400</v>
      </c>
      <c r="BK129" s="229">
        <v>1.2466999999999999</v>
      </c>
      <c r="BL129" s="230">
        <v>922800</v>
      </c>
      <c r="BM129" s="230">
        <v>509550</v>
      </c>
      <c r="BN129" s="230">
        <v>413250</v>
      </c>
      <c r="BO129" s="229">
        <v>0.81100000000000005</v>
      </c>
      <c r="BP129" s="230">
        <v>4501350</v>
      </c>
      <c r="BQ129" s="230">
        <v>2177400</v>
      </c>
      <c r="BR129" s="230">
        <v>2323950</v>
      </c>
      <c r="BS129" s="229">
        <v>1.0672999999999999</v>
      </c>
      <c r="BT129" s="230">
        <v>337169</v>
      </c>
      <c r="BU129" s="230">
        <v>95151</v>
      </c>
      <c r="BV129" s="230">
        <v>242018</v>
      </c>
      <c r="BW129" s="229">
        <v>2.5434999999999999</v>
      </c>
      <c r="BX129" s="230">
        <v>2808150</v>
      </c>
      <c r="BY129" s="230">
        <v>2812800</v>
      </c>
      <c r="BZ129" s="230">
        <v>-4650</v>
      </c>
      <c r="CA129" s="229">
        <v>-1.6999999999999999E-3</v>
      </c>
      <c r="CB129" s="230">
        <v>2460000</v>
      </c>
      <c r="CC129" s="230">
        <v>2575050</v>
      </c>
      <c r="CD129" s="230">
        <v>-115050</v>
      </c>
      <c r="CE129" s="229">
        <v>-4.4699999999999997E-2</v>
      </c>
      <c r="CF129" s="230">
        <v>340500</v>
      </c>
      <c r="CG129" s="230">
        <v>227850</v>
      </c>
      <c r="CH129" s="230">
        <v>112650</v>
      </c>
      <c r="CI129" s="229">
        <v>0.49440000000000001</v>
      </c>
      <c r="CJ129" s="230">
        <v>7650</v>
      </c>
      <c r="CK129" s="230">
        <v>9900</v>
      </c>
      <c r="CL129" s="230">
        <v>-2250</v>
      </c>
      <c r="CM129" s="229">
        <v>-0.2273</v>
      </c>
      <c r="CN129" s="230">
        <v>853800</v>
      </c>
      <c r="CO129" s="230">
        <v>947700</v>
      </c>
      <c r="CP129" s="230">
        <v>-93900</v>
      </c>
      <c r="CQ129" s="229">
        <v>-9.9099999999999994E-2</v>
      </c>
      <c r="CR129" s="230">
        <v>566100</v>
      </c>
      <c r="CS129" s="230">
        <v>541800</v>
      </c>
      <c r="CT129" s="230">
        <v>24300</v>
      </c>
      <c r="CU129" s="229">
        <v>4.4900000000000002E-2</v>
      </c>
      <c r="CV129" s="230">
        <v>4228050</v>
      </c>
      <c r="CW129" s="230">
        <v>4302300</v>
      </c>
      <c r="CX129" s="230">
        <v>-74250</v>
      </c>
      <c r="CY129" s="229">
        <v>-1.7299999999999999E-2</v>
      </c>
      <c r="CZ129" s="228">
        <v>28.08</v>
      </c>
      <c r="DA129" s="228">
        <v>28.69</v>
      </c>
      <c r="DB129" s="228">
        <v>-0.61</v>
      </c>
      <c r="DC129" s="228">
        <v>-0.61</v>
      </c>
      <c r="DD129" s="228">
        <v>34.51</v>
      </c>
      <c r="DE129" s="228">
        <v>34.54</v>
      </c>
      <c r="DF129" s="228">
        <v>-6.43</v>
      </c>
      <c r="DG129" s="228">
        <v>-0.03</v>
      </c>
      <c r="DH129" s="228">
        <v>27.86</v>
      </c>
      <c r="DI129" s="228">
        <v>28.77</v>
      </c>
      <c r="DJ129" s="228">
        <v>-0.91</v>
      </c>
      <c r="DK129" s="228">
        <v>-0.91</v>
      </c>
      <c r="DL129" s="228">
        <v>28.73</v>
      </c>
      <c r="DM129" s="228">
        <v>28.49</v>
      </c>
      <c r="DN129" s="228">
        <v>0.24</v>
      </c>
      <c r="DO129" s="228">
        <v>0.24</v>
      </c>
      <c r="DP129" s="228">
        <v>0.66</v>
      </c>
      <c r="DQ129" s="228">
        <v>0.56999999999999995</v>
      </c>
      <c r="DR129" s="228">
        <v>0.09</v>
      </c>
      <c r="DS129" s="229">
        <v>0.15790000000000001</v>
      </c>
      <c r="DT129" s="231">
        <v>5200</v>
      </c>
      <c r="DU129" s="231">
        <v>4400</v>
      </c>
      <c r="DV129" s="228">
        <v>0.34</v>
      </c>
      <c r="DW129" s="228">
        <v>0.43</v>
      </c>
      <c r="DX129" s="228">
        <v>-0.09</v>
      </c>
      <c r="DY129" s="229">
        <v>-0.20930000000000001</v>
      </c>
      <c r="DZ129" s="229">
        <v>0.124</v>
      </c>
      <c r="EA129" s="230">
        <v>237750</v>
      </c>
      <c r="EB129" s="229">
        <v>0</v>
      </c>
      <c r="EC129" s="229">
        <v>0.124</v>
      </c>
      <c r="ED129" s="228">
        <v>4.0599999999999996</v>
      </c>
      <c r="EE129" s="229">
        <v>8.0000000000000004E-4</v>
      </c>
      <c r="EF129" s="230">
        <v>162585</v>
      </c>
      <c r="EG129" s="230">
        <v>33395</v>
      </c>
      <c r="EH129" s="229">
        <v>3.8685</v>
      </c>
      <c r="EI129" s="229">
        <v>0.48220000000000002</v>
      </c>
      <c r="EJ129" s="231">
        <v>143880.46</v>
      </c>
      <c r="EK129" s="231">
        <v>46994.92</v>
      </c>
      <c r="EL129" s="231">
        <v>46065.279999999999</v>
      </c>
      <c r="EM129" s="228">
        <v>0</v>
      </c>
      <c r="EN129" s="231">
        <v>236940.66</v>
      </c>
      <c r="EO129" s="231">
        <v>113128.37</v>
      </c>
      <c r="EP129" s="231">
        <v>123812.29</v>
      </c>
      <c r="EQ129" s="229">
        <v>1.0944</v>
      </c>
      <c r="ER129" s="231">
        <v>45944</v>
      </c>
      <c r="ES129" s="231">
        <v>27534</v>
      </c>
      <c r="ET129" s="231">
        <v>145827</v>
      </c>
      <c r="EU129" s="231">
        <v>18631884</v>
      </c>
      <c r="EV129" s="231">
        <v>219305</v>
      </c>
      <c r="EW129" s="231">
        <v>220918</v>
      </c>
      <c r="EX129" s="231">
        <v>-1613</v>
      </c>
      <c r="EY129" s="229">
        <v>-7.3000000000000001E-3</v>
      </c>
      <c r="EZ129" s="229">
        <v>0.22689999999999999</v>
      </c>
      <c r="FA129" s="227" t="s">
        <v>556</v>
      </c>
      <c r="FB129" s="161">
        <f t="shared" si="1"/>
        <v>348150</v>
      </c>
    </row>
    <row r="130" spans="1:158" ht="17.25" hidden="1" thickBot="1" x14ac:dyDescent="0.3">
      <c r="A130" s="226">
        <v>45889</v>
      </c>
      <c r="B130" s="227" t="s">
        <v>170</v>
      </c>
      <c r="C130" s="227" t="s">
        <v>250</v>
      </c>
      <c r="D130" s="228">
        <v>425</v>
      </c>
      <c r="E130" s="231">
        <v>1944.6</v>
      </c>
      <c r="F130" s="231">
        <v>1975.1</v>
      </c>
      <c r="G130" s="228">
        <v>-30.5</v>
      </c>
      <c r="H130" s="229">
        <v>-1.54E-2</v>
      </c>
      <c r="I130" s="231">
        <v>1940.3</v>
      </c>
      <c r="J130" s="231">
        <v>1968.6</v>
      </c>
      <c r="K130" s="228">
        <v>-28.3</v>
      </c>
      <c r="L130" s="229">
        <v>-1.44E-2</v>
      </c>
      <c r="M130" s="231">
        <v>1944.6</v>
      </c>
      <c r="N130" s="231">
        <v>1975.1</v>
      </c>
      <c r="O130" s="228">
        <v>-30.5</v>
      </c>
      <c r="P130" s="229">
        <v>-1.54E-2</v>
      </c>
      <c r="Q130" s="231">
        <v>1955.8</v>
      </c>
      <c r="R130" s="231">
        <v>1986</v>
      </c>
      <c r="S130" s="228">
        <v>-30.2</v>
      </c>
      <c r="T130" s="229">
        <v>-1.52E-2</v>
      </c>
      <c r="U130" s="231">
        <v>1964.3</v>
      </c>
      <c r="V130" s="231">
        <v>1995.8</v>
      </c>
      <c r="W130" s="228">
        <v>-31.5</v>
      </c>
      <c r="X130" s="229">
        <v>-1.5800000000000002E-2</v>
      </c>
      <c r="Y130" s="228">
        <v>4.3</v>
      </c>
      <c r="Z130" s="228">
        <v>6.5</v>
      </c>
      <c r="AA130" s="228">
        <v>-2.2000000000000002</v>
      </c>
      <c r="AB130" s="229">
        <v>2.2000000000000001E-3</v>
      </c>
      <c r="AC130" s="228">
        <v>4.3</v>
      </c>
      <c r="AD130" s="228">
        <v>6.5</v>
      </c>
      <c r="AE130" s="228">
        <v>-2.2000000000000002</v>
      </c>
      <c r="AF130" s="229">
        <v>2.2000000000000001E-3</v>
      </c>
      <c r="AG130" s="228">
        <v>15.5</v>
      </c>
      <c r="AH130" s="228">
        <v>17.399999999999999</v>
      </c>
      <c r="AI130" s="228">
        <v>-1.9</v>
      </c>
      <c r="AJ130" s="229">
        <v>8.0000000000000002E-3</v>
      </c>
      <c r="AK130" s="228">
        <v>24</v>
      </c>
      <c r="AL130" s="228">
        <v>27.2</v>
      </c>
      <c r="AM130" s="228">
        <v>-3.2</v>
      </c>
      <c r="AN130" s="229">
        <v>1.24E-2</v>
      </c>
      <c r="AO130" s="231">
        <v>1950.52</v>
      </c>
      <c r="AP130" s="231">
        <v>1960.76</v>
      </c>
      <c r="AQ130" s="228">
        <v>0</v>
      </c>
      <c r="AR130" s="230">
        <v>1071000</v>
      </c>
      <c r="AS130" s="230">
        <v>866575</v>
      </c>
      <c r="AT130" s="230">
        <v>204425</v>
      </c>
      <c r="AU130" s="229">
        <v>0.2359</v>
      </c>
      <c r="AV130" s="230">
        <v>763300</v>
      </c>
      <c r="AW130" s="230">
        <v>716550</v>
      </c>
      <c r="AX130" s="230">
        <v>46750</v>
      </c>
      <c r="AY130" s="229">
        <v>6.5199999999999994E-2</v>
      </c>
      <c r="AZ130" s="230">
        <v>293675</v>
      </c>
      <c r="BA130" s="230">
        <v>145350</v>
      </c>
      <c r="BB130" s="230">
        <v>148325</v>
      </c>
      <c r="BC130" s="229">
        <v>1.0205</v>
      </c>
      <c r="BD130" s="230">
        <v>14025</v>
      </c>
      <c r="BE130" s="230">
        <v>4675</v>
      </c>
      <c r="BF130" s="230">
        <v>9350</v>
      </c>
      <c r="BG130" s="229">
        <v>2</v>
      </c>
      <c r="BH130" s="230">
        <v>3247000</v>
      </c>
      <c r="BI130" s="230">
        <v>2754425</v>
      </c>
      <c r="BJ130" s="230">
        <v>492575</v>
      </c>
      <c r="BK130" s="229">
        <v>0.17879999999999999</v>
      </c>
      <c r="BL130" s="230">
        <v>2064650</v>
      </c>
      <c r="BM130" s="230">
        <v>1071425</v>
      </c>
      <c r="BN130" s="230">
        <v>993225</v>
      </c>
      <c r="BO130" s="229">
        <v>0.92700000000000005</v>
      </c>
      <c r="BP130" s="230">
        <v>6382650</v>
      </c>
      <c r="BQ130" s="230">
        <v>4692425</v>
      </c>
      <c r="BR130" s="230">
        <v>1690225</v>
      </c>
      <c r="BS130" s="229">
        <v>0.36020000000000002</v>
      </c>
      <c r="BT130" s="230">
        <v>568836</v>
      </c>
      <c r="BU130" s="230">
        <v>484977</v>
      </c>
      <c r="BV130" s="230">
        <v>83859</v>
      </c>
      <c r="BW130" s="229">
        <v>0.1729</v>
      </c>
      <c r="BX130" s="230">
        <v>11161775</v>
      </c>
      <c r="BY130" s="230">
        <v>11153700</v>
      </c>
      <c r="BZ130" s="230">
        <v>8075</v>
      </c>
      <c r="CA130" s="229">
        <v>6.9999999999999999E-4</v>
      </c>
      <c r="CB130" s="230">
        <v>10521300</v>
      </c>
      <c r="CC130" s="230">
        <v>10658150</v>
      </c>
      <c r="CD130" s="230">
        <v>-136850</v>
      </c>
      <c r="CE130" s="229">
        <v>-1.2800000000000001E-2</v>
      </c>
      <c r="CF130" s="230">
        <v>592875</v>
      </c>
      <c r="CG130" s="230">
        <v>452200</v>
      </c>
      <c r="CH130" s="230">
        <v>140675</v>
      </c>
      <c r="CI130" s="229">
        <v>0.31109999999999999</v>
      </c>
      <c r="CJ130" s="230">
        <v>47600</v>
      </c>
      <c r="CK130" s="230">
        <v>43350</v>
      </c>
      <c r="CL130" s="230">
        <v>4250</v>
      </c>
      <c r="CM130" s="229">
        <v>9.8000000000000004E-2</v>
      </c>
      <c r="CN130" s="230">
        <v>3833075</v>
      </c>
      <c r="CO130" s="230">
        <v>3576375</v>
      </c>
      <c r="CP130" s="230">
        <v>256700</v>
      </c>
      <c r="CQ130" s="229">
        <v>7.1800000000000003E-2</v>
      </c>
      <c r="CR130" s="230">
        <v>2633300</v>
      </c>
      <c r="CS130" s="230">
        <v>2593775</v>
      </c>
      <c r="CT130" s="230">
        <v>39525</v>
      </c>
      <c r="CU130" s="229">
        <v>1.52E-2</v>
      </c>
      <c r="CV130" s="230">
        <v>17628150</v>
      </c>
      <c r="CW130" s="230">
        <v>17323850</v>
      </c>
      <c r="CX130" s="230">
        <v>304300</v>
      </c>
      <c r="CY130" s="229">
        <v>1.7600000000000001E-2</v>
      </c>
      <c r="CZ130" s="228">
        <v>24.98</v>
      </c>
      <c r="DA130" s="228">
        <v>24.66</v>
      </c>
      <c r="DB130" s="228">
        <v>0.32</v>
      </c>
      <c r="DC130" s="228">
        <v>0.32</v>
      </c>
      <c r="DD130" s="228">
        <v>33.53</v>
      </c>
      <c r="DE130" s="228">
        <v>33.549999999999997</v>
      </c>
      <c r="DF130" s="228">
        <v>-8.5500000000000007</v>
      </c>
      <c r="DG130" s="228">
        <v>-0.02</v>
      </c>
      <c r="DH130" s="228">
        <v>24.74</v>
      </c>
      <c r="DI130" s="228">
        <v>24.06</v>
      </c>
      <c r="DJ130" s="228">
        <v>0.68</v>
      </c>
      <c r="DK130" s="228">
        <v>0.68</v>
      </c>
      <c r="DL130" s="228">
        <v>25.36</v>
      </c>
      <c r="DM130" s="228">
        <v>26.22</v>
      </c>
      <c r="DN130" s="228">
        <v>-0.86</v>
      </c>
      <c r="DO130" s="228">
        <v>-0.86</v>
      </c>
      <c r="DP130" s="228">
        <v>0.69</v>
      </c>
      <c r="DQ130" s="228">
        <v>0.73</v>
      </c>
      <c r="DR130" s="228">
        <v>-0.04</v>
      </c>
      <c r="DS130" s="229">
        <v>-5.4800000000000001E-2</v>
      </c>
      <c r="DT130" s="231">
        <v>2000</v>
      </c>
      <c r="DU130" s="231">
        <v>1900</v>
      </c>
      <c r="DV130" s="228">
        <v>0.64</v>
      </c>
      <c r="DW130" s="228">
        <v>0.39</v>
      </c>
      <c r="DX130" s="228">
        <v>0.25</v>
      </c>
      <c r="DY130" s="229">
        <v>0.64100000000000001</v>
      </c>
      <c r="DZ130" s="229">
        <v>5.74E-2</v>
      </c>
      <c r="EA130" s="230">
        <v>495550</v>
      </c>
      <c r="EB130" s="229">
        <v>5.7999999999999996E-3</v>
      </c>
      <c r="EC130" s="229">
        <v>5.74E-2</v>
      </c>
      <c r="ED130" s="228">
        <v>10.24</v>
      </c>
      <c r="EE130" s="229">
        <v>5.1999999999999998E-3</v>
      </c>
      <c r="EF130" s="230">
        <v>343522</v>
      </c>
      <c r="EG130" s="230">
        <v>272377</v>
      </c>
      <c r="EH130" s="229">
        <v>0.26119999999999999</v>
      </c>
      <c r="EI130" s="229">
        <v>0.60389999999999999</v>
      </c>
      <c r="EJ130" s="231">
        <v>65458.67</v>
      </c>
      <c r="EK130" s="231">
        <v>39960.46</v>
      </c>
      <c r="EL130" s="231">
        <v>20923.32</v>
      </c>
      <c r="EM130" s="228">
        <v>0</v>
      </c>
      <c r="EN130" s="231">
        <v>126342.45</v>
      </c>
      <c r="EO130" s="231">
        <v>94333.45</v>
      </c>
      <c r="EP130" s="231">
        <v>32009</v>
      </c>
      <c r="EQ130" s="229">
        <v>0.33929999999999999</v>
      </c>
      <c r="ER130" s="231">
        <v>77708</v>
      </c>
      <c r="ES130" s="231">
        <v>48582</v>
      </c>
      <c r="ET130" s="231">
        <v>217128</v>
      </c>
      <c r="EU130" s="231">
        <v>48501721</v>
      </c>
      <c r="EV130" s="231">
        <v>343418</v>
      </c>
      <c r="EW130" s="231">
        <v>340948</v>
      </c>
      <c r="EX130" s="231">
        <v>2470</v>
      </c>
      <c r="EY130" s="229">
        <v>7.1999999999999998E-3</v>
      </c>
      <c r="EZ130" s="229">
        <v>0.36349999999999999</v>
      </c>
      <c r="FA130" s="227" t="s">
        <v>567</v>
      </c>
      <c r="FB130" s="161">
        <f t="shared" si="1"/>
        <v>640475</v>
      </c>
    </row>
    <row r="131" spans="1:158" ht="17.25" hidden="1" thickBot="1" x14ac:dyDescent="0.3">
      <c r="A131" s="226">
        <v>45889</v>
      </c>
      <c r="B131" s="227" t="s">
        <v>162</v>
      </c>
      <c r="C131" s="227" t="s">
        <v>251</v>
      </c>
      <c r="D131" s="228">
        <v>200</v>
      </c>
      <c r="E131" s="231">
        <v>3396.3</v>
      </c>
      <c r="F131" s="231">
        <v>3356.4</v>
      </c>
      <c r="G131" s="228">
        <v>39.9</v>
      </c>
      <c r="H131" s="229">
        <v>1.1900000000000001E-2</v>
      </c>
      <c r="I131" s="231">
        <v>3395.6</v>
      </c>
      <c r="J131" s="231">
        <v>3354</v>
      </c>
      <c r="K131" s="228">
        <v>41.6</v>
      </c>
      <c r="L131" s="229">
        <v>1.24E-2</v>
      </c>
      <c r="M131" s="231">
        <v>3396.3</v>
      </c>
      <c r="N131" s="231">
        <v>3356.4</v>
      </c>
      <c r="O131" s="228">
        <v>39.9</v>
      </c>
      <c r="P131" s="229">
        <v>1.1900000000000001E-2</v>
      </c>
      <c r="Q131" s="231">
        <v>3416.1</v>
      </c>
      <c r="R131" s="231">
        <v>3375.8</v>
      </c>
      <c r="S131" s="228">
        <v>40.299999999999997</v>
      </c>
      <c r="T131" s="229">
        <v>1.1900000000000001E-2</v>
      </c>
      <c r="U131" s="231">
        <v>3430.7</v>
      </c>
      <c r="V131" s="231">
        <v>3393.6</v>
      </c>
      <c r="W131" s="228">
        <v>37.1</v>
      </c>
      <c r="X131" s="229">
        <v>1.09E-2</v>
      </c>
      <c r="Y131" s="228">
        <v>0.7</v>
      </c>
      <c r="Z131" s="228">
        <v>2.4</v>
      </c>
      <c r="AA131" s="228">
        <v>-1.7</v>
      </c>
      <c r="AB131" s="229">
        <v>2.0000000000000001E-4</v>
      </c>
      <c r="AC131" s="228">
        <v>0.7</v>
      </c>
      <c r="AD131" s="228">
        <v>2.4</v>
      </c>
      <c r="AE131" s="228">
        <v>-1.7</v>
      </c>
      <c r="AF131" s="229">
        <v>2.0000000000000001E-4</v>
      </c>
      <c r="AG131" s="228">
        <v>20.5</v>
      </c>
      <c r="AH131" s="228">
        <v>21.8</v>
      </c>
      <c r="AI131" s="228">
        <v>-1.3</v>
      </c>
      <c r="AJ131" s="229">
        <v>6.0000000000000001E-3</v>
      </c>
      <c r="AK131" s="228">
        <v>35.1</v>
      </c>
      <c r="AL131" s="228">
        <v>39.6</v>
      </c>
      <c r="AM131" s="228">
        <v>-4.5</v>
      </c>
      <c r="AN131" s="229">
        <v>1.03E-2</v>
      </c>
      <c r="AO131" s="231">
        <v>3380</v>
      </c>
      <c r="AP131" s="231">
        <v>3404.01</v>
      </c>
      <c r="AQ131" s="228">
        <v>0</v>
      </c>
      <c r="AR131" s="230">
        <v>2472800</v>
      </c>
      <c r="AS131" s="230">
        <v>3933000</v>
      </c>
      <c r="AT131" s="230">
        <v>-1460200</v>
      </c>
      <c r="AU131" s="229">
        <v>-0.37130000000000002</v>
      </c>
      <c r="AV131" s="230">
        <v>2053800</v>
      </c>
      <c r="AW131" s="230">
        <v>3211200</v>
      </c>
      <c r="AX131" s="230">
        <v>-1157400</v>
      </c>
      <c r="AY131" s="229">
        <v>-0.3604</v>
      </c>
      <c r="AZ131" s="230">
        <v>397200</v>
      </c>
      <c r="BA131" s="230">
        <v>329200</v>
      </c>
      <c r="BB131" s="230">
        <v>68000</v>
      </c>
      <c r="BC131" s="229">
        <v>0.20660000000000001</v>
      </c>
      <c r="BD131" s="230">
        <v>21800</v>
      </c>
      <c r="BE131" s="230">
        <v>392600</v>
      </c>
      <c r="BF131" s="230">
        <v>-370800</v>
      </c>
      <c r="BG131" s="229">
        <v>-0.94450000000000001</v>
      </c>
      <c r="BH131" s="230">
        <v>10338800</v>
      </c>
      <c r="BI131" s="230">
        <v>14101400</v>
      </c>
      <c r="BJ131" s="230">
        <v>-3762600</v>
      </c>
      <c r="BK131" s="229">
        <v>-0.26679999999999998</v>
      </c>
      <c r="BL131" s="230">
        <v>5633000</v>
      </c>
      <c r="BM131" s="230">
        <v>8651000</v>
      </c>
      <c r="BN131" s="230">
        <v>-3018000</v>
      </c>
      <c r="BO131" s="229">
        <v>-0.34889999999999999</v>
      </c>
      <c r="BP131" s="230">
        <v>18444600</v>
      </c>
      <c r="BQ131" s="230">
        <v>26685400</v>
      </c>
      <c r="BR131" s="230">
        <v>-8240800</v>
      </c>
      <c r="BS131" s="229">
        <v>-0.30880000000000002</v>
      </c>
      <c r="BT131" s="230">
        <v>3030993</v>
      </c>
      <c r="BU131" s="230">
        <v>2640384</v>
      </c>
      <c r="BV131" s="230">
        <v>390609</v>
      </c>
      <c r="BW131" s="229">
        <v>0.1479</v>
      </c>
      <c r="BX131" s="230">
        <v>19706800</v>
      </c>
      <c r="BY131" s="230">
        <v>19844400</v>
      </c>
      <c r="BZ131" s="230">
        <v>-137600</v>
      </c>
      <c r="CA131" s="229">
        <v>-6.8999999999999999E-3</v>
      </c>
      <c r="CB131" s="230">
        <v>17186000</v>
      </c>
      <c r="CC131" s="230">
        <v>17486600</v>
      </c>
      <c r="CD131" s="230">
        <v>-300600</v>
      </c>
      <c r="CE131" s="229">
        <v>-1.72E-2</v>
      </c>
      <c r="CF131" s="230">
        <v>1785600</v>
      </c>
      <c r="CG131" s="230">
        <v>1622800</v>
      </c>
      <c r="CH131" s="230">
        <v>162800</v>
      </c>
      <c r="CI131" s="229">
        <v>0.1003</v>
      </c>
      <c r="CJ131" s="230">
        <v>735200</v>
      </c>
      <c r="CK131" s="230">
        <v>735000</v>
      </c>
      <c r="CL131" s="228">
        <v>200</v>
      </c>
      <c r="CM131" s="229">
        <v>2.9999999999999997E-4</v>
      </c>
      <c r="CN131" s="230">
        <v>6939600</v>
      </c>
      <c r="CO131" s="230">
        <v>6882800</v>
      </c>
      <c r="CP131" s="230">
        <v>56800</v>
      </c>
      <c r="CQ131" s="229">
        <v>8.3000000000000001E-3</v>
      </c>
      <c r="CR131" s="230">
        <v>5909400</v>
      </c>
      <c r="CS131" s="230">
        <v>5493600</v>
      </c>
      <c r="CT131" s="230">
        <v>415800</v>
      </c>
      <c r="CU131" s="229">
        <v>7.5700000000000003E-2</v>
      </c>
      <c r="CV131" s="230">
        <v>32555800</v>
      </c>
      <c r="CW131" s="230">
        <v>32220800</v>
      </c>
      <c r="CX131" s="230">
        <v>335000</v>
      </c>
      <c r="CY131" s="229">
        <v>1.04E-2</v>
      </c>
      <c r="CZ131" s="228">
        <v>23.79</v>
      </c>
      <c r="DA131" s="228">
        <v>25</v>
      </c>
      <c r="DB131" s="228">
        <v>-1.21</v>
      </c>
      <c r="DC131" s="228">
        <v>-1.21</v>
      </c>
      <c r="DD131" s="228">
        <v>34.06</v>
      </c>
      <c r="DE131" s="228">
        <v>34.11</v>
      </c>
      <c r="DF131" s="228">
        <v>-10.27</v>
      </c>
      <c r="DG131" s="228">
        <v>-0.05</v>
      </c>
      <c r="DH131" s="228">
        <v>21.88</v>
      </c>
      <c r="DI131" s="228">
        <v>23.72</v>
      </c>
      <c r="DJ131" s="228">
        <v>-1.84</v>
      </c>
      <c r="DK131" s="228">
        <v>-1.84</v>
      </c>
      <c r="DL131" s="228">
        <v>27.3</v>
      </c>
      <c r="DM131" s="228">
        <v>27.08</v>
      </c>
      <c r="DN131" s="228">
        <v>0.22</v>
      </c>
      <c r="DO131" s="228">
        <v>0.22</v>
      </c>
      <c r="DP131" s="228">
        <v>0.85</v>
      </c>
      <c r="DQ131" s="228">
        <v>0.8</v>
      </c>
      <c r="DR131" s="228">
        <v>0.05</v>
      </c>
      <c r="DS131" s="229">
        <v>6.25E-2</v>
      </c>
      <c r="DT131" s="231">
        <v>3400</v>
      </c>
      <c r="DU131" s="231">
        <v>3100</v>
      </c>
      <c r="DV131" s="228">
        <v>0.54</v>
      </c>
      <c r="DW131" s="228">
        <v>0.61</v>
      </c>
      <c r="DX131" s="228">
        <v>-7.0000000000000007E-2</v>
      </c>
      <c r="DY131" s="229">
        <v>-0.1148</v>
      </c>
      <c r="DZ131" s="229">
        <v>0.12790000000000001</v>
      </c>
      <c r="EA131" s="230">
        <v>2357800</v>
      </c>
      <c r="EB131" s="229">
        <v>5.7999999999999996E-3</v>
      </c>
      <c r="EC131" s="229">
        <v>0.12790000000000001</v>
      </c>
      <c r="ED131" s="228">
        <v>24.01</v>
      </c>
      <c r="EE131" s="229">
        <v>7.1000000000000004E-3</v>
      </c>
      <c r="EF131" s="230">
        <v>2159516</v>
      </c>
      <c r="EG131" s="230">
        <v>1721707</v>
      </c>
      <c r="EH131" s="229">
        <v>0.25430000000000003</v>
      </c>
      <c r="EI131" s="229">
        <v>0.71250000000000002</v>
      </c>
      <c r="EJ131" s="231">
        <v>358738.6</v>
      </c>
      <c r="EK131" s="231">
        <v>186310.65</v>
      </c>
      <c r="EL131" s="231">
        <v>83683.990000000005</v>
      </c>
      <c r="EM131" s="228">
        <v>0</v>
      </c>
      <c r="EN131" s="231">
        <v>628733.24</v>
      </c>
      <c r="EO131" s="231">
        <v>907338.6</v>
      </c>
      <c r="EP131" s="231">
        <v>-278605.36</v>
      </c>
      <c r="EQ131" s="229">
        <v>-0.30709999999999998</v>
      </c>
      <c r="ER131" s="231">
        <v>237191</v>
      </c>
      <c r="ES131" s="231">
        <v>186475</v>
      </c>
      <c r="ET131" s="231">
        <v>669909</v>
      </c>
      <c r="EU131" s="231">
        <v>190812745</v>
      </c>
      <c r="EV131" s="231">
        <v>1093575</v>
      </c>
      <c r="EW131" s="231">
        <v>1074256</v>
      </c>
      <c r="EX131" s="231">
        <v>19319</v>
      </c>
      <c r="EY131" s="229">
        <v>1.7999999999999999E-2</v>
      </c>
      <c r="EZ131" s="229">
        <v>0.1706</v>
      </c>
      <c r="FA131" s="227" t="s">
        <v>556</v>
      </c>
      <c r="FB131" s="161">
        <f t="shared" ref="FB131:FB138" si="2">BX131-CB131</f>
        <v>2520800</v>
      </c>
    </row>
    <row r="132" spans="1:158" ht="17.25" hidden="1" thickBot="1" x14ac:dyDescent="0.3">
      <c r="A132" s="226">
        <v>45889</v>
      </c>
      <c r="B132" s="227" t="s">
        <v>175</v>
      </c>
      <c r="C132" s="227" t="s">
        <v>253</v>
      </c>
      <c r="D132" s="228">
        <v>3000</v>
      </c>
      <c r="E132" s="228">
        <v>266.64999999999998</v>
      </c>
      <c r="F132" s="228">
        <v>270.25</v>
      </c>
      <c r="G132" s="228">
        <v>-3.6</v>
      </c>
      <c r="H132" s="229">
        <v>-1.3299999999999999E-2</v>
      </c>
      <c r="I132" s="228">
        <v>266.10000000000002</v>
      </c>
      <c r="J132" s="228">
        <v>269.55</v>
      </c>
      <c r="K132" s="228">
        <v>-3.45</v>
      </c>
      <c r="L132" s="229">
        <v>-1.2800000000000001E-2</v>
      </c>
      <c r="M132" s="228">
        <v>266.64999999999998</v>
      </c>
      <c r="N132" s="228">
        <v>270.25</v>
      </c>
      <c r="O132" s="228">
        <v>-3.6</v>
      </c>
      <c r="P132" s="229">
        <v>-1.3299999999999999E-2</v>
      </c>
      <c r="Q132" s="228">
        <v>268.10000000000002</v>
      </c>
      <c r="R132" s="228">
        <v>271.85000000000002</v>
      </c>
      <c r="S132" s="228">
        <v>-3.75</v>
      </c>
      <c r="T132" s="229">
        <v>-1.38E-2</v>
      </c>
      <c r="U132" s="228">
        <v>269.10000000000002</v>
      </c>
      <c r="V132" s="228">
        <v>271.25</v>
      </c>
      <c r="W132" s="228">
        <v>-2.15</v>
      </c>
      <c r="X132" s="229">
        <v>-7.9000000000000008E-3</v>
      </c>
      <c r="Y132" s="228">
        <v>0.55000000000000004</v>
      </c>
      <c r="Z132" s="228">
        <v>0.7</v>
      </c>
      <c r="AA132" s="228">
        <v>-0.15</v>
      </c>
      <c r="AB132" s="229">
        <v>2.0999999999999999E-3</v>
      </c>
      <c r="AC132" s="228">
        <v>0.55000000000000004</v>
      </c>
      <c r="AD132" s="228">
        <v>0.7</v>
      </c>
      <c r="AE132" s="228">
        <v>-0.15</v>
      </c>
      <c r="AF132" s="229">
        <v>2.0999999999999999E-3</v>
      </c>
      <c r="AG132" s="228">
        <v>2</v>
      </c>
      <c r="AH132" s="228">
        <v>2.2999999999999998</v>
      </c>
      <c r="AI132" s="228">
        <v>-0.3</v>
      </c>
      <c r="AJ132" s="229">
        <v>7.4999999999999997E-3</v>
      </c>
      <c r="AK132" s="228">
        <v>3</v>
      </c>
      <c r="AL132" s="228">
        <v>1.7</v>
      </c>
      <c r="AM132" s="228">
        <v>1.3</v>
      </c>
      <c r="AN132" s="229">
        <v>1.1299999999999999E-2</v>
      </c>
      <c r="AO132" s="228">
        <v>266.56</v>
      </c>
      <c r="AP132" s="228">
        <v>267.95999999999998</v>
      </c>
      <c r="AQ132" s="228">
        <v>0</v>
      </c>
      <c r="AR132" s="230">
        <v>6417000</v>
      </c>
      <c r="AS132" s="230">
        <v>5676000</v>
      </c>
      <c r="AT132" s="230">
        <v>741000</v>
      </c>
      <c r="AU132" s="229">
        <v>0.1305</v>
      </c>
      <c r="AV132" s="230">
        <v>5076000</v>
      </c>
      <c r="AW132" s="230">
        <v>4881000</v>
      </c>
      <c r="AX132" s="230">
        <v>195000</v>
      </c>
      <c r="AY132" s="229">
        <v>0.04</v>
      </c>
      <c r="AZ132" s="230">
        <v>1308000</v>
      </c>
      <c r="BA132" s="230">
        <v>780000</v>
      </c>
      <c r="BB132" s="230">
        <v>528000</v>
      </c>
      <c r="BC132" s="229">
        <v>0.67689999999999995</v>
      </c>
      <c r="BD132" s="230">
        <v>33000</v>
      </c>
      <c r="BE132" s="230">
        <v>15000</v>
      </c>
      <c r="BF132" s="230">
        <v>18000</v>
      </c>
      <c r="BG132" s="229">
        <v>1.2</v>
      </c>
      <c r="BH132" s="230">
        <v>14868000</v>
      </c>
      <c r="BI132" s="230">
        <v>20328000</v>
      </c>
      <c r="BJ132" s="230">
        <v>-5460000</v>
      </c>
      <c r="BK132" s="229">
        <v>-0.26860000000000001</v>
      </c>
      <c r="BL132" s="230">
        <v>11718000</v>
      </c>
      <c r="BM132" s="230">
        <v>14163000</v>
      </c>
      <c r="BN132" s="230">
        <v>-2445000</v>
      </c>
      <c r="BO132" s="229">
        <v>-0.1726</v>
      </c>
      <c r="BP132" s="230">
        <v>33003000</v>
      </c>
      <c r="BQ132" s="230">
        <v>40167000</v>
      </c>
      <c r="BR132" s="230">
        <v>-7164000</v>
      </c>
      <c r="BS132" s="229">
        <v>-0.1784</v>
      </c>
      <c r="BT132" s="230">
        <v>2331330</v>
      </c>
      <c r="BU132" s="230">
        <v>2146051</v>
      </c>
      <c r="BV132" s="230">
        <v>185279</v>
      </c>
      <c r="BW132" s="229">
        <v>8.6300000000000002E-2</v>
      </c>
      <c r="BX132" s="230">
        <v>27228000</v>
      </c>
      <c r="BY132" s="230">
        <v>25887000</v>
      </c>
      <c r="BZ132" s="230">
        <v>1341000</v>
      </c>
      <c r="CA132" s="229">
        <v>5.1799999999999999E-2</v>
      </c>
      <c r="CB132" s="230">
        <v>24804000</v>
      </c>
      <c r="CC132" s="230">
        <v>24099000</v>
      </c>
      <c r="CD132" s="230">
        <v>705000</v>
      </c>
      <c r="CE132" s="229">
        <v>2.93E-2</v>
      </c>
      <c r="CF132" s="230">
        <v>2250000</v>
      </c>
      <c r="CG132" s="230">
        <v>1647000</v>
      </c>
      <c r="CH132" s="230">
        <v>603000</v>
      </c>
      <c r="CI132" s="229">
        <v>0.36609999999999998</v>
      </c>
      <c r="CJ132" s="230">
        <v>174000</v>
      </c>
      <c r="CK132" s="230">
        <v>141000</v>
      </c>
      <c r="CL132" s="230">
        <v>33000</v>
      </c>
      <c r="CM132" s="229">
        <v>0.23400000000000001</v>
      </c>
      <c r="CN132" s="230">
        <v>18825000</v>
      </c>
      <c r="CO132" s="230">
        <v>18156000</v>
      </c>
      <c r="CP132" s="230">
        <v>669000</v>
      </c>
      <c r="CQ132" s="229">
        <v>3.6799999999999999E-2</v>
      </c>
      <c r="CR132" s="230">
        <v>15432000</v>
      </c>
      <c r="CS132" s="230">
        <v>15555000</v>
      </c>
      <c r="CT132" s="230">
        <v>-123000</v>
      </c>
      <c r="CU132" s="229">
        <v>-7.9000000000000008E-3</v>
      </c>
      <c r="CV132" s="230">
        <v>61485000</v>
      </c>
      <c r="CW132" s="230">
        <v>59598000</v>
      </c>
      <c r="CX132" s="230">
        <v>1887000</v>
      </c>
      <c r="CY132" s="229">
        <v>3.1699999999999999E-2</v>
      </c>
      <c r="CZ132" s="228">
        <v>31.11</v>
      </c>
      <c r="DA132" s="228">
        <v>30.61</v>
      </c>
      <c r="DB132" s="228">
        <v>0.5</v>
      </c>
      <c r="DC132" s="228">
        <v>0.5</v>
      </c>
      <c r="DD132" s="228">
        <v>45.42</v>
      </c>
      <c r="DE132" s="228">
        <v>45.5</v>
      </c>
      <c r="DF132" s="228">
        <v>-14.31</v>
      </c>
      <c r="DG132" s="228">
        <v>-0.08</v>
      </c>
      <c r="DH132" s="228">
        <v>29.86</v>
      </c>
      <c r="DI132" s="228">
        <v>28.76</v>
      </c>
      <c r="DJ132" s="228">
        <v>1.1000000000000001</v>
      </c>
      <c r="DK132" s="228">
        <v>1.1000000000000001</v>
      </c>
      <c r="DL132" s="228">
        <v>32.700000000000003</v>
      </c>
      <c r="DM132" s="228">
        <v>33.26</v>
      </c>
      <c r="DN132" s="228">
        <v>-0.56000000000000005</v>
      </c>
      <c r="DO132" s="228">
        <v>-0.56000000000000005</v>
      </c>
      <c r="DP132" s="228">
        <v>0.82</v>
      </c>
      <c r="DQ132" s="228">
        <v>0.86</v>
      </c>
      <c r="DR132" s="228">
        <v>-0.04</v>
      </c>
      <c r="DS132" s="229">
        <v>-4.65E-2</v>
      </c>
      <c r="DT132" s="228">
        <v>270</v>
      </c>
      <c r="DU132" s="228">
        <v>240</v>
      </c>
      <c r="DV132" s="228">
        <v>0.79</v>
      </c>
      <c r="DW132" s="228">
        <v>0.7</v>
      </c>
      <c r="DX132" s="228">
        <v>0.09</v>
      </c>
      <c r="DY132" s="229">
        <v>0.12859999999999999</v>
      </c>
      <c r="DZ132" s="229">
        <v>8.8999999999999996E-2</v>
      </c>
      <c r="EA132" s="230">
        <v>1788000</v>
      </c>
      <c r="EB132" s="229">
        <v>5.4000000000000003E-3</v>
      </c>
      <c r="EC132" s="229">
        <v>8.8999999999999996E-2</v>
      </c>
      <c r="ED132" s="228">
        <v>1.4</v>
      </c>
      <c r="EE132" s="229">
        <v>5.3E-3</v>
      </c>
      <c r="EF132" s="230">
        <v>945396</v>
      </c>
      <c r="EG132" s="230">
        <v>860527</v>
      </c>
      <c r="EH132" s="229">
        <v>9.8599999999999993E-2</v>
      </c>
      <c r="EI132" s="229">
        <v>0.40550000000000003</v>
      </c>
      <c r="EJ132" s="231">
        <v>41073.17</v>
      </c>
      <c r="EK132" s="231">
        <v>30390.18</v>
      </c>
      <c r="EL132" s="231">
        <v>17124.32</v>
      </c>
      <c r="EM132" s="228">
        <v>0</v>
      </c>
      <c r="EN132" s="231">
        <v>88587.67</v>
      </c>
      <c r="EO132" s="231">
        <v>108397.9</v>
      </c>
      <c r="EP132" s="231">
        <v>-19810.23</v>
      </c>
      <c r="EQ132" s="229">
        <v>-0.18279999999999999</v>
      </c>
      <c r="ER132" s="231">
        <v>51399</v>
      </c>
      <c r="ES132" s="231">
        <v>38738</v>
      </c>
      <c r="ET132" s="231">
        <v>72640</v>
      </c>
      <c r="EU132" s="231">
        <v>109606743</v>
      </c>
      <c r="EV132" s="231">
        <v>162777</v>
      </c>
      <c r="EW132" s="231">
        <v>158507</v>
      </c>
      <c r="EX132" s="231">
        <v>4270</v>
      </c>
      <c r="EY132" s="229">
        <v>2.69E-2</v>
      </c>
      <c r="EZ132" s="229">
        <v>0.56100000000000005</v>
      </c>
      <c r="FA132" s="227" t="s">
        <v>567</v>
      </c>
      <c r="FB132" s="161">
        <f t="shared" si="2"/>
        <v>2424000</v>
      </c>
    </row>
    <row r="133" spans="1:158" ht="17.25" hidden="1" thickBot="1" x14ac:dyDescent="0.3">
      <c r="A133" s="226">
        <v>45889</v>
      </c>
      <c r="B133" s="227" t="s">
        <v>170</v>
      </c>
      <c r="C133" s="227" t="s">
        <v>674</v>
      </c>
      <c r="D133" s="228">
        <v>225</v>
      </c>
      <c r="E133" s="231">
        <v>2512.9</v>
      </c>
      <c r="F133" s="231">
        <v>2499.4</v>
      </c>
      <c r="G133" s="228">
        <v>13.5</v>
      </c>
      <c r="H133" s="229">
        <v>5.4000000000000003E-3</v>
      </c>
      <c r="I133" s="231">
        <v>2506.6</v>
      </c>
      <c r="J133" s="231">
        <v>2492.1999999999998</v>
      </c>
      <c r="K133" s="228">
        <v>14.4</v>
      </c>
      <c r="L133" s="229">
        <v>5.7999999999999996E-3</v>
      </c>
      <c r="M133" s="231">
        <v>2512.9</v>
      </c>
      <c r="N133" s="231">
        <v>2499.4</v>
      </c>
      <c r="O133" s="228">
        <v>13.5</v>
      </c>
      <c r="P133" s="229">
        <v>5.4000000000000003E-3</v>
      </c>
      <c r="Q133" s="231">
        <v>2524.9</v>
      </c>
      <c r="R133" s="231">
        <v>2510.9</v>
      </c>
      <c r="S133" s="228">
        <v>14</v>
      </c>
      <c r="T133" s="229">
        <v>5.5999999999999999E-3</v>
      </c>
      <c r="U133" s="231">
        <v>2535</v>
      </c>
      <c r="V133" s="231">
        <v>2521.8000000000002</v>
      </c>
      <c r="W133" s="228">
        <v>13.2</v>
      </c>
      <c r="X133" s="229">
        <v>5.1999999999999998E-3</v>
      </c>
      <c r="Y133" s="228">
        <v>6.3</v>
      </c>
      <c r="Z133" s="228">
        <v>7.2</v>
      </c>
      <c r="AA133" s="228">
        <v>-0.9</v>
      </c>
      <c r="AB133" s="229">
        <v>2.5000000000000001E-3</v>
      </c>
      <c r="AC133" s="228">
        <v>6.3</v>
      </c>
      <c r="AD133" s="228">
        <v>7.2</v>
      </c>
      <c r="AE133" s="228">
        <v>-0.9</v>
      </c>
      <c r="AF133" s="229">
        <v>2.5000000000000001E-3</v>
      </c>
      <c r="AG133" s="228">
        <v>18.3</v>
      </c>
      <c r="AH133" s="228">
        <v>18.7</v>
      </c>
      <c r="AI133" s="228">
        <v>-0.4</v>
      </c>
      <c r="AJ133" s="229">
        <v>7.3000000000000001E-3</v>
      </c>
      <c r="AK133" s="228">
        <v>28.4</v>
      </c>
      <c r="AL133" s="228">
        <v>29.6</v>
      </c>
      <c r="AM133" s="228">
        <v>-1.2</v>
      </c>
      <c r="AN133" s="229">
        <v>1.1299999999999999E-2</v>
      </c>
      <c r="AO133" s="231">
        <v>2509.62</v>
      </c>
      <c r="AP133" s="231">
        <v>2521.48</v>
      </c>
      <c r="AQ133" s="228">
        <v>0</v>
      </c>
      <c r="AR133" s="230">
        <v>194625</v>
      </c>
      <c r="AS133" s="230">
        <v>337275</v>
      </c>
      <c r="AT133" s="230">
        <v>-142650</v>
      </c>
      <c r="AU133" s="229">
        <v>-0.4229</v>
      </c>
      <c r="AV133" s="230">
        <v>159975</v>
      </c>
      <c r="AW133" s="230">
        <v>299925</v>
      </c>
      <c r="AX133" s="230">
        <v>-139950</v>
      </c>
      <c r="AY133" s="229">
        <v>-0.46660000000000001</v>
      </c>
      <c r="AZ133" s="230">
        <v>32400</v>
      </c>
      <c r="BA133" s="230">
        <v>33975</v>
      </c>
      <c r="BB133" s="230">
        <v>-1575</v>
      </c>
      <c r="BC133" s="229">
        <v>-4.6399999999999997E-2</v>
      </c>
      <c r="BD133" s="230">
        <v>2250</v>
      </c>
      <c r="BE133" s="230">
        <v>3375</v>
      </c>
      <c r="BF133" s="230">
        <v>-1125</v>
      </c>
      <c r="BG133" s="229">
        <v>-0.33329999999999999</v>
      </c>
      <c r="BH133" s="230">
        <v>742275</v>
      </c>
      <c r="BI133" s="230">
        <v>1479825</v>
      </c>
      <c r="BJ133" s="230">
        <v>-737550</v>
      </c>
      <c r="BK133" s="229">
        <v>-0.49840000000000001</v>
      </c>
      <c r="BL133" s="230">
        <v>139500</v>
      </c>
      <c r="BM133" s="230">
        <v>270000</v>
      </c>
      <c r="BN133" s="230">
        <v>-130500</v>
      </c>
      <c r="BO133" s="229">
        <v>-0.48330000000000001</v>
      </c>
      <c r="BP133" s="230">
        <v>1076400</v>
      </c>
      <c r="BQ133" s="230">
        <v>2087100</v>
      </c>
      <c r="BR133" s="230">
        <v>-1010700</v>
      </c>
      <c r="BS133" s="229">
        <v>-0.48430000000000001</v>
      </c>
      <c r="BT133" s="230">
        <v>393233</v>
      </c>
      <c r="BU133" s="230">
        <v>517650</v>
      </c>
      <c r="BV133" s="230">
        <v>-124417</v>
      </c>
      <c r="BW133" s="229">
        <v>-0.24030000000000001</v>
      </c>
      <c r="BX133" s="230">
        <v>1844775</v>
      </c>
      <c r="BY133" s="230">
        <v>1814400</v>
      </c>
      <c r="BZ133" s="230">
        <v>30375</v>
      </c>
      <c r="CA133" s="229">
        <v>1.67E-2</v>
      </c>
      <c r="CB133" s="230">
        <v>1743975</v>
      </c>
      <c r="CC133" s="230">
        <v>1731600</v>
      </c>
      <c r="CD133" s="230">
        <v>12375</v>
      </c>
      <c r="CE133" s="229">
        <v>7.1000000000000004E-3</v>
      </c>
      <c r="CF133" s="230">
        <v>94050</v>
      </c>
      <c r="CG133" s="230">
        <v>76500</v>
      </c>
      <c r="CH133" s="230">
        <v>17550</v>
      </c>
      <c r="CI133" s="229">
        <v>0.22939999999999999</v>
      </c>
      <c r="CJ133" s="230">
        <v>6750</v>
      </c>
      <c r="CK133" s="230">
        <v>6300</v>
      </c>
      <c r="CL133" s="228">
        <v>450</v>
      </c>
      <c r="CM133" s="229">
        <v>7.1400000000000005E-2</v>
      </c>
      <c r="CN133" s="230">
        <v>804375</v>
      </c>
      <c r="CO133" s="230">
        <v>815400</v>
      </c>
      <c r="CP133" s="230">
        <v>-11025</v>
      </c>
      <c r="CQ133" s="229">
        <v>-1.35E-2</v>
      </c>
      <c r="CR133" s="230">
        <v>382950</v>
      </c>
      <c r="CS133" s="230">
        <v>383400</v>
      </c>
      <c r="CT133" s="228">
        <v>-450</v>
      </c>
      <c r="CU133" s="229">
        <v>-1.1999999999999999E-3</v>
      </c>
      <c r="CV133" s="230">
        <v>3032100</v>
      </c>
      <c r="CW133" s="230">
        <v>3013200</v>
      </c>
      <c r="CX133" s="230">
        <v>18900</v>
      </c>
      <c r="CY133" s="229">
        <v>6.3E-3</v>
      </c>
      <c r="CZ133" s="228">
        <v>33.11</v>
      </c>
      <c r="DA133" s="228">
        <v>32.85</v>
      </c>
      <c r="DB133" s="228">
        <v>0.26</v>
      </c>
      <c r="DC133" s="228">
        <v>0.26</v>
      </c>
      <c r="DD133" s="228">
        <v>36.44</v>
      </c>
      <c r="DE133" s="228">
        <v>36.520000000000003</v>
      </c>
      <c r="DF133" s="228">
        <v>-3.33</v>
      </c>
      <c r="DG133" s="228">
        <v>-0.08</v>
      </c>
      <c r="DH133" s="228">
        <v>33.43</v>
      </c>
      <c r="DI133" s="228">
        <v>33.21</v>
      </c>
      <c r="DJ133" s="228">
        <v>0.22</v>
      </c>
      <c r="DK133" s="228">
        <v>0.22</v>
      </c>
      <c r="DL133" s="228">
        <v>31.46</v>
      </c>
      <c r="DM133" s="228">
        <v>30.87</v>
      </c>
      <c r="DN133" s="228">
        <v>0.59</v>
      </c>
      <c r="DO133" s="228">
        <v>0.59</v>
      </c>
      <c r="DP133" s="228">
        <v>0.48</v>
      </c>
      <c r="DQ133" s="228">
        <v>0.47</v>
      </c>
      <c r="DR133" s="228">
        <v>0.01</v>
      </c>
      <c r="DS133" s="229">
        <v>2.1299999999999999E-2</v>
      </c>
      <c r="DT133" s="231">
        <v>2600</v>
      </c>
      <c r="DU133" s="231">
        <v>2500</v>
      </c>
      <c r="DV133" s="228">
        <v>0.19</v>
      </c>
      <c r="DW133" s="228">
        <v>0.18</v>
      </c>
      <c r="DX133" s="228">
        <v>0.01</v>
      </c>
      <c r="DY133" s="229">
        <v>5.5599999999999997E-2</v>
      </c>
      <c r="DZ133" s="229">
        <v>5.4600000000000003E-2</v>
      </c>
      <c r="EA133" s="230">
        <v>82800</v>
      </c>
      <c r="EB133" s="229">
        <v>4.7999999999999996E-3</v>
      </c>
      <c r="EC133" s="229">
        <v>5.4600000000000003E-2</v>
      </c>
      <c r="ED133" s="228">
        <v>11.86</v>
      </c>
      <c r="EE133" s="229">
        <v>4.7000000000000002E-3</v>
      </c>
      <c r="EF133" s="230">
        <v>286412</v>
      </c>
      <c r="EG133" s="230">
        <v>349325</v>
      </c>
      <c r="EH133" s="229">
        <v>-0.18010000000000001</v>
      </c>
      <c r="EI133" s="229">
        <v>0.72840000000000005</v>
      </c>
      <c r="EJ133" s="231">
        <v>19596.5</v>
      </c>
      <c r="EK133" s="231">
        <v>3407.55</v>
      </c>
      <c r="EL133" s="231">
        <v>4888.6400000000003</v>
      </c>
      <c r="EM133" s="228">
        <v>0</v>
      </c>
      <c r="EN133" s="231">
        <v>27892.69</v>
      </c>
      <c r="EO133" s="231">
        <v>53832.03</v>
      </c>
      <c r="EP133" s="231">
        <v>-25939.34</v>
      </c>
      <c r="EQ133" s="229">
        <v>-0.4819</v>
      </c>
      <c r="ER133" s="231">
        <v>21345</v>
      </c>
      <c r="ES133" s="231">
        <v>9174</v>
      </c>
      <c r="ET133" s="231">
        <v>46370</v>
      </c>
      <c r="EU133" s="231">
        <v>22553627</v>
      </c>
      <c r="EV133" s="231">
        <v>76889</v>
      </c>
      <c r="EW133" s="231">
        <v>76154</v>
      </c>
      <c r="EX133" s="228">
        <v>735</v>
      </c>
      <c r="EY133" s="229">
        <v>9.7000000000000003E-3</v>
      </c>
      <c r="EZ133" s="229">
        <v>0.13439999999999999</v>
      </c>
      <c r="FA133" s="227" t="s">
        <v>555</v>
      </c>
      <c r="FB133" s="161">
        <f t="shared" si="2"/>
        <v>100800</v>
      </c>
    </row>
    <row r="134" spans="1:158" ht="17.25" hidden="1" thickBot="1" x14ac:dyDescent="0.3">
      <c r="A134" s="226">
        <v>45889</v>
      </c>
      <c r="B134" s="227" t="s">
        <v>168</v>
      </c>
      <c r="C134" s="227" t="s">
        <v>254</v>
      </c>
      <c r="D134" s="228">
        <v>1200</v>
      </c>
      <c r="E134" s="228">
        <v>752.4</v>
      </c>
      <c r="F134" s="228">
        <v>727.25</v>
      </c>
      <c r="G134" s="228">
        <v>25.15</v>
      </c>
      <c r="H134" s="229">
        <v>3.4599999999999999E-2</v>
      </c>
      <c r="I134" s="228">
        <v>751.85</v>
      </c>
      <c r="J134" s="228">
        <v>727.95</v>
      </c>
      <c r="K134" s="228">
        <v>23.9</v>
      </c>
      <c r="L134" s="229">
        <v>3.2800000000000003E-2</v>
      </c>
      <c r="M134" s="228">
        <v>752.4</v>
      </c>
      <c r="N134" s="228">
        <v>727.25</v>
      </c>
      <c r="O134" s="228">
        <v>25.15</v>
      </c>
      <c r="P134" s="229">
        <v>3.4599999999999999E-2</v>
      </c>
      <c r="Q134" s="228">
        <v>757</v>
      </c>
      <c r="R134" s="228">
        <v>732.6</v>
      </c>
      <c r="S134" s="228">
        <v>24.4</v>
      </c>
      <c r="T134" s="229">
        <v>3.3300000000000003E-2</v>
      </c>
      <c r="U134" s="228">
        <v>759.95</v>
      </c>
      <c r="V134" s="228">
        <v>733.15</v>
      </c>
      <c r="W134" s="228">
        <v>26.8</v>
      </c>
      <c r="X134" s="229">
        <v>3.6600000000000001E-2</v>
      </c>
      <c r="Y134" s="228">
        <v>0.55000000000000004</v>
      </c>
      <c r="Z134" s="228">
        <v>-0.7</v>
      </c>
      <c r="AA134" s="228">
        <v>1.25</v>
      </c>
      <c r="AB134" s="229">
        <v>6.9999999999999999E-4</v>
      </c>
      <c r="AC134" s="228">
        <v>0.55000000000000004</v>
      </c>
      <c r="AD134" s="228">
        <v>-0.7</v>
      </c>
      <c r="AE134" s="228">
        <v>1.25</v>
      </c>
      <c r="AF134" s="229">
        <v>6.9999999999999999E-4</v>
      </c>
      <c r="AG134" s="228">
        <v>5.15</v>
      </c>
      <c r="AH134" s="228">
        <v>4.6500000000000004</v>
      </c>
      <c r="AI134" s="228">
        <v>0.5</v>
      </c>
      <c r="AJ134" s="229">
        <v>6.7999999999999996E-3</v>
      </c>
      <c r="AK134" s="228">
        <v>8.1</v>
      </c>
      <c r="AL134" s="228">
        <v>5.2</v>
      </c>
      <c r="AM134" s="228">
        <v>2.9</v>
      </c>
      <c r="AN134" s="229">
        <v>1.0800000000000001E-2</v>
      </c>
      <c r="AO134" s="228">
        <v>742.67</v>
      </c>
      <c r="AP134" s="228">
        <v>750.01</v>
      </c>
      <c r="AQ134" s="228">
        <v>0</v>
      </c>
      <c r="AR134" s="230">
        <v>5767200</v>
      </c>
      <c r="AS134" s="230">
        <v>2972400</v>
      </c>
      <c r="AT134" s="230">
        <v>2794800</v>
      </c>
      <c r="AU134" s="229">
        <v>0.94030000000000002</v>
      </c>
      <c r="AV134" s="230">
        <v>4658400</v>
      </c>
      <c r="AW134" s="230">
        <v>2728800</v>
      </c>
      <c r="AX134" s="230">
        <v>1929600</v>
      </c>
      <c r="AY134" s="229">
        <v>0.70709999999999995</v>
      </c>
      <c r="AZ134" s="230">
        <v>1068000</v>
      </c>
      <c r="BA134" s="230">
        <v>220800</v>
      </c>
      <c r="BB134" s="230">
        <v>847200</v>
      </c>
      <c r="BC134" s="229">
        <v>3.8370000000000002</v>
      </c>
      <c r="BD134" s="230">
        <v>40800</v>
      </c>
      <c r="BE134" s="230">
        <v>22800</v>
      </c>
      <c r="BF134" s="230">
        <v>18000</v>
      </c>
      <c r="BG134" s="229">
        <v>0.78949999999999998</v>
      </c>
      <c r="BH134" s="230">
        <v>47841600</v>
      </c>
      <c r="BI134" s="230">
        <v>8888400</v>
      </c>
      <c r="BJ134" s="230">
        <v>38953200</v>
      </c>
      <c r="BK134" s="229">
        <v>4.3825000000000003</v>
      </c>
      <c r="BL134" s="230">
        <v>12414000</v>
      </c>
      <c r="BM134" s="230">
        <v>2624400</v>
      </c>
      <c r="BN134" s="230">
        <v>9789600</v>
      </c>
      <c r="BO134" s="229">
        <v>3.7302</v>
      </c>
      <c r="BP134" s="230">
        <v>66022800</v>
      </c>
      <c r="BQ134" s="230">
        <v>14485200</v>
      </c>
      <c r="BR134" s="230">
        <v>51537600</v>
      </c>
      <c r="BS134" s="229">
        <v>3.5579000000000001</v>
      </c>
      <c r="BT134" s="230">
        <v>2606638</v>
      </c>
      <c r="BU134" s="230">
        <v>983091</v>
      </c>
      <c r="BV134" s="230">
        <v>1623547</v>
      </c>
      <c r="BW134" s="229">
        <v>1.6515</v>
      </c>
      <c r="BX134" s="230">
        <v>25098000</v>
      </c>
      <c r="BY134" s="230">
        <v>24410400</v>
      </c>
      <c r="BZ134" s="230">
        <v>687600</v>
      </c>
      <c r="CA134" s="229">
        <v>2.8199999999999999E-2</v>
      </c>
      <c r="CB134" s="230">
        <v>24088800</v>
      </c>
      <c r="CC134" s="230">
        <v>24006000</v>
      </c>
      <c r="CD134" s="230">
        <v>82800</v>
      </c>
      <c r="CE134" s="229">
        <v>3.3999999999999998E-3</v>
      </c>
      <c r="CF134" s="230">
        <v>972000</v>
      </c>
      <c r="CG134" s="230">
        <v>388800</v>
      </c>
      <c r="CH134" s="230">
        <v>583200</v>
      </c>
      <c r="CI134" s="229">
        <v>1.5</v>
      </c>
      <c r="CJ134" s="230">
        <v>37200</v>
      </c>
      <c r="CK134" s="230">
        <v>15600</v>
      </c>
      <c r="CL134" s="230">
        <v>21600</v>
      </c>
      <c r="CM134" s="229">
        <v>1.3846000000000001</v>
      </c>
      <c r="CN134" s="230">
        <v>6571200</v>
      </c>
      <c r="CO134" s="230">
        <v>7149600</v>
      </c>
      <c r="CP134" s="230">
        <v>-578400</v>
      </c>
      <c r="CQ134" s="229">
        <v>-8.09E-2</v>
      </c>
      <c r="CR134" s="230">
        <v>4614000</v>
      </c>
      <c r="CS134" s="230">
        <v>2913600</v>
      </c>
      <c r="CT134" s="230">
        <v>1700400</v>
      </c>
      <c r="CU134" s="229">
        <v>0.58360000000000001</v>
      </c>
      <c r="CV134" s="230">
        <v>36283200</v>
      </c>
      <c r="CW134" s="230">
        <v>34473600</v>
      </c>
      <c r="CX134" s="230">
        <v>1809600</v>
      </c>
      <c r="CY134" s="229">
        <v>5.2499999999999998E-2</v>
      </c>
      <c r="CZ134" s="228">
        <v>24.56</v>
      </c>
      <c r="DA134" s="228">
        <v>22.32</v>
      </c>
      <c r="DB134" s="228">
        <v>2.2400000000000002</v>
      </c>
      <c r="DC134" s="228">
        <v>2.2400000000000002</v>
      </c>
      <c r="DD134" s="228">
        <v>27.33</v>
      </c>
      <c r="DE134" s="228">
        <v>27.04</v>
      </c>
      <c r="DF134" s="228">
        <v>-2.77</v>
      </c>
      <c r="DG134" s="228">
        <v>0.28999999999999998</v>
      </c>
      <c r="DH134" s="228">
        <v>24.2</v>
      </c>
      <c r="DI134" s="228">
        <v>22.25</v>
      </c>
      <c r="DJ134" s="228">
        <v>1.95</v>
      </c>
      <c r="DK134" s="228">
        <v>1.95</v>
      </c>
      <c r="DL134" s="228">
        <v>25.93</v>
      </c>
      <c r="DM134" s="228">
        <v>22.56</v>
      </c>
      <c r="DN134" s="228">
        <v>3.37</v>
      </c>
      <c r="DO134" s="228">
        <v>3.37</v>
      </c>
      <c r="DP134" s="228">
        <v>0.7</v>
      </c>
      <c r="DQ134" s="228">
        <v>0.41</v>
      </c>
      <c r="DR134" s="228">
        <v>0.28999999999999998</v>
      </c>
      <c r="DS134" s="229">
        <v>0.70730000000000004</v>
      </c>
      <c r="DT134" s="228">
        <v>750</v>
      </c>
      <c r="DU134" s="228">
        <v>730</v>
      </c>
      <c r="DV134" s="228">
        <v>0.26</v>
      </c>
      <c r="DW134" s="228">
        <v>0.3</v>
      </c>
      <c r="DX134" s="228">
        <v>-0.04</v>
      </c>
      <c r="DY134" s="229">
        <v>-0.1333</v>
      </c>
      <c r="DZ134" s="229">
        <v>4.02E-2</v>
      </c>
      <c r="EA134" s="230">
        <v>404400</v>
      </c>
      <c r="EB134" s="229">
        <v>6.1000000000000004E-3</v>
      </c>
      <c r="EC134" s="229">
        <v>4.02E-2</v>
      </c>
      <c r="ED134" s="228">
        <v>7.34</v>
      </c>
      <c r="EE134" s="229">
        <v>9.9000000000000008E-3</v>
      </c>
      <c r="EF134" s="230">
        <v>1155469</v>
      </c>
      <c r="EG134" s="230">
        <v>652262</v>
      </c>
      <c r="EH134" s="229">
        <v>0.77149999999999996</v>
      </c>
      <c r="EI134" s="229">
        <v>0.44330000000000003</v>
      </c>
      <c r="EJ134" s="231">
        <v>365098.85</v>
      </c>
      <c r="EK134" s="231">
        <v>90423.51</v>
      </c>
      <c r="EL134" s="231">
        <v>42914.16</v>
      </c>
      <c r="EM134" s="228">
        <v>0</v>
      </c>
      <c r="EN134" s="231">
        <v>498436.52</v>
      </c>
      <c r="EO134" s="231">
        <v>106404.61</v>
      </c>
      <c r="EP134" s="231">
        <v>392031.91</v>
      </c>
      <c r="EQ134" s="229">
        <v>3.6844000000000001</v>
      </c>
      <c r="ER134" s="231">
        <v>50228</v>
      </c>
      <c r="ES134" s="231">
        <v>32600</v>
      </c>
      <c r="ET134" s="231">
        <v>188885</v>
      </c>
      <c r="EU134" s="231">
        <v>105878039</v>
      </c>
      <c r="EV134" s="231">
        <v>271713</v>
      </c>
      <c r="EW134" s="231">
        <v>251889</v>
      </c>
      <c r="EX134" s="231">
        <v>19824</v>
      </c>
      <c r="EY134" s="229">
        <v>7.8700000000000006E-2</v>
      </c>
      <c r="EZ134" s="229">
        <v>0.3427</v>
      </c>
      <c r="FA134" s="227" t="s">
        <v>555</v>
      </c>
      <c r="FB134" s="161">
        <f t="shared" si="2"/>
        <v>1009200</v>
      </c>
    </row>
    <row r="135" spans="1:158" ht="17.25" hidden="1" thickBot="1" x14ac:dyDescent="0.3">
      <c r="A135" s="226">
        <v>45889</v>
      </c>
      <c r="B135" s="227" t="s">
        <v>162</v>
      </c>
      <c r="C135" s="227" t="s">
        <v>255</v>
      </c>
      <c r="D135" s="228">
        <v>50</v>
      </c>
      <c r="E135" s="231">
        <v>14221</v>
      </c>
      <c r="F135" s="231">
        <v>14236</v>
      </c>
      <c r="G135" s="228">
        <v>-15</v>
      </c>
      <c r="H135" s="229">
        <v>-1.1000000000000001E-3</v>
      </c>
      <c r="I135" s="231">
        <v>14221</v>
      </c>
      <c r="J135" s="231">
        <v>14250</v>
      </c>
      <c r="K135" s="228">
        <v>-29</v>
      </c>
      <c r="L135" s="229">
        <v>-2E-3</v>
      </c>
      <c r="M135" s="231">
        <v>14221</v>
      </c>
      <c r="N135" s="231">
        <v>14236</v>
      </c>
      <c r="O135" s="228">
        <v>-15</v>
      </c>
      <c r="P135" s="229">
        <v>-1.1000000000000001E-3</v>
      </c>
      <c r="Q135" s="231">
        <v>14300</v>
      </c>
      <c r="R135" s="231">
        <v>14314</v>
      </c>
      <c r="S135" s="228">
        <v>-14</v>
      </c>
      <c r="T135" s="229">
        <v>-1E-3</v>
      </c>
      <c r="U135" s="231">
        <v>14349</v>
      </c>
      <c r="V135" s="231">
        <v>14357</v>
      </c>
      <c r="W135" s="228">
        <v>-8</v>
      </c>
      <c r="X135" s="229">
        <v>-5.9999999999999995E-4</v>
      </c>
      <c r="Y135" s="228">
        <v>0</v>
      </c>
      <c r="Z135" s="228">
        <v>-14</v>
      </c>
      <c r="AA135" s="228">
        <v>14</v>
      </c>
      <c r="AB135" s="229">
        <v>0</v>
      </c>
      <c r="AC135" s="228">
        <v>0</v>
      </c>
      <c r="AD135" s="228">
        <v>-14</v>
      </c>
      <c r="AE135" s="228">
        <v>14</v>
      </c>
      <c r="AF135" s="229">
        <v>0</v>
      </c>
      <c r="AG135" s="228">
        <v>79</v>
      </c>
      <c r="AH135" s="228">
        <v>64</v>
      </c>
      <c r="AI135" s="228">
        <v>15</v>
      </c>
      <c r="AJ135" s="229">
        <v>5.5999999999999999E-3</v>
      </c>
      <c r="AK135" s="228">
        <v>128</v>
      </c>
      <c r="AL135" s="228">
        <v>107</v>
      </c>
      <c r="AM135" s="228">
        <v>21</v>
      </c>
      <c r="AN135" s="229">
        <v>8.9999999999999993E-3</v>
      </c>
      <c r="AO135" s="231">
        <v>14237.15</v>
      </c>
      <c r="AP135" s="231">
        <v>14315.29</v>
      </c>
      <c r="AQ135" s="228">
        <v>0</v>
      </c>
      <c r="AR135" s="230">
        <v>593500</v>
      </c>
      <c r="AS135" s="230">
        <v>1271800</v>
      </c>
      <c r="AT135" s="230">
        <v>-678300</v>
      </c>
      <c r="AU135" s="229">
        <v>-0.5333</v>
      </c>
      <c r="AV135" s="230">
        <v>511350</v>
      </c>
      <c r="AW135" s="230">
        <v>1092550</v>
      </c>
      <c r="AX135" s="230">
        <v>-581200</v>
      </c>
      <c r="AY135" s="229">
        <v>-0.53200000000000003</v>
      </c>
      <c r="AZ135" s="230">
        <v>75100</v>
      </c>
      <c r="BA135" s="230">
        <v>166300</v>
      </c>
      <c r="BB135" s="230">
        <v>-91200</v>
      </c>
      <c r="BC135" s="229">
        <v>-0.5484</v>
      </c>
      <c r="BD135" s="230">
        <v>7050</v>
      </c>
      <c r="BE135" s="230">
        <v>12950</v>
      </c>
      <c r="BF135" s="230">
        <v>-5900</v>
      </c>
      <c r="BG135" s="229">
        <v>-0.4556</v>
      </c>
      <c r="BH135" s="230">
        <v>6323200</v>
      </c>
      <c r="BI135" s="230">
        <v>16670800</v>
      </c>
      <c r="BJ135" s="230">
        <v>-10347600</v>
      </c>
      <c r="BK135" s="229">
        <v>-0.62070000000000003</v>
      </c>
      <c r="BL135" s="230">
        <v>5940300</v>
      </c>
      <c r="BM135" s="230">
        <v>12593500</v>
      </c>
      <c r="BN135" s="230">
        <v>-6653200</v>
      </c>
      <c r="BO135" s="229">
        <v>-0.52829999999999999</v>
      </c>
      <c r="BP135" s="230">
        <v>12857000</v>
      </c>
      <c r="BQ135" s="230">
        <v>30536100</v>
      </c>
      <c r="BR135" s="230">
        <v>-17679100</v>
      </c>
      <c r="BS135" s="229">
        <v>-0.57899999999999996</v>
      </c>
      <c r="BT135" s="230">
        <v>407581</v>
      </c>
      <c r="BU135" s="230">
        <v>934380</v>
      </c>
      <c r="BV135" s="230">
        <v>-526799</v>
      </c>
      <c r="BW135" s="229">
        <v>-0.56379999999999997</v>
      </c>
      <c r="BX135" s="230">
        <v>3971700</v>
      </c>
      <c r="BY135" s="230">
        <v>3985750</v>
      </c>
      <c r="BZ135" s="230">
        <v>-14050</v>
      </c>
      <c r="CA135" s="229">
        <v>-3.5000000000000001E-3</v>
      </c>
      <c r="CB135" s="230">
        <v>3632450</v>
      </c>
      <c r="CC135" s="230">
        <v>3684050</v>
      </c>
      <c r="CD135" s="230">
        <v>-51600</v>
      </c>
      <c r="CE135" s="229">
        <v>-1.4E-2</v>
      </c>
      <c r="CF135" s="230">
        <v>314550</v>
      </c>
      <c r="CG135" s="230">
        <v>278700</v>
      </c>
      <c r="CH135" s="230">
        <v>35850</v>
      </c>
      <c r="CI135" s="229">
        <v>0.12859999999999999</v>
      </c>
      <c r="CJ135" s="230">
        <v>24700</v>
      </c>
      <c r="CK135" s="230">
        <v>23000</v>
      </c>
      <c r="CL135" s="230">
        <v>1700</v>
      </c>
      <c r="CM135" s="229">
        <v>7.3899999999999993E-2</v>
      </c>
      <c r="CN135" s="230">
        <v>4336600</v>
      </c>
      <c r="CO135" s="230">
        <v>4284200</v>
      </c>
      <c r="CP135" s="230">
        <v>52400</v>
      </c>
      <c r="CQ135" s="229">
        <v>1.2200000000000001E-2</v>
      </c>
      <c r="CR135" s="230">
        <v>4805650</v>
      </c>
      <c r="CS135" s="230">
        <v>4862800</v>
      </c>
      <c r="CT135" s="230">
        <v>-57150</v>
      </c>
      <c r="CU135" s="229">
        <v>-1.18E-2</v>
      </c>
      <c r="CV135" s="230">
        <v>13113950</v>
      </c>
      <c r="CW135" s="230">
        <v>13132750</v>
      </c>
      <c r="CX135" s="230">
        <v>-18800</v>
      </c>
      <c r="CY135" s="229">
        <v>-1.4E-3</v>
      </c>
      <c r="CZ135" s="228">
        <v>21.01</v>
      </c>
      <c r="DA135" s="228">
        <v>21.88</v>
      </c>
      <c r="DB135" s="228">
        <v>-0.87</v>
      </c>
      <c r="DC135" s="228">
        <v>-0.87</v>
      </c>
      <c r="DD135" s="228">
        <v>26.79</v>
      </c>
      <c r="DE135" s="228">
        <v>26.86</v>
      </c>
      <c r="DF135" s="228">
        <v>-5.78</v>
      </c>
      <c r="DG135" s="228">
        <v>-7.0000000000000007E-2</v>
      </c>
      <c r="DH135" s="228">
        <v>19.489999999999998</v>
      </c>
      <c r="DI135" s="228">
        <v>19.72</v>
      </c>
      <c r="DJ135" s="228">
        <v>-0.23</v>
      </c>
      <c r="DK135" s="228">
        <v>-0.23</v>
      </c>
      <c r="DL135" s="228">
        <v>22.63</v>
      </c>
      <c r="DM135" s="228">
        <v>24.73</v>
      </c>
      <c r="DN135" s="228">
        <v>-2.1</v>
      </c>
      <c r="DO135" s="228">
        <v>-2.1</v>
      </c>
      <c r="DP135" s="228">
        <v>1.1100000000000001</v>
      </c>
      <c r="DQ135" s="228">
        <v>1.1399999999999999</v>
      </c>
      <c r="DR135" s="228">
        <v>-0.03</v>
      </c>
      <c r="DS135" s="229">
        <v>-2.63E-2</v>
      </c>
      <c r="DT135" s="231">
        <v>14200</v>
      </c>
      <c r="DU135" s="231">
        <v>14000</v>
      </c>
      <c r="DV135" s="228">
        <v>0.94</v>
      </c>
      <c r="DW135" s="228">
        <v>0.76</v>
      </c>
      <c r="DX135" s="228">
        <v>0.18</v>
      </c>
      <c r="DY135" s="229">
        <v>0.23680000000000001</v>
      </c>
      <c r="DZ135" s="229">
        <v>8.5400000000000004E-2</v>
      </c>
      <c r="EA135" s="230">
        <v>301700</v>
      </c>
      <c r="EB135" s="229">
        <v>5.5999999999999999E-3</v>
      </c>
      <c r="EC135" s="229">
        <v>8.5400000000000004E-2</v>
      </c>
      <c r="ED135" s="228">
        <v>78.14</v>
      </c>
      <c r="EE135" s="229">
        <v>5.4999999999999997E-3</v>
      </c>
      <c r="EF135" s="230">
        <v>243289</v>
      </c>
      <c r="EG135" s="230">
        <v>527974</v>
      </c>
      <c r="EH135" s="229">
        <v>-0.53920000000000001</v>
      </c>
      <c r="EI135" s="229">
        <v>0.59689999999999999</v>
      </c>
      <c r="EJ135" s="231">
        <v>927140.52</v>
      </c>
      <c r="EK135" s="231">
        <v>822987.43</v>
      </c>
      <c r="EL135" s="231">
        <v>84565.33</v>
      </c>
      <c r="EM135" s="228">
        <v>0</v>
      </c>
      <c r="EN135" s="231">
        <v>1834693.28</v>
      </c>
      <c r="EO135" s="231">
        <v>4340741.7</v>
      </c>
      <c r="EP135" s="231">
        <v>-2506048.42</v>
      </c>
      <c r="EQ135" s="229">
        <v>-0.57730000000000004</v>
      </c>
      <c r="ER135" s="231">
        <v>603554</v>
      </c>
      <c r="ES135" s="231">
        <v>639034</v>
      </c>
      <c r="ET135" s="231">
        <v>565096</v>
      </c>
      <c r="EU135" s="231">
        <v>26231219</v>
      </c>
      <c r="EV135" s="231">
        <v>1807683</v>
      </c>
      <c r="EW135" s="231">
        <v>1809639</v>
      </c>
      <c r="EX135" s="231">
        <v>-1956</v>
      </c>
      <c r="EY135" s="229">
        <v>-1.1000000000000001E-3</v>
      </c>
      <c r="EZ135" s="229">
        <v>0.49990000000000001</v>
      </c>
      <c r="FA135" s="227" t="s">
        <v>568</v>
      </c>
      <c r="FB135" s="161">
        <f t="shared" si="2"/>
        <v>339250</v>
      </c>
    </row>
    <row r="136" spans="1:158" ht="17.25" hidden="1" thickBot="1" x14ac:dyDescent="0.3">
      <c r="A136" s="226">
        <v>45889</v>
      </c>
      <c r="B136" s="227" t="s">
        <v>170</v>
      </c>
      <c r="C136" s="227" t="s">
        <v>604</v>
      </c>
      <c r="D136" s="228">
        <v>525</v>
      </c>
      <c r="E136" s="231">
        <v>1229.7</v>
      </c>
      <c r="F136" s="231">
        <v>1234.5999999999999</v>
      </c>
      <c r="G136" s="228">
        <v>-4.9000000000000004</v>
      </c>
      <c r="H136" s="229">
        <v>-4.0000000000000001E-3</v>
      </c>
      <c r="I136" s="231">
        <v>1225.5999999999999</v>
      </c>
      <c r="J136" s="231">
        <v>1229.4000000000001</v>
      </c>
      <c r="K136" s="228">
        <v>-3.8</v>
      </c>
      <c r="L136" s="229">
        <v>-3.0999999999999999E-3</v>
      </c>
      <c r="M136" s="231">
        <v>1229.7</v>
      </c>
      <c r="N136" s="231">
        <v>1234.5999999999999</v>
      </c>
      <c r="O136" s="228">
        <v>-4.9000000000000004</v>
      </c>
      <c r="P136" s="229">
        <v>-4.0000000000000001E-3</v>
      </c>
      <c r="Q136" s="231">
        <v>1235.4000000000001</v>
      </c>
      <c r="R136" s="231">
        <v>1240.5</v>
      </c>
      <c r="S136" s="228">
        <v>-5.0999999999999996</v>
      </c>
      <c r="T136" s="229">
        <v>-4.1000000000000003E-3</v>
      </c>
      <c r="U136" s="231">
        <v>1240</v>
      </c>
      <c r="V136" s="231">
        <v>1245.8</v>
      </c>
      <c r="W136" s="228">
        <v>-5.8</v>
      </c>
      <c r="X136" s="229">
        <v>-4.7000000000000002E-3</v>
      </c>
      <c r="Y136" s="228">
        <v>4.0999999999999996</v>
      </c>
      <c r="Z136" s="228">
        <v>5.2</v>
      </c>
      <c r="AA136" s="228">
        <v>-1.1000000000000001</v>
      </c>
      <c r="AB136" s="229">
        <v>3.3E-3</v>
      </c>
      <c r="AC136" s="228">
        <v>4.0999999999999996</v>
      </c>
      <c r="AD136" s="228">
        <v>5.2</v>
      </c>
      <c r="AE136" s="228">
        <v>-1.1000000000000001</v>
      </c>
      <c r="AF136" s="229">
        <v>3.3E-3</v>
      </c>
      <c r="AG136" s="228">
        <v>9.8000000000000007</v>
      </c>
      <c r="AH136" s="228">
        <v>11.1</v>
      </c>
      <c r="AI136" s="228">
        <v>-1.3</v>
      </c>
      <c r="AJ136" s="229">
        <v>8.0000000000000002E-3</v>
      </c>
      <c r="AK136" s="228">
        <v>14.4</v>
      </c>
      <c r="AL136" s="228">
        <v>16.399999999999999</v>
      </c>
      <c r="AM136" s="228">
        <v>-2</v>
      </c>
      <c r="AN136" s="229">
        <v>1.17E-2</v>
      </c>
      <c r="AO136" s="231">
        <v>1227.6099999999999</v>
      </c>
      <c r="AP136" s="231">
        <v>1232.75</v>
      </c>
      <c r="AQ136" s="228">
        <v>0</v>
      </c>
      <c r="AR136" s="230">
        <v>2023350</v>
      </c>
      <c r="AS136" s="230">
        <v>2013375</v>
      </c>
      <c r="AT136" s="230">
        <v>9975</v>
      </c>
      <c r="AU136" s="229">
        <v>5.0000000000000001E-3</v>
      </c>
      <c r="AV136" s="230">
        <v>1353975</v>
      </c>
      <c r="AW136" s="230">
        <v>1632750</v>
      </c>
      <c r="AX136" s="230">
        <v>-278775</v>
      </c>
      <c r="AY136" s="229">
        <v>-0.17069999999999999</v>
      </c>
      <c r="AZ136" s="230">
        <v>661500</v>
      </c>
      <c r="BA136" s="230">
        <v>375375</v>
      </c>
      <c r="BB136" s="230">
        <v>286125</v>
      </c>
      <c r="BC136" s="229">
        <v>0.76219999999999999</v>
      </c>
      <c r="BD136" s="230">
        <v>7875</v>
      </c>
      <c r="BE136" s="230">
        <v>5250</v>
      </c>
      <c r="BF136" s="230">
        <v>2625</v>
      </c>
      <c r="BG136" s="229">
        <v>0.5</v>
      </c>
      <c r="BH136" s="230">
        <v>3647700</v>
      </c>
      <c r="BI136" s="230">
        <v>4741800</v>
      </c>
      <c r="BJ136" s="230">
        <v>-1094100</v>
      </c>
      <c r="BK136" s="229">
        <v>-0.23069999999999999</v>
      </c>
      <c r="BL136" s="230">
        <v>1475250</v>
      </c>
      <c r="BM136" s="230">
        <v>1479450</v>
      </c>
      <c r="BN136" s="230">
        <v>-4200</v>
      </c>
      <c r="BO136" s="229">
        <v>-2.8E-3</v>
      </c>
      <c r="BP136" s="230">
        <v>7146300</v>
      </c>
      <c r="BQ136" s="230">
        <v>8234625</v>
      </c>
      <c r="BR136" s="230">
        <v>-1088325</v>
      </c>
      <c r="BS136" s="229">
        <v>-0.13220000000000001</v>
      </c>
      <c r="BT136" s="230">
        <v>1822815</v>
      </c>
      <c r="BU136" s="230">
        <v>2098714</v>
      </c>
      <c r="BV136" s="230">
        <v>-275899</v>
      </c>
      <c r="BW136" s="229">
        <v>-0.13150000000000001</v>
      </c>
      <c r="BX136" s="230">
        <v>13316100</v>
      </c>
      <c r="BY136" s="230">
        <v>13037325</v>
      </c>
      <c r="BZ136" s="230">
        <v>278775</v>
      </c>
      <c r="CA136" s="229">
        <v>2.1399999999999999E-2</v>
      </c>
      <c r="CB136" s="230">
        <v>12130125</v>
      </c>
      <c r="CC136" s="230">
        <v>12243525</v>
      </c>
      <c r="CD136" s="230">
        <v>-113400</v>
      </c>
      <c r="CE136" s="229">
        <v>-9.2999999999999992E-3</v>
      </c>
      <c r="CF136" s="230">
        <v>1170225</v>
      </c>
      <c r="CG136" s="230">
        <v>780150</v>
      </c>
      <c r="CH136" s="230">
        <v>390075</v>
      </c>
      <c r="CI136" s="229">
        <v>0.5</v>
      </c>
      <c r="CJ136" s="230">
        <v>15750</v>
      </c>
      <c r="CK136" s="230">
        <v>13650</v>
      </c>
      <c r="CL136" s="230">
        <v>2100</v>
      </c>
      <c r="CM136" s="229">
        <v>0.15379999999999999</v>
      </c>
      <c r="CN136" s="230">
        <v>4524975</v>
      </c>
      <c r="CO136" s="230">
        <v>4394775</v>
      </c>
      <c r="CP136" s="230">
        <v>130200</v>
      </c>
      <c r="CQ136" s="229">
        <v>2.9600000000000001E-2</v>
      </c>
      <c r="CR136" s="230">
        <v>1650075</v>
      </c>
      <c r="CS136" s="230">
        <v>1573425</v>
      </c>
      <c r="CT136" s="230">
        <v>76650</v>
      </c>
      <c r="CU136" s="229">
        <v>4.87E-2</v>
      </c>
      <c r="CV136" s="230">
        <v>19491150</v>
      </c>
      <c r="CW136" s="230">
        <v>19005525</v>
      </c>
      <c r="CX136" s="230">
        <v>485625</v>
      </c>
      <c r="CY136" s="229">
        <v>2.5600000000000001E-2</v>
      </c>
      <c r="CZ136" s="228">
        <v>28.81</v>
      </c>
      <c r="DA136" s="228">
        <v>29.29</v>
      </c>
      <c r="DB136" s="228">
        <v>-0.48</v>
      </c>
      <c r="DC136" s="228">
        <v>-0.48</v>
      </c>
      <c r="DD136" s="228">
        <v>42.54</v>
      </c>
      <c r="DE136" s="228">
        <v>42.64</v>
      </c>
      <c r="DF136" s="228">
        <v>-13.73</v>
      </c>
      <c r="DG136" s="228">
        <v>-0.1</v>
      </c>
      <c r="DH136" s="228">
        <v>29.39</v>
      </c>
      <c r="DI136" s="228">
        <v>29.66</v>
      </c>
      <c r="DJ136" s="228">
        <v>-0.27</v>
      </c>
      <c r="DK136" s="228">
        <v>-0.27</v>
      </c>
      <c r="DL136" s="228">
        <v>27.37</v>
      </c>
      <c r="DM136" s="228">
        <v>28.11</v>
      </c>
      <c r="DN136" s="228">
        <v>-0.74</v>
      </c>
      <c r="DO136" s="228">
        <v>-0.74</v>
      </c>
      <c r="DP136" s="228">
        <v>0.36</v>
      </c>
      <c r="DQ136" s="228">
        <v>0.36</v>
      </c>
      <c r="DR136" s="228">
        <v>0</v>
      </c>
      <c r="DS136" s="229">
        <v>0</v>
      </c>
      <c r="DT136" s="231">
        <v>1300</v>
      </c>
      <c r="DU136" s="231">
        <v>1200</v>
      </c>
      <c r="DV136" s="228">
        <v>0.4</v>
      </c>
      <c r="DW136" s="228">
        <v>0.31</v>
      </c>
      <c r="DX136" s="228">
        <v>0.09</v>
      </c>
      <c r="DY136" s="229">
        <v>0.2903</v>
      </c>
      <c r="DZ136" s="229">
        <v>8.9099999999999999E-2</v>
      </c>
      <c r="EA136" s="230">
        <v>793800</v>
      </c>
      <c r="EB136" s="229">
        <v>4.5999999999999999E-3</v>
      </c>
      <c r="EC136" s="229">
        <v>8.9099999999999999E-2</v>
      </c>
      <c r="ED136" s="228">
        <v>5.14</v>
      </c>
      <c r="EE136" s="229">
        <v>4.1999999999999997E-3</v>
      </c>
      <c r="EF136" s="230">
        <v>1196899</v>
      </c>
      <c r="EG136" s="230">
        <v>1314207</v>
      </c>
      <c r="EH136" s="229">
        <v>-8.9300000000000004E-2</v>
      </c>
      <c r="EI136" s="229">
        <v>0.65659999999999996</v>
      </c>
      <c r="EJ136" s="231">
        <v>46543.86</v>
      </c>
      <c r="EK136" s="231">
        <v>18046.37</v>
      </c>
      <c r="EL136" s="231">
        <v>24873.73</v>
      </c>
      <c r="EM136" s="228">
        <v>0</v>
      </c>
      <c r="EN136" s="231">
        <v>89463.96</v>
      </c>
      <c r="EO136" s="231">
        <v>103558.83</v>
      </c>
      <c r="EP136" s="231">
        <v>-14094.87</v>
      </c>
      <c r="EQ136" s="229">
        <v>-0.1361</v>
      </c>
      <c r="ER136" s="231">
        <v>58699</v>
      </c>
      <c r="ES136" s="231">
        <v>20168</v>
      </c>
      <c r="ET136" s="231">
        <v>163816</v>
      </c>
      <c r="EU136" s="231">
        <v>148273828</v>
      </c>
      <c r="EV136" s="231">
        <v>242683</v>
      </c>
      <c r="EW136" s="231">
        <v>237430</v>
      </c>
      <c r="EX136" s="231">
        <v>5253</v>
      </c>
      <c r="EY136" s="229">
        <v>2.2100000000000002E-2</v>
      </c>
      <c r="EZ136" s="229">
        <v>0.13150000000000001</v>
      </c>
      <c r="FA136" s="227" t="s">
        <v>567</v>
      </c>
      <c r="FB136" s="161">
        <f t="shared" si="2"/>
        <v>1185975</v>
      </c>
    </row>
    <row r="137" spans="1:158" ht="17.25" hidden="1" thickBot="1" x14ac:dyDescent="0.3">
      <c r="A137" s="226">
        <v>45889</v>
      </c>
      <c r="B137" s="227" t="s">
        <v>215</v>
      </c>
      <c r="C137" s="227" t="s">
        <v>675</v>
      </c>
      <c r="D137" s="228">
        <v>175</v>
      </c>
      <c r="E137" s="231">
        <v>2782.8</v>
      </c>
      <c r="F137" s="231">
        <v>2752.6</v>
      </c>
      <c r="G137" s="228">
        <v>30.2</v>
      </c>
      <c r="H137" s="229">
        <v>1.0999999999999999E-2</v>
      </c>
      <c r="I137" s="231">
        <v>2772.9</v>
      </c>
      <c r="J137" s="231">
        <v>2747.4</v>
      </c>
      <c r="K137" s="228">
        <v>25.5</v>
      </c>
      <c r="L137" s="229">
        <v>9.2999999999999992E-3</v>
      </c>
      <c r="M137" s="231">
        <v>2782.8</v>
      </c>
      <c r="N137" s="231">
        <v>2752.6</v>
      </c>
      <c r="O137" s="228">
        <v>30.2</v>
      </c>
      <c r="P137" s="229">
        <v>1.0999999999999999E-2</v>
      </c>
      <c r="Q137" s="231">
        <v>2800.2</v>
      </c>
      <c r="R137" s="231">
        <v>2767.3</v>
      </c>
      <c r="S137" s="228">
        <v>32.9</v>
      </c>
      <c r="T137" s="229">
        <v>1.1900000000000001E-2</v>
      </c>
      <c r="U137" s="231">
        <v>2810.4</v>
      </c>
      <c r="V137" s="231">
        <v>2778</v>
      </c>
      <c r="W137" s="228">
        <v>32.4</v>
      </c>
      <c r="X137" s="229">
        <v>1.17E-2</v>
      </c>
      <c r="Y137" s="228">
        <v>9.9</v>
      </c>
      <c r="Z137" s="228">
        <v>5.2</v>
      </c>
      <c r="AA137" s="228">
        <v>4.7</v>
      </c>
      <c r="AB137" s="229">
        <v>3.5999999999999999E-3</v>
      </c>
      <c r="AC137" s="228">
        <v>9.9</v>
      </c>
      <c r="AD137" s="228">
        <v>5.2</v>
      </c>
      <c r="AE137" s="228">
        <v>4.7</v>
      </c>
      <c r="AF137" s="229">
        <v>3.5999999999999999E-3</v>
      </c>
      <c r="AG137" s="228">
        <v>27.3</v>
      </c>
      <c r="AH137" s="228">
        <v>19.899999999999999</v>
      </c>
      <c r="AI137" s="228">
        <v>7.4</v>
      </c>
      <c r="AJ137" s="229">
        <v>9.7999999999999997E-3</v>
      </c>
      <c r="AK137" s="228">
        <v>37.5</v>
      </c>
      <c r="AL137" s="228">
        <v>30.6</v>
      </c>
      <c r="AM137" s="228">
        <v>6.9</v>
      </c>
      <c r="AN137" s="229">
        <v>1.35E-2</v>
      </c>
      <c r="AO137" s="231">
        <v>2760.18</v>
      </c>
      <c r="AP137" s="231">
        <v>2773.63</v>
      </c>
      <c r="AQ137" s="228">
        <v>0</v>
      </c>
      <c r="AR137" s="230">
        <v>1347500</v>
      </c>
      <c r="AS137" s="230">
        <v>504525</v>
      </c>
      <c r="AT137" s="230">
        <v>842975</v>
      </c>
      <c r="AU137" s="229">
        <v>1.6708000000000001</v>
      </c>
      <c r="AV137" s="230">
        <v>1154825</v>
      </c>
      <c r="AW137" s="230">
        <v>437325</v>
      </c>
      <c r="AX137" s="230">
        <v>717500</v>
      </c>
      <c r="AY137" s="229">
        <v>1.6407</v>
      </c>
      <c r="AZ137" s="230">
        <v>186200</v>
      </c>
      <c r="BA137" s="230">
        <v>66150</v>
      </c>
      <c r="BB137" s="230">
        <v>120050</v>
      </c>
      <c r="BC137" s="229">
        <v>1.8148</v>
      </c>
      <c r="BD137" s="230">
        <v>6475</v>
      </c>
      <c r="BE137" s="230">
        <v>1050</v>
      </c>
      <c r="BF137" s="230">
        <v>5425</v>
      </c>
      <c r="BG137" s="229">
        <v>5.1666999999999996</v>
      </c>
      <c r="BH137" s="230">
        <v>4224325</v>
      </c>
      <c r="BI137" s="230">
        <v>2754150</v>
      </c>
      <c r="BJ137" s="230">
        <v>1470175</v>
      </c>
      <c r="BK137" s="229">
        <v>0.53380000000000005</v>
      </c>
      <c r="BL137" s="230">
        <v>1320025</v>
      </c>
      <c r="BM137" s="230">
        <v>499100</v>
      </c>
      <c r="BN137" s="230">
        <v>820925</v>
      </c>
      <c r="BO137" s="229">
        <v>1.6448</v>
      </c>
      <c r="BP137" s="230">
        <v>6891850</v>
      </c>
      <c r="BQ137" s="230">
        <v>3757775</v>
      </c>
      <c r="BR137" s="230">
        <v>3134075</v>
      </c>
      <c r="BS137" s="229">
        <v>0.83399999999999996</v>
      </c>
      <c r="BT137" s="230">
        <v>1284586</v>
      </c>
      <c r="BU137" s="230">
        <v>845209</v>
      </c>
      <c r="BV137" s="230">
        <v>439377</v>
      </c>
      <c r="BW137" s="229">
        <v>0.51980000000000004</v>
      </c>
      <c r="BX137" s="230">
        <v>3454325</v>
      </c>
      <c r="BY137" s="230">
        <v>3270050</v>
      </c>
      <c r="BZ137" s="230">
        <v>184275</v>
      </c>
      <c r="CA137" s="229">
        <v>5.6399999999999999E-2</v>
      </c>
      <c r="CB137" s="230">
        <v>3182550</v>
      </c>
      <c r="CC137" s="230">
        <v>3050425</v>
      </c>
      <c r="CD137" s="230">
        <v>132125</v>
      </c>
      <c r="CE137" s="229">
        <v>4.3299999999999998E-2</v>
      </c>
      <c r="CF137" s="230">
        <v>249550</v>
      </c>
      <c r="CG137" s="230">
        <v>196525</v>
      </c>
      <c r="CH137" s="230">
        <v>53025</v>
      </c>
      <c r="CI137" s="229">
        <v>0.26979999999999998</v>
      </c>
      <c r="CJ137" s="230">
        <v>22225</v>
      </c>
      <c r="CK137" s="230">
        <v>23100</v>
      </c>
      <c r="CL137" s="228">
        <v>-875</v>
      </c>
      <c r="CM137" s="229">
        <v>-3.7900000000000003E-2</v>
      </c>
      <c r="CN137" s="230">
        <v>2069375</v>
      </c>
      <c r="CO137" s="230">
        <v>2204825</v>
      </c>
      <c r="CP137" s="230">
        <v>-135450</v>
      </c>
      <c r="CQ137" s="229">
        <v>-6.1400000000000003E-2</v>
      </c>
      <c r="CR137" s="230">
        <v>952175</v>
      </c>
      <c r="CS137" s="230">
        <v>936775</v>
      </c>
      <c r="CT137" s="230">
        <v>15400</v>
      </c>
      <c r="CU137" s="229">
        <v>1.6400000000000001E-2</v>
      </c>
      <c r="CV137" s="230">
        <v>6475875</v>
      </c>
      <c r="CW137" s="230">
        <v>6411650</v>
      </c>
      <c r="CX137" s="230">
        <v>64225</v>
      </c>
      <c r="CY137" s="229">
        <v>0.01</v>
      </c>
      <c r="CZ137" s="228">
        <v>40.74</v>
      </c>
      <c r="DA137" s="228">
        <v>42.41</v>
      </c>
      <c r="DB137" s="228">
        <v>-1.67</v>
      </c>
      <c r="DC137" s="228">
        <v>-1.67</v>
      </c>
      <c r="DD137" s="228">
        <v>64.03</v>
      </c>
      <c r="DE137" s="228">
        <v>64.17</v>
      </c>
      <c r="DF137" s="228">
        <v>-23.29</v>
      </c>
      <c r="DG137" s="228">
        <v>-0.14000000000000001</v>
      </c>
      <c r="DH137" s="228">
        <v>40.29</v>
      </c>
      <c r="DI137" s="228">
        <v>43.47</v>
      </c>
      <c r="DJ137" s="228">
        <v>-3.18</v>
      </c>
      <c r="DK137" s="228">
        <v>-3.18</v>
      </c>
      <c r="DL137" s="228">
        <v>42.18</v>
      </c>
      <c r="DM137" s="228">
        <v>36.6</v>
      </c>
      <c r="DN137" s="228">
        <v>5.58</v>
      </c>
      <c r="DO137" s="228">
        <v>5.58</v>
      </c>
      <c r="DP137" s="228">
        <v>0.46</v>
      </c>
      <c r="DQ137" s="228">
        <v>0.42</v>
      </c>
      <c r="DR137" s="228">
        <v>0.04</v>
      </c>
      <c r="DS137" s="229">
        <v>9.5200000000000007E-2</v>
      </c>
      <c r="DT137" s="231">
        <v>3000</v>
      </c>
      <c r="DU137" s="231">
        <v>2700</v>
      </c>
      <c r="DV137" s="228">
        <v>0.31</v>
      </c>
      <c r="DW137" s="228">
        <v>0.18</v>
      </c>
      <c r="DX137" s="228">
        <v>0.13</v>
      </c>
      <c r="DY137" s="229">
        <v>0.72219999999999995</v>
      </c>
      <c r="DZ137" s="229">
        <v>7.8700000000000006E-2</v>
      </c>
      <c r="EA137" s="230">
        <v>219625</v>
      </c>
      <c r="EB137" s="229">
        <v>6.3E-3</v>
      </c>
      <c r="EC137" s="229">
        <v>7.8700000000000006E-2</v>
      </c>
      <c r="ED137" s="228">
        <v>13.45</v>
      </c>
      <c r="EE137" s="229">
        <v>4.8999999999999998E-3</v>
      </c>
      <c r="EF137" s="230">
        <v>263469</v>
      </c>
      <c r="EG137" s="230">
        <v>150758</v>
      </c>
      <c r="EH137" s="229">
        <v>0.74760000000000004</v>
      </c>
      <c r="EI137" s="229">
        <v>0.2051</v>
      </c>
      <c r="EJ137" s="231">
        <v>124089.07</v>
      </c>
      <c r="EK137" s="231">
        <v>34381.919999999998</v>
      </c>
      <c r="EL137" s="231">
        <v>37219.93</v>
      </c>
      <c r="EM137" s="228">
        <v>0</v>
      </c>
      <c r="EN137" s="231">
        <v>195690.92</v>
      </c>
      <c r="EO137" s="231">
        <v>110097.25</v>
      </c>
      <c r="EP137" s="231">
        <v>85593.67</v>
      </c>
      <c r="EQ137" s="229">
        <v>0.77739999999999998</v>
      </c>
      <c r="ER137" s="231">
        <v>61315</v>
      </c>
      <c r="ES137" s="231">
        <v>26194</v>
      </c>
      <c r="ET137" s="231">
        <v>96177</v>
      </c>
      <c r="EU137" s="231">
        <v>15152299</v>
      </c>
      <c r="EV137" s="231">
        <v>183686</v>
      </c>
      <c r="EW137" s="231">
        <v>181203</v>
      </c>
      <c r="EX137" s="231">
        <v>2483</v>
      </c>
      <c r="EY137" s="229">
        <v>1.37E-2</v>
      </c>
      <c r="EZ137" s="229">
        <v>0.4274</v>
      </c>
      <c r="FA137" s="227" t="s">
        <v>555</v>
      </c>
      <c r="FB137" s="161">
        <f t="shared" si="2"/>
        <v>271775</v>
      </c>
    </row>
    <row r="138" spans="1:158" ht="17.25" hidden="1" thickBot="1" x14ac:dyDescent="0.3">
      <c r="A138" s="226">
        <v>45889</v>
      </c>
      <c r="B138" s="227" t="s">
        <v>175</v>
      </c>
      <c r="C138" s="227" t="s">
        <v>517</v>
      </c>
      <c r="D138" s="228">
        <v>125</v>
      </c>
      <c r="E138" s="231">
        <v>8248</v>
      </c>
      <c r="F138" s="231">
        <v>8325</v>
      </c>
      <c r="G138" s="228">
        <v>-77</v>
      </c>
      <c r="H138" s="229">
        <v>-9.1999999999999998E-3</v>
      </c>
      <c r="I138" s="231">
        <v>8224</v>
      </c>
      <c r="J138" s="231">
        <v>8295</v>
      </c>
      <c r="K138" s="228">
        <v>-71</v>
      </c>
      <c r="L138" s="229">
        <v>-8.6E-3</v>
      </c>
      <c r="M138" s="231">
        <v>8248</v>
      </c>
      <c r="N138" s="231">
        <v>8325</v>
      </c>
      <c r="O138" s="228">
        <v>-77</v>
      </c>
      <c r="P138" s="229">
        <v>-9.1999999999999998E-3</v>
      </c>
      <c r="Q138" s="231">
        <v>8290.5</v>
      </c>
      <c r="R138" s="231">
        <v>8369.5</v>
      </c>
      <c r="S138" s="228">
        <v>-79</v>
      </c>
      <c r="T138" s="229">
        <v>-9.4000000000000004E-3</v>
      </c>
      <c r="U138" s="231">
        <v>8331</v>
      </c>
      <c r="V138" s="231">
        <v>8410</v>
      </c>
      <c r="W138" s="228">
        <v>-79</v>
      </c>
      <c r="X138" s="229">
        <v>-9.4000000000000004E-3</v>
      </c>
      <c r="Y138" s="228">
        <v>24</v>
      </c>
      <c r="Z138" s="228">
        <v>30</v>
      </c>
      <c r="AA138" s="228">
        <v>-6</v>
      </c>
      <c r="AB138" s="229">
        <v>2.8999999999999998E-3</v>
      </c>
      <c r="AC138" s="228">
        <v>24</v>
      </c>
      <c r="AD138" s="228">
        <v>30</v>
      </c>
      <c r="AE138" s="228">
        <v>-6</v>
      </c>
      <c r="AF138" s="229">
        <v>2.8999999999999998E-3</v>
      </c>
      <c r="AG138" s="228">
        <v>66.5</v>
      </c>
      <c r="AH138" s="228">
        <v>74.5</v>
      </c>
      <c r="AI138" s="228">
        <v>-8</v>
      </c>
      <c r="AJ138" s="229">
        <v>8.0999999999999996E-3</v>
      </c>
      <c r="AK138" s="228">
        <v>107</v>
      </c>
      <c r="AL138" s="228">
        <v>115</v>
      </c>
      <c r="AM138" s="228">
        <v>-8</v>
      </c>
      <c r="AN138" s="229">
        <v>1.2999999999999999E-2</v>
      </c>
      <c r="AO138" s="231">
        <v>8246.39</v>
      </c>
      <c r="AP138" s="231">
        <v>8287.51</v>
      </c>
      <c r="AQ138" s="228">
        <v>0</v>
      </c>
      <c r="AR138" s="230">
        <v>295625</v>
      </c>
      <c r="AS138" s="230">
        <v>490000</v>
      </c>
      <c r="AT138" s="230">
        <v>-194375</v>
      </c>
      <c r="AU138" s="229">
        <v>-0.3967</v>
      </c>
      <c r="AV138" s="230">
        <v>241625</v>
      </c>
      <c r="AW138" s="230">
        <v>417000</v>
      </c>
      <c r="AX138" s="230">
        <v>-175375</v>
      </c>
      <c r="AY138" s="229">
        <v>-0.42059999999999997</v>
      </c>
      <c r="AZ138" s="230">
        <v>49250</v>
      </c>
      <c r="BA138" s="230">
        <v>65750</v>
      </c>
      <c r="BB138" s="230">
        <v>-16500</v>
      </c>
      <c r="BC138" s="229">
        <v>-0.251</v>
      </c>
      <c r="BD138" s="230">
        <v>4750</v>
      </c>
      <c r="BE138" s="230">
        <v>7250</v>
      </c>
      <c r="BF138" s="230">
        <v>-2500</v>
      </c>
      <c r="BG138" s="229">
        <v>-0.3448</v>
      </c>
      <c r="BH138" s="230">
        <v>2184375</v>
      </c>
      <c r="BI138" s="230">
        <v>4097000</v>
      </c>
      <c r="BJ138" s="230">
        <v>-1912625</v>
      </c>
      <c r="BK138" s="229">
        <v>-0.46679999999999999</v>
      </c>
      <c r="BL138" s="230">
        <v>1682375</v>
      </c>
      <c r="BM138" s="230">
        <v>3388750</v>
      </c>
      <c r="BN138" s="230">
        <v>-1706375</v>
      </c>
      <c r="BO138" s="229">
        <v>-0.50349999999999995</v>
      </c>
      <c r="BP138" s="230">
        <v>4162375</v>
      </c>
      <c r="BQ138" s="230">
        <v>7975750</v>
      </c>
      <c r="BR138" s="230">
        <v>-3813375</v>
      </c>
      <c r="BS138" s="229">
        <v>-0.47810000000000002</v>
      </c>
      <c r="BT138" s="230">
        <v>238742</v>
      </c>
      <c r="BU138" s="230">
        <v>428977</v>
      </c>
      <c r="BV138" s="230">
        <v>-190235</v>
      </c>
      <c r="BW138" s="229">
        <v>-0.44350000000000001</v>
      </c>
      <c r="BX138" s="230">
        <v>1878500</v>
      </c>
      <c r="BY138" s="230">
        <v>1864250</v>
      </c>
      <c r="BZ138" s="230">
        <v>14250</v>
      </c>
      <c r="CA138" s="229">
        <v>7.6E-3</v>
      </c>
      <c r="CB138" s="230">
        <v>1744375</v>
      </c>
      <c r="CC138" s="230">
        <v>1751875</v>
      </c>
      <c r="CD138" s="230">
        <v>-7500</v>
      </c>
      <c r="CE138" s="229">
        <v>-4.3E-3</v>
      </c>
      <c r="CF138" s="230">
        <v>116500</v>
      </c>
      <c r="CG138" s="230">
        <v>95500</v>
      </c>
      <c r="CH138" s="230">
        <v>21000</v>
      </c>
      <c r="CI138" s="229">
        <v>0.21990000000000001</v>
      </c>
      <c r="CJ138" s="230">
        <v>17625</v>
      </c>
      <c r="CK138" s="230">
        <v>16875</v>
      </c>
      <c r="CL138" s="228">
        <v>750</v>
      </c>
      <c r="CM138" s="229">
        <v>4.4400000000000002E-2</v>
      </c>
      <c r="CN138" s="230">
        <v>2119250</v>
      </c>
      <c r="CO138" s="230">
        <v>2095625</v>
      </c>
      <c r="CP138" s="230">
        <v>23625</v>
      </c>
      <c r="CQ138" s="229">
        <v>1.1299999999999999E-2</v>
      </c>
      <c r="CR138" s="230">
        <v>1399250</v>
      </c>
      <c r="CS138" s="230">
        <v>1480500</v>
      </c>
      <c r="CT138" s="230">
        <v>-81250</v>
      </c>
      <c r="CU138" s="229">
        <v>-5.4899999999999997E-2</v>
      </c>
      <c r="CV138" s="230">
        <v>5397000</v>
      </c>
      <c r="CW138" s="230">
        <v>5440375</v>
      </c>
      <c r="CX138" s="230">
        <v>-43375</v>
      </c>
      <c r="CY138" s="229">
        <v>-8.0000000000000002E-3</v>
      </c>
      <c r="CZ138" s="228">
        <v>33.450000000000003</v>
      </c>
      <c r="DA138" s="228">
        <v>32.450000000000003</v>
      </c>
      <c r="DB138" s="228">
        <v>1</v>
      </c>
      <c r="DC138" s="228">
        <v>1</v>
      </c>
      <c r="DD138" s="228">
        <v>48.34</v>
      </c>
      <c r="DE138" s="228">
        <v>48.44</v>
      </c>
      <c r="DF138" s="228">
        <v>-14.89</v>
      </c>
      <c r="DG138" s="228">
        <v>-0.1</v>
      </c>
      <c r="DH138" s="228">
        <v>32.75</v>
      </c>
      <c r="DI138" s="228">
        <v>30.55</v>
      </c>
      <c r="DJ138" s="228">
        <v>2.2000000000000002</v>
      </c>
      <c r="DK138" s="228">
        <v>2.2000000000000002</v>
      </c>
      <c r="DL138" s="228">
        <v>34.369999999999997</v>
      </c>
      <c r="DM138" s="228">
        <v>34.74</v>
      </c>
      <c r="DN138" s="228">
        <v>-0.37</v>
      </c>
      <c r="DO138" s="228">
        <v>-0.37</v>
      </c>
      <c r="DP138" s="228">
        <v>0.66</v>
      </c>
      <c r="DQ138" s="228">
        <v>0.71</v>
      </c>
      <c r="DR138" s="228">
        <v>-0.05</v>
      </c>
      <c r="DS138" s="229">
        <v>-7.0400000000000004E-2</v>
      </c>
      <c r="DT138" s="231">
        <v>9000</v>
      </c>
      <c r="DU138" s="231">
        <v>8000</v>
      </c>
      <c r="DV138" s="228">
        <v>0.77</v>
      </c>
      <c r="DW138" s="228">
        <v>0.83</v>
      </c>
      <c r="DX138" s="228">
        <v>-0.06</v>
      </c>
      <c r="DY138" s="229">
        <v>-7.2300000000000003E-2</v>
      </c>
      <c r="DZ138" s="229">
        <v>7.1400000000000005E-2</v>
      </c>
      <c r="EA138" s="230">
        <v>112375</v>
      </c>
      <c r="EB138" s="229">
        <v>5.1999999999999998E-3</v>
      </c>
      <c r="EC138" s="229">
        <v>7.1400000000000005E-2</v>
      </c>
      <c r="ED138" s="228">
        <v>41.12</v>
      </c>
      <c r="EE138" s="229">
        <v>5.0000000000000001E-3</v>
      </c>
      <c r="EF138" s="230">
        <v>77252</v>
      </c>
      <c r="EG138" s="230">
        <v>121328</v>
      </c>
      <c r="EH138" s="229">
        <v>-0.36330000000000001</v>
      </c>
      <c r="EI138" s="229">
        <v>0.3236</v>
      </c>
      <c r="EJ138" s="231">
        <v>188789.5</v>
      </c>
      <c r="EK138" s="231">
        <v>135776.5</v>
      </c>
      <c r="EL138" s="231">
        <v>24402.84</v>
      </c>
      <c r="EM138" s="228">
        <v>0</v>
      </c>
      <c r="EN138" s="231">
        <v>348968.84</v>
      </c>
      <c r="EO138" s="231">
        <v>667809.34</v>
      </c>
      <c r="EP138" s="231">
        <v>-318840.5</v>
      </c>
      <c r="EQ138" s="229">
        <v>-0.47739999999999999</v>
      </c>
      <c r="ER138" s="231">
        <v>181317</v>
      </c>
      <c r="ES138" s="231">
        <v>108222</v>
      </c>
      <c r="ET138" s="231">
        <v>155003</v>
      </c>
      <c r="EU138" s="231">
        <v>10180563</v>
      </c>
      <c r="EV138" s="231">
        <v>444542</v>
      </c>
      <c r="EW138" s="231">
        <v>449719</v>
      </c>
      <c r="EX138" s="231">
        <v>-5177</v>
      </c>
      <c r="EY138" s="229">
        <v>-1.15E-2</v>
      </c>
      <c r="EZ138" s="229">
        <v>0.53010000000000002</v>
      </c>
      <c r="FA138" s="227" t="s">
        <v>567</v>
      </c>
      <c r="FB138" s="161">
        <f t="shared" si="2"/>
        <v>134125</v>
      </c>
    </row>
    <row r="139" spans="1:158" ht="17.25" hidden="1" thickBot="1" x14ac:dyDescent="0.3">
      <c r="A139" s="226">
        <v>45889</v>
      </c>
      <c r="B139" s="227" t="s">
        <v>175</v>
      </c>
      <c r="C139" s="227" t="s">
        <v>257</v>
      </c>
      <c r="D139" s="228">
        <v>800</v>
      </c>
      <c r="E139" s="231">
        <v>1645.1</v>
      </c>
      <c r="F139" s="231">
        <v>1639.4</v>
      </c>
      <c r="G139" s="228">
        <v>5.7</v>
      </c>
      <c r="H139" s="229">
        <v>3.5000000000000001E-3</v>
      </c>
      <c r="I139" s="231">
        <v>1643.6</v>
      </c>
      <c r="J139" s="231">
        <v>1637.3</v>
      </c>
      <c r="K139" s="228">
        <v>6.3</v>
      </c>
      <c r="L139" s="229">
        <v>3.8E-3</v>
      </c>
      <c r="M139" s="231">
        <v>1645.1</v>
      </c>
      <c r="N139" s="231">
        <v>1639.4</v>
      </c>
      <c r="O139" s="228">
        <v>5.7</v>
      </c>
      <c r="P139" s="229">
        <v>3.5000000000000001E-3</v>
      </c>
      <c r="Q139" s="231">
        <v>1655.8</v>
      </c>
      <c r="R139" s="231">
        <v>1648.7</v>
      </c>
      <c r="S139" s="228">
        <v>7.1</v>
      </c>
      <c r="T139" s="229">
        <v>4.3E-3</v>
      </c>
      <c r="U139" s="231">
        <v>1657.5</v>
      </c>
      <c r="V139" s="231">
        <v>1639.4</v>
      </c>
      <c r="W139" s="228">
        <v>18.100000000000001</v>
      </c>
      <c r="X139" s="229">
        <v>1.0999999999999999E-2</v>
      </c>
      <c r="Y139" s="228">
        <v>1.5</v>
      </c>
      <c r="Z139" s="228">
        <v>2.1</v>
      </c>
      <c r="AA139" s="228">
        <v>-0.6</v>
      </c>
      <c r="AB139" s="229">
        <v>8.9999999999999998E-4</v>
      </c>
      <c r="AC139" s="228">
        <v>1.5</v>
      </c>
      <c r="AD139" s="228">
        <v>2.1</v>
      </c>
      <c r="AE139" s="228">
        <v>-0.6</v>
      </c>
      <c r="AF139" s="229">
        <v>8.9999999999999998E-4</v>
      </c>
      <c r="AG139" s="228">
        <v>12.2</v>
      </c>
      <c r="AH139" s="228">
        <v>11.4</v>
      </c>
      <c r="AI139" s="228">
        <v>0.8</v>
      </c>
      <c r="AJ139" s="229">
        <v>7.4000000000000003E-3</v>
      </c>
      <c r="AK139" s="228">
        <v>13.9</v>
      </c>
      <c r="AL139" s="228">
        <v>2.1</v>
      </c>
      <c r="AM139" s="228">
        <v>11.8</v>
      </c>
      <c r="AN139" s="229">
        <v>8.5000000000000006E-3</v>
      </c>
      <c r="AO139" s="231">
        <v>1643.23</v>
      </c>
      <c r="AP139" s="231">
        <v>1651.25</v>
      </c>
      <c r="AQ139" s="228">
        <v>0</v>
      </c>
      <c r="AR139" s="230">
        <v>428000</v>
      </c>
      <c r="AS139" s="230">
        <v>1089600</v>
      </c>
      <c r="AT139" s="230">
        <v>-661600</v>
      </c>
      <c r="AU139" s="229">
        <v>-0.60719999999999996</v>
      </c>
      <c r="AV139" s="230">
        <v>362400</v>
      </c>
      <c r="AW139" s="230">
        <v>994400</v>
      </c>
      <c r="AX139" s="230">
        <v>-632000</v>
      </c>
      <c r="AY139" s="229">
        <v>-0.63560000000000005</v>
      </c>
      <c r="AZ139" s="230">
        <v>62400</v>
      </c>
      <c r="BA139" s="230">
        <v>90400</v>
      </c>
      <c r="BB139" s="230">
        <v>-28000</v>
      </c>
      <c r="BC139" s="229">
        <v>-0.30969999999999998</v>
      </c>
      <c r="BD139" s="230">
        <v>3200</v>
      </c>
      <c r="BE139" s="230">
        <v>4800</v>
      </c>
      <c r="BF139" s="230">
        <v>-1600</v>
      </c>
      <c r="BG139" s="229">
        <v>-0.33329999999999999</v>
      </c>
      <c r="BH139" s="230">
        <v>1092000</v>
      </c>
      <c r="BI139" s="230">
        <v>2461600</v>
      </c>
      <c r="BJ139" s="230">
        <v>-1369600</v>
      </c>
      <c r="BK139" s="229">
        <v>-0.55640000000000001</v>
      </c>
      <c r="BL139" s="230">
        <v>604800</v>
      </c>
      <c r="BM139" s="230">
        <v>2840000</v>
      </c>
      <c r="BN139" s="230">
        <v>-2235200</v>
      </c>
      <c r="BO139" s="229">
        <v>-0.78700000000000003</v>
      </c>
      <c r="BP139" s="230">
        <v>2124800</v>
      </c>
      <c r="BQ139" s="230">
        <v>6391200</v>
      </c>
      <c r="BR139" s="230">
        <v>-4266400</v>
      </c>
      <c r="BS139" s="229">
        <v>-0.66749999999999998</v>
      </c>
      <c r="BT139" s="230">
        <v>132415</v>
      </c>
      <c r="BU139" s="230">
        <v>375700</v>
      </c>
      <c r="BV139" s="230">
        <v>-243285</v>
      </c>
      <c r="BW139" s="229">
        <v>-0.64759999999999995</v>
      </c>
      <c r="BX139" s="230">
        <v>5216800</v>
      </c>
      <c r="BY139" s="230">
        <v>5223200</v>
      </c>
      <c r="BZ139" s="230">
        <v>-6400</v>
      </c>
      <c r="CA139" s="229">
        <v>-1.1999999999999999E-3</v>
      </c>
      <c r="CB139" s="230">
        <v>5016800</v>
      </c>
      <c r="CC139" s="230">
        <v>5031200</v>
      </c>
      <c r="CD139" s="230">
        <v>-14400</v>
      </c>
      <c r="CE139" s="229">
        <v>-2.8999999999999998E-3</v>
      </c>
      <c r="CF139" s="230">
        <v>184000</v>
      </c>
      <c r="CG139" s="230">
        <v>172800</v>
      </c>
      <c r="CH139" s="230">
        <v>11200</v>
      </c>
      <c r="CI139" s="229">
        <v>6.4799999999999996E-2</v>
      </c>
      <c r="CJ139" s="230">
        <v>16000</v>
      </c>
      <c r="CK139" s="230">
        <v>19200</v>
      </c>
      <c r="CL139" s="230">
        <v>-3200</v>
      </c>
      <c r="CM139" s="229">
        <v>-0.16669999999999999</v>
      </c>
      <c r="CN139" s="230">
        <v>1512000</v>
      </c>
      <c r="CO139" s="230">
        <v>1564000</v>
      </c>
      <c r="CP139" s="230">
        <v>-52000</v>
      </c>
      <c r="CQ139" s="229">
        <v>-3.32E-2</v>
      </c>
      <c r="CR139" s="230">
        <v>1371200</v>
      </c>
      <c r="CS139" s="230">
        <v>1376000</v>
      </c>
      <c r="CT139" s="230">
        <v>-4800</v>
      </c>
      <c r="CU139" s="229">
        <v>-3.5000000000000001E-3</v>
      </c>
      <c r="CV139" s="230">
        <v>8100000</v>
      </c>
      <c r="CW139" s="230">
        <v>8163200</v>
      </c>
      <c r="CX139" s="230">
        <v>-63200</v>
      </c>
      <c r="CY139" s="229">
        <v>-7.7000000000000002E-3</v>
      </c>
      <c r="CZ139" s="228">
        <v>24.44</v>
      </c>
      <c r="DA139" s="228">
        <v>24.74</v>
      </c>
      <c r="DB139" s="228">
        <v>-0.3</v>
      </c>
      <c r="DC139" s="228">
        <v>-0.3</v>
      </c>
      <c r="DD139" s="228">
        <v>31.6</v>
      </c>
      <c r="DE139" s="228">
        <v>31.68</v>
      </c>
      <c r="DF139" s="228">
        <v>-7.16</v>
      </c>
      <c r="DG139" s="228">
        <v>-0.08</v>
      </c>
      <c r="DH139" s="228">
        <v>23.57</v>
      </c>
      <c r="DI139" s="228">
        <v>23.62</v>
      </c>
      <c r="DJ139" s="228">
        <v>-0.05</v>
      </c>
      <c r="DK139" s="228">
        <v>-0.05</v>
      </c>
      <c r="DL139" s="228">
        <v>26</v>
      </c>
      <c r="DM139" s="228">
        <v>25.72</v>
      </c>
      <c r="DN139" s="228">
        <v>0.28000000000000003</v>
      </c>
      <c r="DO139" s="228">
        <v>0.28000000000000003</v>
      </c>
      <c r="DP139" s="228">
        <v>0.91</v>
      </c>
      <c r="DQ139" s="228">
        <v>0.88</v>
      </c>
      <c r="DR139" s="228">
        <v>0.03</v>
      </c>
      <c r="DS139" s="229">
        <v>3.4099999999999998E-2</v>
      </c>
      <c r="DT139" s="231">
        <v>1660</v>
      </c>
      <c r="DU139" s="231">
        <v>1640</v>
      </c>
      <c r="DV139" s="228">
        <v>0.55000000000000004</v>
      </c>
      <c r="DW139" s="228">
        <v>1.1499999999999999</v>
      </c>
      <c r="DX139" s="228">
        <v>-0.6</v>
      </c>
      <c r="DY139" s="229">
        <v>-0.52170000000000005</v>
      </c>
      <c r="DZ139" s="229">
        <v>3.8300000000000001E-2</v>
      </c>
      <c r="EA139" s="230">
        <v>192000</v>
      </c>
      <c r="EB139" s="229">
        <v>6.4999999999999997E-3</v>
      </c>
      <c r="EC139" s="229">
        <v>3.8300000000000001E-2</v>
      </c>
      <c r="ED139" s="228">
        <v>8.02</v>
      </c>
      <c r="EE139" s="229">
        <v>4.8999999999999998E-3</v>
      </c>
      <c r="EF139" s="230">
        <v>67051</v>
      </c>
      <c r="EG139" s="230">
        <v>197207</v>
      </c>
      <c r="EH139" s="229">
        <v>-0.66</v>
      </c>
      <c r="EI139" s="229">
        <v>0.50639999999999996</v>
      </c>
      <c r="EJ139" s="231">
        <v>18498.009999999998</v>
      </c>
      <c r="EK139" s="231">
        <v>9655.9699999999993</v>
      </c>
      <c r="EL139" s="231">
        <v>7038.31</v>
      </c>
      <c r="EM139" s="228">
        <v>0</v>
      </c>
      <c r="EN139" s="231">
        <v>35192.29</v>
      </c>
      <c r="EO139" s="231">
        <v>104687.21</v>
      </c>
      <c r="EP139" s="231">
        <v>-69494.92</v>
      </c>
      <c r="EQ139" s="229">
        <v>-0.66379999999999995</v>
      </c>
      <c r="ER139" s="231">
        <v>24867</v>
      </c>
      <c r="ES139" s="231">
        <v>21207</v>
      </c>
      <c r="ET139" s="231">
        <v>85843</v>
      </c>
      <c r="EU139" s="231">
        <v>67819703</v>
      </c>
      <c r="EV139" s="231">
        <v>131918</v>
      </c>
      <c r="EW139" s="231">
        <v>132611</v>
      </c>
      <c r="EX139" s="228">
        <v>-693</v>
      </c>
      <c r="EY139" s="229">
        <v>-5.1999999999999998E-3</v>
      </c>
      <c r="EZ139" s="229">
        <v>0.11940000000000001</v>
      </c>
      <c r="FA139" s="227" t="s">
        <v>556</v>
      </c>
      <c r="FB139" s="161">
        <f>BX139-CB139</f>
        <v>200000</v>
      </c>
    </row>
    <row r="140" spans="1:158" ht="17.25" hidden="1" thickBot="1" x14ac:dyDescent="0.3">
      <c r="A140" s="226">
        <v>45889</v>
      </c>
      <c r="B140" s="227" t="s">
        <v>181</v>
      </c>
      <c r="C140" s="227" t="s">
        <v>563</v>
      </c>
      <c r="D140" s="228">
        <v>140</v>
      </c>
      <c r="E140" s="231">
        <v>13023.85</v>
      </c>
      <c r="F140" s="231">
        <v>12958.3</v>
      </c>
      <c r="G140" s="228">
        <v>65.55</v>
      </c>
      <c r="H140" s="229">
        <v>5.1000000000000004E-3</v>
      </c>
      <c r="I140" s="231">
        <v>12999.8</v>
      </c>
      <c r="J140" s="231">
        <v>12908.3</v>
      </c>
      <c r="K140" s="228">
        <v>91.5</v>
      </c>
      <c r="L140" s="229">
        <v>7.1000000000000004E-3</v>
      </c>
      <c r="M140" s="231">
        <v>13023.85</v>
      </c>
      <c r="N140" s="231">
        <v>12958.3</v>
      </c>
      <c r="O140" s="228">
        <v>65.55</v>
      </c>
      <c r="P140" s="229">
        <v>5.1000000000000004E-3</v>
      </c>
      <c r="Q140" s="231">
        <v>13087.05</v>
      </c>
      <c r="R140" s="231">
        <v>13015.1</v>
      </c>
      <c r="S140" s="228">
        <v>71.95</v>
      </c>
      <c r="T140" s="229">
        <v>5.4999999999999997E-3</v>
      </c>
      <c r="U140" s="231">
        <v>13128.95</v>
      </c>
      <c r="V140" s="231">
        <v>13057.55</v>
      </c>
      <c r="W140" s="228">
        <v>71.400000000000006</v>
      </c>
      <c r="X140" s="229">
        <v>5.4999999999999997E-3</v>
      </c>
      <c r="Y140" s="228">
        <v>24.05</v>
      </c>
      <c r="Z140" s="228">
        <v>50</v>
      </c>
      <c r="AA140" s="228">
        <v>-25.95</v>
      </c>
      <c r="AB140" s="229">
        <v>1.9E-3</v>
      </c>
      <c r="AC140" s="228">
        <v>24.05</v>
      </c>
      <c r="AD140" s="228">
        <v>50</v>
      </c>
      <c r="AE140" s="228">
        <v>-25.95</v>
      </c>
      <c r="AF140" s="229">
        <v>1.9E-3</v>
      </c>
      <c r="AG140" s="228">
        <v>87.25</v>
      </c>
      <c r="AH140" s="228">
        <v>106.8</v>
      </c>
      <c r="AI140" s="228">
        <v>-19.55</v>
      </c>
      <c r="AJ140" s="229">
        <v>6.7000000000000002E-3</v>
      </c>
      <c r="AK140" s="228">
        <v>129.15</v>
      </c>
      <c r="AL140" s="228">
        <v>149.25</v>
      </c>
      <c r="AM140" s="228">
        <v>-20.100000000000001</v>
      </c>
      <c r="AN140" s="229">
        <v>9.9000000000000008E-3</v>
      </c>
      <c r="AO140" s="231">
        <v>12999.02</v>
      </c>
      <c r="AP140" s="231">
        <v>13061.03</v>
      </c>
      <c r="AQ140" s="228">
        <v>0</v>
      </c>
      <c r="AR140" s="230">
        <v>555380</v>
      </c>
      <c r="AS140" s="230">
        <v>629160</v>
      </c>
      <c r="AT140" s="230">
        <v>-73780</v>
      </c>
      <c r="AU140" s="229">
        <v>-0.1173</v>
      </c>
      <c r="AV140" s="230">
        <v>447160</v>
      </c>
      <c r="AW140" s="230">
        <v>548800</v>
      </c>
      <c r="AX140" s="230">
        <v>-101640</v>
      </c>
      <c r="AY140" s="229">
        <v>-0.1852</v>
      </c>
      <c r="AZ140" s="230">
        <v>102900</v>
      </c>
      <c r="BA140" s="230">
        <v>73920</v>
      </c>
      <c r="BB140" s="230">
        <v>28980</v>
      </c>
      <c r="BC140" s="229">
        <v>0.39200000000000002</v>
      </c>
      <c r="BD140" s="230">
        <v>5320</v>
      </c>
      <c r="BE140" s="230">
        <v>6440</v>
      </c>
      <c r="BF140" s="230">
        <v>-1120</v>
      </c>
      <c r="BG140" s="229">
        <v>-0.1739</v>
      </c>
      <c r="BH140" s="230">
        <v>32748380</v>
      </c>
      <c r="BI140" s="230">
        <v>32825380</v>
      </c>
      <c r="BJ140" s="230">
        <v>-77000</v>
      </c>
      <c r="BK140" s="229">
        <v>-2.3E-3</v>
      </c>
      <c r="BL140" s="230">
        <v>37157400</v>
      </c>
      <c r="BM140" s="230">
        <v>30287040</v>
      </c>
      <c r="BN140" s="230">
        <v>6870360</v>
      </c>
      <c r="BO140" s="229">
        <v>0.2268</v>
      </c>
      <c r="BP140" s="230">
        <v>70461160</v>
      </c>
      <c r="BQ140" s="230">
        <v>63741580</v>
      </c>
      <c r="BR140" s="230">
        <v>6719580</v>
      </c>
      <c r="BS140" s="229">
        <v>0.10539999999999999</v>
      </c>
      <c r="BT140" s="228">
        <v>0</v>
      </c>
      <c r="BU140" s="228">
        <v>0</v>
      </c>
      <c r="BV140" s="228">
        <v>0</v>
      </c>
      <c r="BW140" s="229">
        <v>0</v>
      </c>
      <c r="BX140" s="230">
        <v>2672880</v>
      </c>
      <c r="BY140" s="230">
        <v>2613100</v>
      </c>
      <c r="BZ140" s="230">
        <v>59780</v>
      </c>
      <c r="CA140" s="229">
        <v>2.29E-2</v>
      </c>
      <c r="CB140" s="230">
        <v>2481920</v>
      </c>
      <c r="CC140" s="230">
        <v>2455880</v>
      </c>
      <c r="CD140" s="230">
        <v>26040</v>
      </c>
      <c r="CE140" s="229">
        <v>1.06E-2</v>
      </c>
      <c r="CF140" s="230">
        <v>177520</v>
      </c>
      <c r="CG140" s="230">
        <v>144760</v>
      </c>
      <c r="CH140" s="230">
        <v>32760</v>
      </c>
      <c r="CI140" s="229">
        <v>0.2263</v>
      </c>
      <c r="CJ140" s="230">
        <v>13440</v>
      </c>
      <c r="CK140" s="230">
        <v>12460</v>
      </c>
      <c r="CL140" s="228">
        <v>980</v>
      </c>
      <c r="CM140" s="229">
        <v>7.8700000000000006E-2</v>
      </c>
      <c r="CN140" s="230">
        <v>7932820</v>
      </c>
      <c r="CO140" s="230">
        <v>7443940</v>
      </c>
      <c r="CP140" s="230">
        <v>488880</v>
      </c>
      <c r="CQ140" s="229">
        <v>6.5699999999999995E-2</v>
      </c>
      <c r="CR140" s="230">
        <v>10563980</v>
      </c>
      <c r="CS140" s="230">
        <v>8359680</v>
      </c>
      <c r="CT140" s="230">
        <v>2204300</v>
      </c>
      <c r="CU140" s="229">
        <v>0.26369999999999999</v>
      </c>
      <c r="CV140" s="230">
        <v>21169680</v>
      </c>
      <c r="CW140" s="230">
        <v>18416720</v>
      </c>
      <c r="CX140" s="230">
        <v>2752960</v>
      </c>
      <c r="CY140" s="229">
        <v>0.14949999999999999</v>
      </c>
      <c r="CZ140" s="228">
        <v>16.91</v>
      </c>
      <c r="DA140" s="228">
        <v>17.41</v>
      </c>
      <c r="DB140" s="228">
        <v>-0.5</v>
      </c>
      <c r="DC140" s="228">
        <v>-0.5</v>
      </c>
      <c r="DD140" s="228">
        <v>23.93</v>
      </c>
      <c r="DE140" s="228">
        <v>23.98</v>
      </c>
      <c r="DF140" s="228">
        <v>-7.02</v>
      </c>
      <c r="DG140" s="228">
        <v>-0.05</v>
      </c>
      <c r="DH140" s="228">
        <v>15.14</v>
      </c>
      <c r="DI140" s="228">
        <v>16.14</v>
      </c>
      <c r="DJ140" s="228">
        <v>-1</v>
      </c>
      <c r="DK140" s="228">
        <v>-1</v>
      </c>
      <c r="DL140" s="228">
        <v>18.47</v>
      </c>
      <c r="DM140" s="228">
        <v>18.79</v>
      </c>
      <c r="DN140" s="228">
        <v>-0.32</v>
      </c>
      <c r="DO140" s="228">
        <v>-0.32</v>
      </c>
      <c r="DP140" s="228">
        <v>1.33</v>
      </c>
      <c r="DQ140" s="228">
        <v>1.1200000000000001</v>
      </c>
      <c r="DR140" s="228">
        <v>0.21</v>
      </c>
      <c r="DS140" s="229">
        <v>0.1875</v>
      </c>
      <c r="DT140" s="231">
        <v>13500</v>
      </c>
      <c r="DU140" s="231">
        <v>12000</v>
      </c>
      <c r="DV140" s="228">
        <v>1.1299999999999999</v>
      </c>
      <c r="DW140" s="228">
        <v>0.92</v>
      </c>
      <c r="DX140" s="228">
        <v>0.21</v>
      </c>
      <c r="DY140" s="229">
        <v>0.2283</v>
      </c>
      <c r="DZ140" s="229">
        <v>7.1400000000000005E-2</v>
      </c>
      <c r="EA140" s="230">
        <v>157220</v>
      </c>
      <c r="EB140" s="229">
        <v>4.8999999999999998E-3</v>
      </c>
      <c r="EC140" s="229">
        <v>7.1400000000000005E-2</v>
      </c>
      <c r="ED140" s="228">
        <v>62.01</v>
      </c>
      <c r="EE140" s="229">
        <v>4.7999999999999996E-3</v>
      </c>
      <c r="EF140" s="228">
        <v>0</v>
      </c>
      <c r="EG140" s="228">
        <v>0</v>
      </c>
      <c r="EH140" s="229">
        <v>0</v>
      </c>
      <c r="EI140" s="229">
        <v>0</v>
      </c>
      <c r="EJ140" s="231">
        <v>4334701.74</v>
      </c>
      <c r="EK140" s="231">
        <v>4703254.1500000004</v>
      </c>
      <c r="EL140" s="231">
        <v>72263.03</v>
      </c>
      <c r="EM140" s="228">
        <v>0</v>
      </c>
      <c r="EN140" s="231">
        <v>9110218.9199999999</v>
      </c>
      <c r="EO140" s="231">
        <v>8239412.4400000004</v>
      </c>
      <c r="EP140" s="231">
        <v>870806.48</v>
      </c>
      <c r="EQ140" s="229">
        <v>0.1057</v>
      </c>
      <c r="ER140" s="231">
        <v>1053846</v>
      </c>
      <c r="ES140" s="231">
        <v>1309085</v>
      </c>
      <c r="ET140" s="231">
        <v>348238</v>
      </c>
      <c r="EU140" s="228">
        <v>0</v>
      </c>
      <c r="EV140" s="231">
        <v>2711169</v>
      </c>
      <c r="EW140" s="231">
        <v>2356303</v>
      </c>
      <c r="EX140" s="231">
        <v>354866</v>
      </c>
      <c r="EY140" s="229">
        <v>0.15060000000000001</v>
      </c>
      <c r="EZ140" s="229">
        <v>0</v>
      </c>
      <c r="FA140" s="227" t="s">
        <v>555</v>
      </c>
      <c r="FB140" s="161">
        <f>BX140-CB140</f>
        <v>190960</v>
      </c>
    </row>
    <row r="141" spans="1:158" ht="17.25" hidden="1" thickBot="1" x14ac:dyDescent="0.3">
      <c r="A141" s="226">
        <v>45889</v>
      </c>
      <c r="B141" s="227" t="s">
        <v>162</v>
      </c>
      <c r="C141" s="227" t="s">
        <v>559</v>
      </c>
      <c r="D141" s="228">
        <v>6150</v>
      </c>
      <c r="E141" s="228">
        <v>97.99</v>
      </c>
      <c r="F141" s="228">
        <v>99.62</v>
      </c>
      <c r="G141" s="228">
        <v>-1.63</v>
      </c>
      <c r="H141" s="229">
        <v>-1.6400000000000001E-2</v>
      </c>
      <c r="I141" s="228">
        <v>97.97</v>
      </c>
      <c r="J141" s="228">
        <v>99.4</v>
      </c>
      <c r="K141" s="228">
        <v>-1.43</v>
      </c>
      <c r="L141" s="229">
        <v>-1.44E-2</v>
      </c>
      <c r="M141" s="228">
        <v>97.99</v>
      </c>
      <c r="N141" s="228">
        <v>99.62</v>
      </c>
      <c r="O141" s="228">
        <v>-1.63</v>
      </c>
      <c r="P141" s="229">
        <v>-1.6400000000000001E-2</v>
      </c>
      <c r="Q141" s="228">
        <v>98.58</v>
      </c>
      <c r="R141" s="228">
        <v>100.07</v>
      </c>
      <c r="S141" s="228">
        <v>-1.49</v>
      </c>
      <c r="T141" s="229">
        <v>-1.49E-2</v>
      </c>
      <c r="U141" s="228">
        <v>99.1</v>
      </c>
      <c r="V141" s="228">
        <v>100.74</v>
      </c>
      <c r="W141" s="228">
        <v>-1.64</v>
      </c>
      <c r="X141" s="229">
        <v>-1.6299999999999999E-2</v>
      </c>
      <c r="Y141" s="228">
        <v>0.02</v>
      </c>
      <c r="Z141" s="228">
        <v>0.22</v>
      </c>
      <c r="AA141" s="228">
        <v>-0.2</v>
      </c>
      <c r="AB141" s="229">
        <v>2.0000000000000001E-4</v>
      </c>
      <c r="AC141" s="228">
        <v>0.02</v>
      </c>
      <c r="AD141" s="228">
        <v>0.22</v>
      </c>
      <c r="AE141" s="228">
        <v>-0.2</v>
      </c>
      <c r="AF141" s="229">
        <v>2.0000000000000001E-4</v>
      </c>
      <c r="AG141" s="228">
        <v>0.61</v>
      </c>
      <c r="AH141" s="228">
        <v>0.67</v>
      </c>
      <c r="AI141" s="228">
        <v>-0.06</v>
      </c>
      <c r="AJ141" s="229">
        <v>6.1999999999999998E-3</v>
      </c>
      <c r="AK141" s="228">
        <v>1.1299999999999999</v>
      </c>
      <c r="AL141" s="228">
        <v>1.34</v>
      </c>
      <c r="AM141" s="228">
        <v>-0.21</v>
      </c>
      <c r="AN141" s="229">
        <v>1.15E-2</v>
      </c>
      <c r="AO141" s="228">
        <v>98.19</v>
      </c>
      <c r="AP141" s="228">
        <v>98.73</v>
      </c>
      <c r="AQ141" s="228">
        <v>0</v>
      </c>
      <c r="AR141" s="230">
        <v>23554500</v>
      </c>
      <c r="AS141" s="230">
        <v>39999600</v>
      </c>
      <c r="AT141" s="230">
        <v>-16445100</v>
      </c>
      <c r="AU141" s="229">
        <v>-0.41110000000000002</v>
      </c>
      <c r="AV141" s="230">
        <v>19803000</v>
      </c>
      <c r="AW141" s="230">
        <v>31149750</v>
      </c>
      <c r="AX141" s="230">
        <v>-11346750</v>
      </c>
      <c r="AY141" s="229">
        <v>-0.36430000000000001</v>
      </c>
      <c r="AZ141" s="230">
        <v>3419400</v>
      </c>
      <c r="BA141" s="230">
        <v>7158600</v>
      </c>
      <c r="BB141" s="230">
        <v>-3739200</v>
      </c>
      <c r="BC141" s="229">
        <v>-0.52229999999999999</v>
      </c>
      <c r="BD141" s="230">
        <v>332100</v>
      </c>
      <c r="BE141" s="230">
        <v>1691250</v>
      </c>
      <c r="BF141" s="230">
        <v>-1359150</v>
      </c>
      <c r="BG141" s="229">
        <v>-0.80359999999999998</v>
      </c>
      <c r="BH141" s="230">
        <v>60774300</v>
      </c>
      <c r="BI141" s="230">
        <v>167452200</v>
      </c>
      <c r="BJ141" s="230">
        <v>-106677900</v>
      </c>
      <c r="BK141" s="229">
        <v>-0.6371</v>
      </c>
      <c r="BL141" s="230">
        <v>31912350</v>
      </c>
      <c r="BM141" s="230">
        <v>54987150</v>
      </c>
      <c r="BN141" s="230">
        <v>-23074800</v>
      </c>
      <c r="BO141" s="229">
        <v>-0.41959999999999997</v>
      </c>
      <c r="BP141" s="230">
        <v>116241150</v>
      </c>
      <c r="BQ141" s="230">
        <v>262438950</v>
      </c>
      <c r="BR141" s="230">
        <v>-146197800</v>
      </c>
      <c r="BS141" s="229">
        <v>-0.55710000000000004</v>
      </c>
      <c r="BT141" s="230">
        <v>14707052</v>
      </c>
      <c r="BU141" s="230">
        <v>32556073</v>
      </c>
      <c r="BV141" s="230">
        <v>-17849021</v>
      </c>
      <c r="BW141" s="229">
        <v>-0.54830000000000001</v>
      </c>
      <c r="BX141" s="230">
        <v>161117700</v>
      </c>
      <c r="BY141" s="230">
        <v>161898750</v>
      </c>
      <c r="BZ141" s="230">
        <v>-781050</v>
      </c>
      <c r="CA141" s="229">
        <v>-4.7999999999999996E-3</v>
      </c>
      <c r="CB141" s="230">
        <v>150595050</v>
      </c>
      <c r="CC141" s="230">
        <v>152489250</v>
      </c>
      <c r="CD141" s="230">
        <v>-1894200</v>
      </c>
      <c r="CE141" s="229">
        <v>-1.24E-2</v>
      </c>
      <c r="CF141" s="230">
        <v>8443950</v>
      </c>
      <c r="CG141" s="230">
        <v>7380000</v>
      </c>
      <c r="CH141" s="230">
        <v>1063950</v>
      </c>
      <c r="CI141" s="229">
        <v>0.14419999999999999</v>
      </c>
      <c r="CJ141" s="230">
        <v>2078700</v>
      </c>
      <c r="CK141" s="230">
        <v>2029500</v>
      </c>
      <c r="CL141" s="230">
        <v>49200</v>
      </c>
      <c r="CM141" s="229">
        <v>2.4199999999999999E-2</v>
      </c>
      <c r="CN141" s="230">
        <v>48800250</v>
      </c>
      <c r="CO141" s="230">
        <v>44870400</v>
      </c>
      <c r="CP141" s="230">
        <v>3929850</v>
      </c>
      <c r="CQ141" s="229">
        <v>8.7599999999999997E-2</v>
      </c>
      <c r="CR141" s="230">
        <v>35866800</v>
      </c>
      <c r="CS141" s="230">
        <v>39126300</v>
      </c>
      <c r="CT141" s="230">
        <v>-3259500</v>
      </c>
      <c r="CU141" s="229">
        <v>-8.3299999999999999E-2</v>
      </c>
      <c r="CV141" s="230">
        <v>245784750</v>
      </c>
      <c r="CW141" s="230">
        <v>245895450</v>
      </c>
      <c r="CX141" s="230">
        <v>-110700</v>
      </c>
      <c r="CY141" s="229">
        <v>-5.0000000000000001E-4</v>
      </c>
      <c r="CZ141" s="228">
        <v>32.43</v>
      </c>
      <c r="DA141" s="228">
        <v>32.76</v>
      </c>
      <c r="DB141" s="228">
        <v>-0.33</v>
      </c>
      <c r="DC141" s="228">
        <v>-0.33</v>
      </c>
      <c r="DD141" s="228">
        <v>42.22</v>
      </c>
      <c r="DE141" s="228">
        <v>42.26</v>
      </c>
      <c r="DF141" s="228">
        <v>-9.7899999999999991</v>
      </c>
      <c r="DG141" s="228">
        <v>-0.04</v>
      </c>
      <c r="DH141" s="228">
        <v>33.03</v>
      </c>
      <c r="DI141" s="228">
        <v>32.130000000000003</v>
      </c>
      <c r="DJ141" s="228">
        <v>0.9</v>
      </c>
      <c r="DK141" s="228">
        <v>0.9</v>
      </c>
      <c r="DL141" s="228">
        <v>31.28</v>
      </c>
      <c r="DM141" s="228">
        <v>34.69</v>
      </c>
      <c r="DN141" s="228">
        <v>-3.41</v>
      </c>
      <c r="DO141" s="228">
        <v>-3.41</v>
      </c>
      <c r="DP141" s="228">
        <v>0.73</v>
      </c>
      <c r="DQ141" s="228">
        <v>0.87</v>
      </c>
      <c r="DR141" s="228">
        <v>-0.14000000000000001</v>
      </c>
      <c r="DS141" s="229">
        <v>-0.16089999999999999</v>
      </c>
      <c r="DT141" s="228">
        <v>100</v>
      </c>
      <c r="DU141" s="228">
        <v>90</v>
      </c>
      <c r="DV141" s="228">
        <v>0.53</v>
      </c>
      <c r="DW141" s="228">
        <v>0.33</v>
      </c>
      <c r="DX141" s="228">
        <v>0.2</v>
      </c>
      <c r="DY141" s="229">
        <v>0.60609999999999997</v>
      </c>
      <c r="DZ141" s="229">
        <v>6.5299999999999997E-2</v>
      </c>
      <c r="EA141" s="230">
        <v>9409500</v>
      </c>
      <c r="EB141" s="229">
        <v>6.0000000000000001E-3</v>
      </c>
      <c r="EC141" s="229">
        <v>6.5299999999999997E-2</v>
      </c>
      <c r="ED141" s="228">
        <v>0.54</v>
      </c>
      <c r="EE141" s="229">
        <v>5.4999999999999997E-3</v>
      </c>
      <c r="EF141" s="230">
        <v>6601590</v>
      </c>
      <c r="EG141" s="230">
        <v>9627700</v>
      </c>
      <c r="EH141" s="229">
        <v>-0.31430000000000002</v>
      </c>
      <c r="EI141" s="229">
        <v>0.44890000000000002</v>
      </c>
      <c r="EJ141" s="231">
        <v>62253.39</v>
      </c>
      <c r="EK141" s="231">
        <v>31344.67</v>
      </c>
      <c r="EL141" s="231">
        <v>23149.759999999998</v>
      </c>
      <c r="EM141" s="228">
        <v>0</v>
      </c>
      <c r="EN141" s="231">
        <v>116747.82</v>
      </c>
      <c r="EO141" s="231">
        <v>263072.34999999998</v>
      </c>
      <c r="EP141" s="231">
        <v>-146324.53</v>
      </c>
      <c r="EQ141" s="229">
        <v>-0.55620000000000003</v>
      </c>
      <c r="ER141" s="231">
        <v>50089</v>
      </c>
      <c r="ES141" s="231">
        <v>33446</v>
      </c>
      <c r="ET141" s="231">
        <v>157952</v>
      </c>
      <c r="EU141" s="231">
        <v>1085045697</v>
      </c>
      <c r="EV141" s="231">
        <v>241488</v>
      </c>
      <c r="EW141" s="231">
        <v>243922</v>
      </c>
      <c r="EX141" s="231">
        <v>-2434</v>
      </c>
      <c r="EY141" s="229">
        <v>-0.01</v>
      </c>
      <c r="EZ141" s="229">
        <v>0.22650000000000001</v>
      </c>
      <c r="FA141" s="227" t="s">
        <v>568</v>
      </c>
      <c r="FB141" s="161">
        <f>BX223-CB223</f>
        <v>1298700</v>
      </c>
    </row>
    <row r="142" spans="1:158" ht="17.25" hidden="1" thickBot="1" x14ac:dyDescent="0.3">
      <c r="A142" s="226">
        <v>45889</v>
      </c>
      <c r="B142" s="227" t="s">
        <v>221</v>
      </c>
      <c r="C142" s="227" t="s">
        <v>487</v>
      </c>
      <c r="D142" s="228">
        <v>275</v>
      </c>
      <c r="E142" s="231">
        <v>2838.9</v>
      </c>
      <c r="F142" s="231">
        <v>2745.7</v>
      </c>
      <c r="G142" s="228">
        <v>93.2</v>
      </c>
      <c r="H142" s="229">
        <v>3.39E-2</v>
      </c>
      <c r="I142" s="231">
        <v>2835.5</v>
      </c>
      <c r="J142" s="231">
        <v>2742.6</v>
      </c>
      <c r="K142" s="228">
        <v>92.9</v>
      </c>
      <c r="L142" s="229">
        <v>3.39E-2</v>
      </c>
      <c r="M142" s="231">
        <v>2838.9</v>
      </c>
      <c r="N142" s="231">
        <v>2745.7</v>
      </c>
      <c r="O142" s="228">
        <v>93.2</v>
      </c>
      <c r="P142" s="229">
        <v>3.39E-2</v>
      </c>
      <c r="Q142" s="231">
        <v>2853.8</v>
      </c>
      <c r="R142" s="231">
        <v>2761</v>
      </c>
      <c r="S142" s="228">
        <v>92.8</v>
      </c>
      <c r="T142" s="229">
        <v>3.3599999999999998E-2</v>
      </c>
      <c r="U142" s="231">
        <v>2869</v>
      </c>
      <c r="V142" s="231">
        <v>2769.6</v>
      </c>
      <c r="W142" s="228">
        <v>99.4</v>
      </c>
      <c r="X142" s="229">
        <v>3.5900000000000001E-2</v>
      </c>
      <c r="Y142" s="228">
        <v>3.4</v>
      </c>
      <c r="Z142" s="228">
        <v>3.1</v>
      </c>
      <c r="AA142" s="228">
        <v>0.3</v>
      </c>
      <c r="AB142" s="229">
        <v>1.1999999999999999E-3</v>
      </c>
      <c r="AC142" s="228">
        <v>3.4</v>
      </c>
      <c r="AD142" s="228">
        <v>3.1</v>
      </c>
      <c r="AE142" s="228">
        <v>0.3</v>
      </c>
      <c r="AF142" s="229">
        <v>1.1999999999999999E-3</v>
      </c>
      <c r="AG142" s="228">
        <v>18.3</v>
      </c>
      <c r="AH142" s="228">
        <v>18.399999999999999</v>
      </c>
      <c r="AI142" s="228">
        <v>-0.1</v>
      </c>
      <c r="AJ142" s="229">
        <v>6.4999999999999997E-3</v>
      </c>
      <c r="AK142" s="228">
        <v>33.5</v>
      </c>
      <c r="AL142" s="228">
        <v>27</v>
      </c>
      <c r="AM142" s="228">
        <v>6.5</v>
      </c>
      <c r="AN142" s="229">
        <v>1.18E-2</v>
      </c>
      <c r="AO142" s="231">
        <v>2801.09</v>
      </c>
      <c r="AP142" s="231">
        <v>2813.29</v>
      </c>
      <c r="AQ142" s="228">
        <v>0</v>
      </c>
      <c r="AR142" s="230">
        <v>1740200</v>
      </c>
      <c r="AS142" s="230">
        <v>462000</v>
      </c>
      <c r="AT142" s="230">
        <v>1278200</v>
      </c>
      <c r="AU142" s="229">
        <v>2.7667000000000002</v>
      </c>
      <c r="AV142" s="230">
        <v>1538625</v>
      </c>
      <c r="AW142" s="230">
        <v>427625</v>
      </c>
      <c r="AX142" s="230">
        <v>1111000</v>
      </c>
      <c r="AY142" s="229">
        <v>2.5981000000000001</v>
      </c>
      <c r="AZ142" s="230">
        <v>195250</v>
      </c>
      <c r="BA142" s="230">
        <v>33550</v>
      </c>
      <c r="BB142" s="230">
        <v>161700</v>
      </c>
      <c r="BC142" s="229">
        <v>4.8197000000000001</v>
      </c>
      <c r="BD142" s="230">
        <v>6325</v>
      </c>
      <c r="BE142" s="228">
        <v>825</v>
      </c>
      <c r="BF142" s="230">
        <v>5500</v>
      </c>
      <c r="BG142" s="229">
        <v>6.6666999999999996</v>
      </c>
      <c r="BH142" s="230">
        <v>5806350</v>
      </c>
      <c r="BI142" s="230">
        <v>944075</v>
      </c>
      <c r="BJ142" s="230">
        <v>4862275</v>
      </c>
      <c r="BK142" s="229">
        <v>5.1502999999999997</v>
      </c>
      <c r="BL142" s="230">
        <v>2014925</v>
      </c>
      <c r="BM142" s="230">
        <v>256025</v>
      </c>
      <c r="BN142" s="230">
        <v>1758900</v>
      </c>
      <c r="BO142" s="229">
        <v>6.87</v>
      </c>
      <c r="BP142" s="230">
        <v>9561475</v>
      </c>
      <c r="BQ142" s="230">
        <v>1662100</v>
      </c>
      <c r="BR142" s="230">
        <v>7899375</v>
      </c>
      <c r="BS142" s="229">
        <v>4.7526000000000002</v>
      </c>
      <c r="BT142" s="230">
        <v>496579</v>
      </c>
      <c r="BU142" s="230">
        <v>185182</v>
      </c>
      <c r="BV142" s="230">
        <v>311397</v>
      </c>
      <c r="BW142" s="229">
        <v>1.6816</v>
      </c>
      <c r="BX142" s="230">
        <v>4164050</v>
      </c>
      <c r="BY142" s="230">
        <v>4078250</v>
      </c>
      <c r="BZ142" s="230">
        <v>85800</v>
      </c>
      <c r="CA142" s="229">
        <v>2.1000000000000001E-2</v>
      </c>
      <c r="CB142" s="230">
        <v>4032325</v>
      </c>
      <c r="CC142" s="230">
        <v>4012250</v>
      </c>
      <c r="CD142" s="230">
        <v>20075</v>
      </c>
      <c r="CE142" s="229">
        <v>5.0000000000000001E-3</v>
      </c>
      <c r="CF142" s="230">
        <v>125950</v>
      </c>
      <c r="CG142" s="230">
        <v>59675</v>
      </c>
      <c r="CH142" s="230">
        <v>66275</v>
      </c>
      <c r="CI142" s="229">
        <v>1.1106</v>
      </c>
      <c r="CJ142" s="230">
        <v>5775</v>
      </c>
      <c r="CK142" s="230">
        <v>6325</v>
      </c>
      <c r="CL142" s="228">
        <v>-550</v>
      </c>
      <c r="CM142" s="229">
        <v>-8.6999999999999994E-2</v>
      </c>
      <c r="CN142" s="230">
        <v>833525</v>
      </c>
      <c r="CO142" s="230">
        <v>824725</v>
      </c>
      <c r="CP142" s="230">
        <v>8800</v>
      </c>
      <c r="CQ142" s="229">
        <v>1.0699999999999999E-2</v>
      </c>
      <c r="CR142" s="230">
        <v>619850</v>
      </c>
      <c r="CS142" s="230">
        <v>447700</v>
      </c>
      <c r="CT142" s="230">
        <v>172150</v>
      </c>
      <c r="CU142" s="229">
        <v>0.38450000000000001</v>
      </c>
      <c r="CV142" s="230">
        <v>5617425</v>
      </c>
      <c r="CW142" s="230">
        <v>5350675</v>
      </c>
      <c r="CX142" s="230">
        <v>266750</v>
      </c>
      <c r="CY142" s="229">
        <v>4.99E-2</v>
      </c>
      <c r="CZ142" s="228">
        <v>29.87</v>
      </c>
      <c r="DA142" s="228">
        <v>30.26</v>
      </c>
      <c r="DB142" s="228">
        <v>-0.39</v>
      </c>
      <c r="DC142" s="228">
        <v>-0.39</v>
      </c>
      <c r="DD142" s="228">
        <v>38.18</v>
      </c>
      <c r="DE142" s="228">
        <v>38.01</v>
      </c>
      <c r="DF142" s="228">
        <v>-8.31</v>
      </c>
      <c r="DG142" s="228">
        <v>0.17</v>
      </c>
      <c r="DH142" s="228">
        <v>29.11</v>
      </c>
      <c r="DI142" s="228">
        <v>30.01</v>
      </c>
      <c r="DJ142" s="228">
        <v>-0.9</v>
      </c>
      <c r="DK142" s="228">
        <v>-0.9</v>
      </c>
      <c r="DL142" s="228">
        <v>32.06</v>
      </c>
      <c r="DM142" s="228">
        <v>31.19</v>
      </c>
      <c r="DN142" s="228">
        <v>0.87</v>
      </c>
      <c r="DO142" s="228">
        <v>0.87</v>
      </c>
      <c r="DP142" s="228">
        <v>0.74</v>
      </c>
      <c r="DQ142" s="228">
        <v>0.54</v>
      </c>
      <c r="DR142" s="228">
        <v>0.2</v>
      </c>
      <c r="DS142" s="229">
        <v>0.37040000000000001</v>
      </c>
      <c r="DT142" s="231">
        <v>2800</v>
      </c>
      <c r="DU142" s="231">
        <v>2700</v>
      </c>
      <c r="DV142" s="228">
        <v>0.35</v>
      </c>
      <c r="DW142" s="228">
        <v>0.27</v>
      </c>
      <c r="DX142" s="228">
        <v>0.08</v>
      </c>
      <c r="DY142" s="229">
        <v>0.29630000000000001</v>
      </c>
      <c r="DZ142" s="229">
        <v>3.1600000000000003E-2</v>
      </c>
      <c r="EA142" s="230">
        <v>66000</v>
      </c>
      <c r="EB142" s="229">
        <v>5.1999999999999998E-3</v>
      </c>
      <c r="EC142" s="229">
        <v>3.1600000000000003E-2</v>
      </c>
      <c r="ED142" s="228">
        <v>12.2</v>
      </c>
      <c r="EE142" s="229">
        <v>4.4000000000000003E-3</v>
      </c>
      <c r="EF142" s="230">
        <v>156353</v>
      </c>
      <c r="EG142" s="230">
        <v>82164</v>
      </c>
      <c r="EH142" s="229">
        <v>0.90290000000000004</v>
      </c>
      <c r="EI142" s="229">
        <v>0.31490000000000001</v>
      </c>
      <c r="EJ142" s="231">
        <v>166571.01999999999</v>
      </c>
      <c r="EK142" s="231">
        <v>54833.279999999999</v>
      </c>
      <c r="EL142" s="231">
        <v>48769.95</v>
      </c>
      <c r="EM142" s="228">
        <v>0</v>
      </c>
      <c r="EN142" s="231">
        <v>270174.25</v>
      </c>
      <c r="EO142" s="231">
        <v>46109.91</v>
      </c>
      <c r="EP142" s="231">
        <v>224064.34</v>
      </c>
      <c r="EQ142" s="229">
        <v>4.8593999999999999</v>
      </c>
      <c r="ER142" s="231">
        <v>23871</v>
      </c>
      <c r="ES142" s="231">
        <v>16554</v>
      </c>
      <c r="ET142" s="231">
        <v>118234</v>
      </c>
      <c r="EU142" s="231">
        <v>22789603</v>
      </c>
      <c r="EV142" s="231">
        <v>158659</v>
      </c>
      <c r="EW142" s="231">
        <v>147369</v>
      </c>
      <c r="EX142" s="231">
        <v>11290</v>
      </c>
      <c r="EY142" s="229">
        <v>7.6600000000000001E-2</v>
      </c>
      <c r="EZ142" s="229">
        <v>0.2465</v>
      </c>
      <c r="FA142" s="227" t="s">
        <v>555</v>
      </c>
      <c r="FB142" s="161">
        <f t="shared" ref="FB142:FB161" si="3">BX224-CB224</f>
        <v>0</v>
      </c>
    </row>
    <row r="143" spans="1:158" ht="17.25" hidden="1" thickBot="1" x14ac:dyDescent="0.3">
      <c r="A143" s="226">
        <v>45889</v>
      </c>
      <c r="B143" s="227" t="s">
        <v>175</v>
      </c>
      <c r="C143" s="227" t="s">
        <v>262</v>
      </c>
      <c r="D143" s="228">
        <v>275</v>
      </c>
      <c r="E143" s="231">
        <v>2687.5</v>
      </c>
      <c r="F143" s="231">
        <v>2750</v>
      </c>
      <c r="G143" s="228">
        <v>-62.5</v>
      </c>
      <c r="H143" s="229">
        <v>-2.2700000000000001E-2</v>
      </c>
      <c r="I143" s="231">
        <v>2683.9</v>
      </c>
      <c r="J143" s="231">
        <v>2747.2</v>
      </c>
      <c r="K143" s="228">
        <v>-63.3</v>
      </c>
      <c r="L143" s="229">
        <v>-2.3E-2</v>
      </c>
      <c r="M143" s="231">
        <v>2687.5</v>
      </c>
      <c r="N143" s="231">
        <v>2750</v>
      </c>
      <c r="O143" s="228">
        <v>-62.5</v>
      </c>
      <c r="P143" s="229">
        <v>-2.2700000000000001E-2</v>
      </c>
      <c r="Q143" s="231">
        <v>2702.8</v>
      </c>
      <c r="R143" s="231">
        <v>2765</v>
      </c>
      <c r="S143" s="228">
        <v>-62.2</v>
      </c>
      <c r="T143" s="229">
        <v>-2.2499999999999999E-2</v>
      </c>
      <c r="U143" s="231">
        <v>2716.2</v>
      </c>
      <c r="V143" s="231">
        <v>2768</v>
      </c>
      <c r="W143" s="228">
        <v>-51.8</v>
      </c>
      <c r="X143" s="229">
        <v>-1.8700000000000001E-2</v>
      </c>
      <c r="Y143" s="228">
        <v>3.6</v>
      </c>
      <c r="Z143" s="228">
        <v>2.8</v>
      </c>
      <c r="AA143" s="228">
        <v>0.8</v>
      </c>
      <c r="AB143" s="229">
        <v>1.2999999999999999E-3</v>
      </c>
      <c r="AC143" s="228">
        <v>3.6</v>
      </c>
      <c r="AD143" s="228">
        <v>2.8</v>
      </c>
      <c r="AE143" s="228">
        <v>0.8</v>
      </c>
      <c r="AF143" s="229">
        <v>1.2999999999999999E-3</v>
      </c>
      <c r="AG143" s="228">
        <v>18.899999999999999</v>
      </c>
      <c r="AH143" s="228">
        <v>17.8</v>
      </c>
      <c r="AI143" s="228">
        <v>1.1000000000000001</v>
      </c>
      <c r="AJ143" s="229">
        <v>7.0000000000000001E-3</v>
      </c>
      <c r="AK143" s="228">
        <v>32.299999999999997</v>
      </c>
      <c r="AL143" s="228">
        <v>20.8</v>
      </c>
      <c r="AM143" s="228">
        <v>11.5</v>
      </c>
      <c r="AN143" s="229">
        <v>1.2E-2</v>
      </c>
      <c r="AO143" s="231">
        <v>2687.4</v>
      </c>
      <c r="AP143" s="231">
        <v>2703.98</v>
      </c>
      <c r="AQ143" s="228">
        <v>0</v>
      </c>
      <c r="AR143" s="230">
        <v>1458050</v>
      </c>
      <c r="AS143" s="230">
        <v>1531750</v>
      </c>
      <c r="AT143" s="230">
        <v>-73700</v>
      </c>
      <c r="AU143" s="229">
        <v>-4.8099999999999997E-2</v>
      </c>
      <c r="AV143" s="230">
        <v>1169575</v>
      </c>
      <c r="AW143" s="230">
        <v>1232275</v>
      </c>
      <c r="AX143" s="230">
        <v>-62700</v>
      </c>
      <c r="AY143" s="229">
        <v>-5.0900000000000001E-2</v>
      </c>
      <c r="AZ143" s="230">
        <v>277200</v>
      </c>
      <c r="BA143" s="230">
        <v>285725</v>
      </c>
      <c r="BB143" s="230">
        <v>-8525</v>
      </c>
      <c r="BC143" s="229">
        <v>-2.98E-2</v>
      </c>
      <c r="BD143" s="230">
        <v>11275</v>
      </c>
      <c r="BE143" s="230">
        <v>13750</v>
      </c>
      <c r="BF143" s="230">
        <v>-2475</v>
      </c>
      <c r="BG143" s="229">
        <v>-0.18</v>
      </c>
      <c r="BH143" s="230">
        <v>10222575</v>
      </c>
      <c r="BI143" s="230">
        <v>6747675</v>
      </c>
      <c r="BJ143" s="230">
        <v>3474900</v>
      </c>
      <c r="BK143" s="229">
        <v>0.51500000000000001</v>
      </c>
      <c r="BL143" s="230">
        <v>10246225</v>
      </c>
      <c r="BM143" s="230">
        <v>4658500</v>
      </c>
      <c r="BN143" s="230">
        <v>5587725</v>
      </c>
      <c r="BO143" s="229">
        <v>1.1995</v>
      </c>
      <c r="BP143" s="230">
        <v>21926850</v>
      </c>
      <c r="BQ143" s="230">
        <v>12937925</v>
      </c>
      <c r="BR143" s="230">
        <v>8988925</v>
      </c>
      <c r="BS143" s="229">
        <v>0.69479999999999997</v>
      </c>
      <c r="BT143" s="230">
        <v>662178</v>
      </c>
      <c r="BU143" s="230">
        <v>400928</v>
      </c>
      <c r="BV143" s="230">
        <v>261250</v>
      </c>
      <c r="BW143" s="229">
        <v>0.65159999999999996</v>
      </c>
      <c r="BX143" s="230">
        <v>4090900</v>
      </c>
      <c r="BY143" s="230">
        <v>4024625</v>
      </c>
      <c r="BZ143" s="230">
        <v>66275</v>
      </c>
      <c r="CA143" s="229">
        <v>1.6500000000000001E-2</v>
      </c>
      <c r="CB143" s="230">
        <v>3564275</v>
      </c>
      <c r="CC143" s="230">
        <v>3584625</v>
      </c>
      <c r="CD143" s="230">
        <v>-20350</v>
      </c>
      <c r="CE143" s="229">
        <v>-5.7000000000000002E-3</v>
      </c>
      <c r="CF143" s="230">
        <v>498575</v>
      </c>
      <c r="CG143" s="230">
        <v>410575</v>
      </c>
      <c r="CH143" s="230">
        <v>88000</v>
      </c>
      <c r="CI143" s="229">
        <v>0.21429999999999999</v>
      </c>
      <c r="CJ143" s="230">
        <v>28050</v>
      </c>
      <c r="CK143" s="230">
        <v>29425</v>
      </c>
      <c r="CL143" s="230">
        <v>-1375</v>
      </c>
      <c r="CM143" s="229">
        <v>-4.6699999999999998E-2</v>
      </c>
      <c r="CN143" s="230">
        <v>5712300</v>
      </c>
      <c r="CO143" s="230">
        <v>5084750</v>
      </c>
      <c r="CP143" s="230">
        <v>627550</v>
      </c>
      <c r="CQ143" s="229">
        <v>0.1234</v>
      </c>
      <c r="CR143" s="230">
        <v>3295050</v>
      </c>
      <c r="CS143" s="230">
        <v>3292300</v>
      </c>
      <c r="CT143" s="230">
        <v>2750</v>
      </c>
      <c r="CU143" s="229">
        <v>8.0000000000000004E-4</v>
      </c>
      <c r="CV143" s="230">
        <v>13098250</v>
      </c>
      <c r="CW143" s="230">
        <v>12401675</v>
      </c>
      <c r="CX143" s="230">
        <v>696575</v>
      </c>
      <c r="CY143" s="229">
        <v>5.62E-2</v>
      </c>
      <c r="CZ143" s="228">
        <v>27.82</v>
      </c>
      <c r="DA143" s="228">
        <v>29.96</v>
      </c>
      <c r="DB143" s="228">
        <v>-2.14</v>
      </c>
      <c r="DC143" s="228">
        <v>-2.14</v>
      </c>
      <c r="DD143" s="228">
        <v>37.64</v>
      </c>
      <c r="DE143" s="228">
        <v>37.61</v>
      </c>
      <c r="DF143" s="228">
        <v>-9.82</v>
      </c>
      <c r="DG143" s="228">
        <v>0.03</v>
      </c>
      <c r="DH143" s="228">
        <v>28.94</v>
      </c>
      <c r="DI143" s="228">
        <v>29.02</v>
      </c>
      <c r="DJ143" s="228">
        <v>-0.08</v>
      </c>
      <c r="DK143" s="228">
        <v>-0.08</v>
      </c>
      <c r="DL143" s="228">
        <v>26.7</v>
      </c>
      <c r="DM143" s="228">
        <v>31.33</v>
      </c>
      <c r="DN143" s="228">
        <v>-4.63</v>
      </c>
      <c r="DO143" s="228">
        <v>-4.63</v>
      </c>
      <c r="DP143" s="228">
        <v>0.57999999999999996</v>
      </c>
      <c r="DQ143" s="228">
        <v>0.65</v>
      </c>
      <c r="DR143" s="228">
        <v>-7.0000000000000007E-2</v>
      </c>
      <c r="DS143" s="229">
        <v>-0.1077</v>
      </c>
      <c r="DT143" s="231">
        <v>2800</v>
      </c>
      <c r="DU143" s="231">
        <v>2500</v>
      </c>
      <c r="DV143" s="228">
        <v>1</v>
      </c>
      <c r="DW143" s="228">
        <v>0.69</v>
      </c>
      <c r="DX143" s="228">
        <v>0.31</v>
      </c>
      <c r="DY143" s="229">
        <v>0.44929999999999998</v>
      </c>
      <c r="DZ143" s="229">
        <v>0.12870000000000001</v>
      </c>
      <c r="EA143" s="230">
        <v>440000</v>
      </c>
      <c r="EB143" s="229">
        <v>5.7000000000000002E-3</v>
      </c>
      <c r="EC143" s="229">
        <v>0.12870000000000001</v>
      </c>
      <c r="ED143" s="228">
        <v>16.579999999999998</v>
      </c>
      <c r="EE143" s="229">
        <v>6.1999999999999998E-3</v>
      </c>
      <c r="EF143" s="230">
        <v>230495</v>
      </c>
      <c r="EG143" s="230">
        <v>164763</v>
      </c>
      <c r="EH143" s="229">
        <v>0.39889999999999998</v>
      </c>
      <c r="EI143" s="229">
        <v>0.34810000000000002</v>
      </c>
      <c r="EJ143" s="231">
        <v>289677.58</v>
      </c>
      <c r="EK143" s="231">
        <v>271728.05</v>
      </c>
      <c r="EL143" s="231">
        <v>39232.699999999997</v>
      </c>
      <c r="EM143" s="228">
        <v>0</v>
      </c>
      <c r="EN143" s="231">
        <v>600638.32999999996</v>
      </c>
      <c r="EO143" s="231">
        <v>360565.28</v>
      </c>
      <c r="EP143" s="231">
        <v>240073.05</v>
      </c>
      <c r="EQ143" s="229">
        <v>0.66579999999999995</v>
      </c>
      <c r="ER143" s="231">
        <v>160550</v>
      </c>
      <c r="ES143" s="231">
        <v>85025</v>
      </c>
      <c r="ET143" s="231">
        <v>110027</v>
      </c>
      <c r="EU143" s="231">
        <v>21400920</v>
      </c>
      <c r="EV143" s="231">
        <v>355603</v>
      </c>
      <c r="EW143" s="231">
        <v>339419</v>
      </c>
      <c r="EX143" s="231">
        <v>16184</v>
      </c>
      <c r="EY143" s="229">
        <v>4.7699999999999999E-2</v>
      </c>
      <c r="EZ143" s="229">
        <v>0.61199999999999999</v>
      </c>
      <c r="FA143" s="227" t="s">
        <v>567</v>
      </c>
      <c r="FB143" s="161">
        <f t="shared" si="3"/>
        <v>0</v>
      </c>
    </row>
    <row r="144" spans="1:158" ht="17.25" hidden="1" thickBot="1" x14ac:dyDescent="0.3">
      <c r="A144" s="226">
        <v>45889</v>
      </c>
      <c r="B144" s="227" t="s">
        <v>227</v>
      </c>
      <c r="C144" s="227" t="s">
        <v>263</v>
      </c>
      <c r="D144" s="228">
        <v>3750</v>
      </c>
      <c r="E144" s="228">
        <v>192.3</v>
      </c>
      <c r="F144" s="228">
        <v>191.89</v>
      </c>
      <c r="G144" s="228">
        <v>0.41</v>
      </c>
      <c r="H144" s="229">
        <v>2.0999999999999999E-3</v>
      </c>
      <c r="I144" s="228">
        <v>192.22</v>
      </c>
      <c r="J144" s="228">
        <v>191.31</v>
      </c>
      <c r="K144" s="228">
        <v>0.91</v>
      </c>
      <c r="L144" s="229">
        <v>4.7999999999999996E-3</v>
      </c>
      <c r="M144" s="228">
        <v>192.3</v>
      </c>
      <c r="N144" s="228">
        <v>191.89</v>
      </c>
      <c r="O144" s="228">
        <v>0.41</v>
      </c>
      <c r="P144" s="229">
        <v>2.0999999999999999E-3</v>
      </c>
      <c r="Q144" s="228">
        <v>191.3</v>
      </c>
      <c r="R144" s="228">
        <v>190.54</v>
      </c>
      <c r="S144" s="228">
        <v>0.76</v>
      </c>
      <c r="T144" s="229">
        <v>4.0000000000000001E-3</v>
      </c>
      <c r="U144" s="228">
        <v>192.12</v>
      </c>
      <c r="V144" s="228">
        <v>191.45</v>
      </c>
      <c r="W144" s="228">
        <v>0.67</v>
      </c>
      <c r="X144" s="229">
        <v>3.5000000000000001E-3</v>
      </c>
      <c r="Y144" s="228">
        <v>0.08</v>
      </c>
      <c r="Z144" s="228">
        <v>0.57999999999999996</v>
      </c>
      <c r="AA144" s="228">
        <v>-0.5</v>
      </c>
      <c r="AB144" s="229">
        <v>4.0000000000000002E-4</v>
      </c>
      <c r="AC144" s="228">
        <v>0.08</v>
      </c>
      <c r="AD144" s="228">
        <v>0.57999999999999996</v>
      </c>
      <c r="AE144" s="228">
        <v>-0.5</v>
      </c>
      <c r="AF144" s="229">
        <v>4.0000000000000002E-4</v>
      </c>
      <c r="AG144" s="228">
        <v>-0.92</v>
      </c>
      <c r="AH144" s="228">
        <v>-0.77</v>
      </c>
      <c r="AI144" s="228">
        <v>-0.15</v>
      </c>
      <c r="AJ144" s="229">
        <v>-4.7999999999999996E-3</v>
      </c>
      <c r="AK144" s="228">
        <v>-0.1</v>
      </c>
      <c r="AL144" s="228">
        <v>0.14000000000000001</v>
      </c>
      <c r="AM144" s="228">
        <v>-0.24</v>
      </c>
      <c r="AN144" s="229">
        <v>-5.0000000000000001E-4</v>
      </c>
      <c r="AO144" s="228">
        <v>191.77</v>
      </c>
      <c r="AP144" s="228">
        <v>190.85</v>
      </c>
      <c r="AQ144" s="228">
        <v>0</v>
      </c>
      <c r="AR144" s="230">
        <v>15371250</v>
      </c>
      <c r="AS144" s="230">
        <v>14445000</v>
      </c>
      <c r="AT144" s="230">
        <v>926250</v>
      </c>
      <c r="AU144" s="229">
        <v>6.4100000000000004E-2</v>
      </c>
      <c r="AV144" s="230">
        <v>9926250</v>
      </c>
      <c r="AW144" s="230">
        <v>12067500</v>
      </c>
      <c r="AX144" s="230">
        <v>-2141250</v>
      </c>
      <c r="AY144" s="229">
        <v>-0.1774</v>
      </c>
      <c r="AZ144" s="230">
        <v>5306250</v>
      </c>
      <c r="BA144" s="230">
        <v>2325000</v>
      </c>
      <c r="BB144" s="230">
        <v>2981250</v>
      </c>
      <c r="BC144" s="229">
        <v>1.2823</v>
      </c>
      <c r="BD144" s="230">
        <v>138750</v>
      </c>
      <c r="BE144" s="230">
        <v>52500</v>
      </c>
      <c r="BF144" s="230">
        <v>86250</v>
      </c>
      <c r="BG144" s="229">
        <v>1.6429</v>
      </c>
      <c r="BH144" s="230">
        <v>25402500</v>
      </c>
      <c r="BI144" s="230">
        <v>21536250</v>
      </c>
      <c r="BJ144" s="230">
        <v>3866250</v>
      </c>
      <c r="BK144" s="229">
        <v>0.17949999999999999</v>
      </c>
      <c r="BL144" s="230">
        <v>13218750</v>
      </c>
      <c r="BM144" s="230">
        <v>15660000</v>
      </c>
      <c r="BN144" s="230">
        <v>-2441250</v>
      </c>
      <c r="BO144" s="229">
        <v>-0.15590000000000001</v>
      </c>
      <c r="BP144" s="230">
        <v>53992500</v>
      </c>
      <c r="BQ144" s="230">
        <v>51641250</v>
      </c>
      <c r="BR144" s="230">
        <v>2351250</v>
      </c>
      <c r="BS144" s="229">
        <v>4.5499999999999999E-2</v>
      </c>
      <c r="BT144" s="230">
        <v>4742309</v>
      </c>
      <c r="BU144" s="230">
        <v>6005192</v>
      </c>
      <c r="BV144" s="230">
        <v>-1262883</v>
      </c>
      <c r="BW144" s="229">
        <v>-0.21029999999999999</v>
      </c>
      <c r="BX144" s="230">
        <v>69498750</v>
      </c>
      <c r="BY144" s="230">
        <v>68463750</v>
      </c>
      <c r="BZ144" s="230">
        <v>1035000</v>
      </c>
      <c r="CA144" s="229">
        <v>1.5100000000000001E-2</v>
      </c>
      <c r="CB144" s="230">
        <v>58991250</v>
      </c>
      <c r="CC144" s="230">
        <v>61113750</v>
      </c>
      <c r="CD144" s="230">
        <v>-2122500</v>
      </c>
      <c r="CE144" s="229">
        <v>-3.4700000000000002E-2</v>
      </c>
      <c r="CF144" s="230">
        <v>10278750</v>
      </c>
      <c r="CG144" s="230">
        <v>7170000</v>
      </c>
      <c r="CH144" s="230">
        <v>3108750</v>
      </c>
      <c r="CI144" s="229">
        <v>0.43359999999999999</v>
      </c>
      <c r="CJ144" s="230">
        <v>228750</v>
      </c>
      <c r="CK144" s="230">
        <v>180000</v>
      </c>
      <c r="CL144" s="230">
        <v>48750</v>
      </c>
      <c r="CM144" s="229">
        <v>0.27079999999999999</v>
      </c>
      <c r="CN144" s="230">
        <v>24495000</v>
      </c>
      <c r="CO144" s="230">
        <v>23538750</v>
      </c>
      <c r="CP144" s="230">
        <v>956250</v>
      </c>
      <c r="CQ144" s="229">
        <v>4.0599999999999997E-2</v>
      </c>
      <c r="CR144" s="230">
        <v>18896250</v>
      </c>
      <c r="CS144" s="230">
        <v>18135000</v>
      </c>
      <c r="CT144" s="230">
        <v>761250</v>
      </c>
      <c r="CU144" s="229">
        <v>4.2000000000000003E-2</v>
      </c>
      <c r="CV144" s="230">
        <v>112890000</v>
      </c>
      <c r="CW144" s="230">
        <v>110137500</v>
      </c>
      <c r="CX144" s="230">
        <v>2752500</v>
      </c>
      <c r="CY144" s="229">
        <v>2.5000000000000001E-2</v>
      </c>
      <c r="CZ144" s="228">
        <v>29.53</v>
      </c>
      <c r="DA144" s="228">
        <v>29.33</v>
      </c>
      <c r="DB144" s="228">
        <v>0.2</v>
      </c>
      <c r="DC144" s="228">
        <v>0.2</v>
      </c>
      <c r="DD144" s="228">
        <v>49.69</v>
      </c>
      <c r="DE144" s="228">
        <v>49.81</v>
      </c>
      <c r="DF144" s="228">
        <v>-20.16</v>
      </c>
      <c r="DG144" s="228">
        <v>-0.12</v>
      </c>
      <c r="DH144" s="228">
        <v>28.99</v>
      </c>
      <c r="DI144" s="228">
        <v>28.64</v>
      </c>
      <c r="DJ144" s="228">
        <v>0.35</v>
      </c>
      <c r="DK144" s="228">
        <v>0.35</v>
      </c>
      <c r="DL144" s="228">
        <v>30.58</v>
      </c>
      <c r="DM144" s="228">
        <v>30.28</v>
      </c>
      <c r="DN144" s="228">
        <v>0.3</v>
      </c>
      <c r="DO144" s="228">
        <v>0.3</v>
      </c>
      <c r="DP144" s="228">
        <v>0.77</v>
      </c>
      <c r="DQ144" s="228">
        <v>0.77</v>
      </c>
      <c r="DR144" s="228">
        <v>0</v>
      </c>
      <c r="DS144" s="229">
        <v>0</v>
      </c>
      <c r="DT144" s="228">
        <v>200</v>
      </c>
      <c r="DU144" s="228">
        <v>180</v>
      </c>
      <c r="DV144" s="228">
        <v>0.52</v>
      </c>
      <c r="DW144" s="228">
        <v>0.73</v>
      </c>
      <c r="DX144" s="228">
        <v>-0.21</v>
      </c>
      <c r="DY144" s="229">
        <v>-0.28770000000000001</v>
      </c>
      <c r="DZ144" s="229">
        <v>0.1512</v>
      </c>
      <c r="EA144" s="230">
        <v>7350000</v>
      </c>
      <c r="EB144" s="229">
        <v>-5.1999999999999998E-3</v>
      </c>
      <c r="EC144" s="229">
        <v>0.1512</v>
      </c>
      <c r="ED144" s="228">
        <v>-0.92</v>
      </c>
      <c r="EE144" s="229">
        <v>-4.7999999999999996E-3</v>
      </c>
      <c r="EF144" s="230">
        <v>1707032</v>
      </c>
      <c r="EG144" s="230">
        <v>2112879</v>
      </c>
      <c r="EH144" s="229">
        <v>-0.19209999999999999</v>
      </c>
      <c r="EI144" s="229">
        <v>0.36</v>
      </c>
      <c r="EJ144" s="231">
        <v>50434.2</v>
      </c>
      <c r="EK144" s="231">
        <v>25504.74</v>
      </c>
      <c r="EL144" s="231">
        <v>29428.47</v>
      </c>
      <c r="EM144" s="228">
        <v>0</v>
      </c>
      <c r="EN144" s="231">
        <v>105367.41</v>
      </c>
      <c r="EO144" s="231">
        <v>99837.26</v>
      </c>
      <c r="EP144" s="231">
        <v>5530.15</v>
      </c>
      <c r="EQ144" s="229">
        <v>5.5399999999999998E-2</v>
      </c>
      <c r="ER144" s="231">
        <v>48398</v>
      </c>
      <c r="ES144" s="231">
        <v>35140</v>
      </c>
      <c r="ET144" s="231">
        <v>133543</v>
      </c>
      <c r="EU144" s="231">
        <v>178967755</v>
      </c>
      <c r="EV144" s="231">
        <v>217081</v>
      </c>
      <c r="EW144" s="231">
        <v>211528</v>
      </c>
      <c r="EX144" s="231">
        <v>5553</v>
      </c>
      <c r="EY144" s="229">
        <v>2.63E-2</v>
      </c>
      <c r="EZ144" s="229">
        <v>0.63080000000000003</v>
      </c>
      <c r="FA144" s="227" t="s">
        <v>555</v>
      </c>
      <c r="FB144" s="161">
        <f t="shared" si="3"/>
        <v>0</v>
      </c>
    </row>
    <row r="145" spans="1:158" ht="17.25" hidden="1" thickBot="1" x14ac:dyDescent="0.3">
      <c r="A145" s="226">
        <v>45889</v>
      </c>
      <c r="B145" s="227" t="s">
        <v>616</v>
      </c>
      <c r="C145" s="227" t="s">
        <v>264</v>
      </c>
      <c r="D145" s="228">
        <v>375</v>
      </c>
      <c r="E145" s="231">
        <v>1400.1</v>
      </c>
      <c r="F145" s="231">
        <v>1383.8</v>
      </c>
      <c r="G145" s="228">
        <v>16.3</v>
      </c>
      <c r="H145" s="229">
        <v>1.18E-2</v>
      </c>
      <c r="I145" s="231">
        <v>1395.5</v>
      </c>
      <c r="J145" s="231">
        <v>1380.8</v>
      </c>
      <c r="K145" s="228">
        <v>14.7</v>
      </c>
      <c r="L145" s="229">
        <v>1.06E-2</v>
      </c>
      <c r="M145" s="231">
        <v>1400.1</v>
      </c>
      <c r="N145" s="231">
        <v>1383.8</v>
      </c>
      <c r="O145" s="228">
        <v>16.3</v>
      </c>
      <c r="P145" s="229">
        <v>1.18E-2</v>
      </c>
      <c r="Q145" s="231">
        <v>1408.2</v>
      </c>
      <c r="R145" s="231">
        <v>1391.1</v>
      </c>
      <c r="S145" s="228">
        <v>17.100000000000001</v>
      </c>
      <c r="T145" s="229">
        <v>1.23E-2</v>
      </c>
      <c r="U145" s="231">
        <v>1414</v>
      </c>
      <c r="V145" s="231">
        <v>1398.2</v>
      </c>
      <c r="W145" s="228">
        <v>15.8</v>
      </c>
      <c r="X145" s="229">
        <v>1.1299999999999999E-2</v>
      </c>
      <c r="Y145" s="228">
        <v>4.5999999999999996</v>
      </c>
      <c r="Z145" s="228">
        <v>3</v>
      </c>
      <c r="AA145" s="228">
        <v>1.6</v>
      </c>
      <c r="AB145" s="229">
        <v>3.3E-3</v>
      </c>
      <c r="AC145" s="228">
        <v>4.5999999999999996</v>
      </c>
      <c r="AD145" s="228">
        <v>3</v>
      </c>
      <c r="AE145" s="228">
        <v>1.6</v>
      </c>
      <c r="AF145" s="229">
        <v>3.3E-3</v>
      </c>
      <c r="AG145" s="228">
        <v>12.7</v>
      </c>
      <c r="AH145" s="228">
        <v>10.3</v>
      </c>
      <c r="AI145" s="228">
        <v>2.4</v>
      </c>
      <c r="AJ145" s="229">
        <v>9.1000000000000004E-3</v>
      </c>
      <c r="AK145" s="228">
        <v>18.5</v>
      </c>
      <c r="AL145" s="228">
        <v>17.399999999999999</v>
      </c>
      <c r="AM145" s="228">
        <v>1.1000000000000001</v>
      </c>
      <c r="AN145" s="229">
        <v>1.3299999999999999E-2</v>
      </c>
      <c r="AO145" s="231">
        <v>1394.43</v>
      </c>
      <c r="AP145" s="231">
        <v>1401.41</v>
      </c>
      <c r="AQ145" s="228">
        <v>0</v>
      </c>
      <c r="AR145" s="230">
        <v>1912875</v>
      </c>
      <c r="AS145" s="230">
        <v>1265250</v>
      </c>
      <c r="AT145" s="230">
        <v>647625</v>
      </c>
      <c r="AU145" s="229">
        <v>0.51190000000000002</v>
      </c>
      <c r="AV145" s="230">
        <v>1479750</v>
      </c>
      <c r="AW145" s="230">
        <v>1135875</v>
      </c>
      <c r="AX145" s="230">
        <v>343875</v>
      </c>
      <c r="AY145" s="229">
        <v>0.30270000000000002</v>
      </c>
      <c r="AZ145" s="230">
        <v>430500</v>
      </c>
      <c r="BA145" s="230">
        <v>124500</v>
      </c>
      <c r="BB145" s="230">
        <v>306000</v>
      </c>
      <c r="BC145" s="229">
        <v>2.4578000000000002</v>
      </c>
      <c r="BD145" s="230">
        <v>2625</v>
      </c>
      <c r="BE145" s="230">
        <v>4875</v>
      </c>
      <c r="BF145" s="230">
        <v>-2250</v>
      </c>
      <c r="BG145" s="229">
        <v>-0.46150000000000002</v>
      </c>
      <c r="BH145" s="230">
        <v>2737125</v>
      </c>
      <c r="BI145" s="230">
        <v>1980000</v>
      </c>
      <c r="BJ145" s="230">
        <v>757125</v>
      </c>
      <c r="BK145" s="229">
        <v>0.38240000000000002</v>
      </c>
      <c r="BL145" s="230">
        <v>2044125</v>
      </c>
      <c r="BM145" s="230">
        <v>1174125</v>
      </c>
      <c r="BN145" s="230">
        <v>870000</v>
      </c>
      <c r="BO145" s="229">
        <v>0.74099999999999999</v>
      </c>
      <c r="BP145" s="230">
        <v>6694125</v>
      </c>
      <c r="BQ145" s="230">
        <v>4419375</v>
      </c>
      <c r="BR145" s="230">
        <v>2274750</v>
      </c>
      <c r="BS145" s="229">
        <v>0.51470000000000005</v>
      </c>
      <c r="BT145" s="230">
        <v>1610775</v>
      </c>
      <c r="BU145" s="230">
        <v>1546383</v>
      </c>
      <c r="BV145" s="230">
        <v>64392</v>
      </c>
      <c r="BW145" s="229">
        <v>4.1599999999999998E-2</v>
      </c>
      <c r="BX145" s="230">
        <v>12421500</v>
      </c>
      <c r="BY145" s="230">
        <v>12452625</v>
      </c>
      <c r="BZ145" s="230">
        <v>-31125</v>
      </c>
      <c r="CA145" s="229">
        <v>-2.5000000000000001E-3</v>
      </c>
      <c r="CB145" s="230">
        <v>11933250</v>
      </c>
      <c r="CC145" s="230">
        <v>12200625</v>
      </c>
      <c r="CD145" s="230">
        <v>-267375</v>
      </c>
      <c r="CE145" s="229">
        <v>-2.1899999999999999E-2</v>
      </c>
      <c r="CF145" s="230">
        <v>478125</v>
      </c>
      <c r="CG145" s="230">
        <v>241500</v>
      </c>
      <c r="CH145" s="230">
        <v>236625</v>
      </c>
      <c r="CI145" s="229">
        <v>0.9798</v>
      </c>
      <c r="CJ145" s="230">
        <v>10125</v>
      </c>
      <c r="CK145" s="230">
        <v>10500</v>
      </c>
      <c r="CL145" s="228">
        <v>-375</v>
      </c>
      <c r="CM145" s="229">
        <v>-3.5700000000000003E-2</v>
      </c>
      <c r="CN145" s="230">
        <v>1726500</v>
      </c>
      <c r="CO145" s="230">
        <v>1789500</v>
      </c>
      <c r="CP145" s="230">
        <v>-63000</v>
      </c>
      <c r="CQ145" s="229">
        <v>-3.5200000000000002E-2</v>
      </c>
      <c r="CR145" s="230">
        <v>1328250</v>
      </c>
      <c r="CS145" s="230">
        <v>1333875</v>
      </c>
      <c r="CT145" s="230">
        <v>-5625</v>
      </c>
      <c r="CU145" s="229">
        <v>-4.1999999999999997E-3</v>
      </c>
      <c r="CV145" s="230">
        <v>15476250</v>
      </c>
      <c r="CW145" s="230">
        <v>15576000</v>
      </c>
      <c r="CX145" s="230">
        <v>-99750</v>
      </c>
      <c r="CY145" s="229">
        <v>-6.4000000000000003E-3</v>
      </c>
      <c r="CZ145" s="228">
        <v>29.1</v>
      </c>
      <c r="DA145" s="228">
        <v>29.08</v>
      </c>
      <c r="DB145" s="228">
        <v>0.02</v>
      </c>
      <c r="DC145" s="228">
        <v>0.02</v>
      </c>
      <c r="DD145" s="228">
        <v>39.82</v>
      </c>
      <c r="DE145" s="228">
        <v>39.89</v>
      </c>
      <c r="DF145" s="228">
        <v>-10.72</v>
      </c>
      <c r="DG145" s="228">
        <v>-7.0000000000000007E-2</v>
      </c>
      <c r="DH145" s="228">
        <v>28.56</v>
      </c>
      <c r="DI145" s="228">
        <v>28.62</v>
      </c>
      <c r="DJ145" s="228">
        <v>-0.06</v>
      </c>
      <c r="DK145" s="228">
        <v>-0.06</v>
      </c>
      <c r="DL145" s="228">
        <v>29.81</v>
      </c>
      <c r="DM145" s="228">
        <v>29.85</v>
      </c>
      <c r="DN145" s="228">
        <v>-0.04</v>
      </c>
      <c r="DO145" s="228">
        <v>-0.04</v>
      </c>
      <c r="DP145" s="228">
        <v>0.77</v>
      </c>
      <c r="DQ145" s="228">
        <v>0.75</v>
      </c>
      <c r="DR145" s="228">
        <v>0.02</v>
      </c>
      <c r="DS145" s="229">
        <v>2.6700000000000002E-2</v>
      </c>
      <c r="DT145" s="231">
        <v>1400</v>
      </c>
      <c r="DU145" s="231">
        <v>1320</v>
      </c>
      <c r="DV145" s="228">
        <v>0.75</v>
      </c>
      <c r="DW145" s="228">
        <v>0.59</v>
      </c>
      <c r="DX145" s="228">
        <v>0.16</v>
      </c>
      <c r="DY145" s="229">
        <v>0.2712</v>
      </c>
      <c r="DZ145" s="229">
        <v>3.9300000000000002E-2</v>
      </c>
      <c r="EA145" s="230">
        <v>252000</v>
      </c>
      <c r="EB145" s="229">
        <v>5.7999999999999996E-3</v>
      </c>
      <c r="EC145" s="229">
        <v>3.9300000000000002E-2</v>
      </c>
      <c r="ED145" s="228">
        <v>6.98</v>
      </c>
      <c r="EE145" s="229">
        <v>5.0000000000000001E-3</v>
      </c>
      <c r="EF145" s="230">
        <v>1026007</v>
      </c>
      <c r="EG145" s="230">
        <v>1112571</v>
      </c>
      <c r="EH145" s="229">
        <v>-7.7799999999999994E-2</v>
      </c>
      <c r="EI145" s="229">
        <v>0.63700000000000001</v>
      </c>
      <c r="EJ145" s="231">
        <v>39144.17</v>
      </c>
      <c r="EK145" s="231">
        <v>27688.25</v>
      </c>
      <c r="EL145" s="231">
        <v>26704.09</v>
      </c>
      <c r="EM145" s="228">
        <v>0</v>
      </c>
      <c r="EN145" s="231">
        <v>93536.51</v>
      </c>
      <c r="EO145" s="231">
        <v>61190.18</v>
      </c>
      <c r="EP145" s="231">
        <v>32346.33</v>
      </c>
      <c r="EQ145" s="229">
        <v>0.52859999999999996</v>
      </c>
      <c r="ER145" s="231">
        <v>24915</v>
      </c>
      <c r="ES145" s="231">
        <v>17796</v>
      </c>
      <c r="ET145" s="231">
        <v>173954</v>
      </c>
      <c r="EU145" s="231">
        <v>80707882</v>
      </c>
      <c r="EV145" s="231">
        <v>216665</v>
      </c>
      <c r="EW145" s="231">
        <v>215870</v>
      </c>
      <c r="EX145" s="228">
        <v>795</v>
      </c>
      <c r="EY145" s="229">
        <v>3.7000000000000002E-3</v>
      </c>
      <c r="EZ145" s="229">
        <v>0.1918</v>
      </c>
      <c r="FA145" s="227" t="s">
        <v>556</v>
      </c>
      <c r="FB145" s="161">
        <f t="shared" si="3"/>
        <v>0</v>
      </c>
    </row>
    <row r="146" spans="1:158" ht="17.25" hidden="1" thickBot="1" x14ac:dyDescent="0.3">
      <c r="A146" s="226">
        <v>45889</v>
      </c>
      <c r="B146" s="227" t="s">
        <v>206</v>
      </c>
      <c r="C146" s="227" t="s">
        <v>550</v>
      </c>
      <c r="D146" s="228">
        <v>6500</v>
      </c>
      <c r="E146" s="228">
        <v>105.58</v>
      </c>
      <c r="F146" s="228">
        <v>106.87</v>
      </c>
      <c r="G146" s="228">
        <v>-1.29</v>
      </c>
      <c r="H146" s="229">
        <v>-1.21E-2</v>
      </c>
      <c r="I146" s="228">
        <v>105.39</v>
      </c>
      <c r="J146" s="228">
        <v>106.58</v>
      </c>
      <c r="K146" s="228">
        <v>-1.19</v>
      </c>
      <c r="L146" s="229">
        <v>-1.12E-2</v>
      </c>
      <c r="M146" s="228">
        <v>105.58</v>
      </c>
      <c r="N146" s="228">
        <v>106.87</v>
      </c>
      <c r="O146" s="228">
        <v>-1.29</v>
      </c>
      <c r="P146" s="229">
        <v>-1.21E-2</v>
      </c>
      <c r="Q146" s="228">
        <v>106.07</v>
      </c>
      <c r="R146" s="228">
        <v>107.38</v>
      </c>
      <c r="S146" s="228">
        <v>-1.31</v>
      </c>
      <c r="T146" s="229">
        <v>-1.2200000000000001E-2</v>
      </c>
      <c r="U146" s="228">
        <v>106.5</v>
      </c>
      <c r="V146" s="228">
        <v>108.08</v>
      </c>
      <c r="W146" s="228">
        <v>-1.58</v>
      </c>
      <c r="X146" s="229">
        <v>-1.46E-2</v>
      </c>
      <c r="Y146" s="228">
        <v>0.19</v>
      </c>
      <c r="Z146" s="228">
        <v>0.28999999999999998</v>
      </c>
      <c r="AA146" s="228">
        <v>-0.1</v>
      </c>
      <c r="AB146" s="229">
        <v>1.8E-3</v>
      </c>
      <c r="AC146" s="228">
        <v>0.19</v>
      </c>
      <c r="AD146" s="228">
        <v>0.28999999999999998</v>
      </c>
      <c r="AE146" s="228">
        <v>-0.1</v>
      </c>
      <c r="AF146" s="229">
        <v>1.8E-3</v>
      </c>
      <c r="AG146" s="228">
        <v>0.68</v>
      </c>
      <c r="AH146" s="228">
        <v>0.8</v>
      </c>
      <c r="AI146" s="228">
        <v>-0.12</v>
      </c>
      <c r="AJ146" s="229">
        <v>6.4999999999999997E-3</v>
      </c>
      <c r="AK146" s="228">
        <v>1.1100000000000001</v>
      </c>
      <c r="AL146" s="228">
        <v>1.5</v>
      </c>
      <c r="AM146" s="228">
        <v>-0.39</v>
      </c>
      <c r="AN146" s="229">
        <v>1.0500000000000001E-2</v>
      </c>
      <c r="AO146" s="228">
        <v>106.17</v>
      </c>
      <c r="AP146" s="228">
        <v>106.53</v>
      </c>
      <c r="AQ146" s="228">
        <v>0</v>
      </c>
      <c r="AR146" s="230">
        <v>10062000</v>
      </c>
      <c r="AS146" s="230">
        <v>5609500</v>
      </c>
      <c r="AT146" s="230">
        <v>4452500</v>
      </c>
      <c r="AU146" s="229">
        <v>0.79369999999999996</v>
      </c>
      <c r="AV146" s="230">
        <v>7722000</v>
      </c>
      <c r="AW146" s="230">
        <v>4036500</v>
      </c>
      <c r="AX146" s="230">
        <v>3685500</v>
      </c>
      <c r="AY146" s="229">
        <v>0.91300000000000003</v>
      </c>
      <c r="AZ146" s="230">
        <v>2268500</v>
      </c>
      <c r="BA146" s="230">
        <v>1547000</v>
      </c>
      <c r="BB146" s="230">
        <v>721500</v>
      </c>
      <c r="BC146" s="229">
        <v>0.46639999999999998</v>
      </c>
      <c r="BD146" s="230">
        <v>71500</v>
      </c>
      <c r="BE146" s="230">
        <v>26000</v>
      </c>
      <c r="BF146" s="230">
        <v>45500</v>
      </c>
      <c r="BG146" s="229">
        <v>1.75</v>
      </c>
      <c r="BH146" s="230">
        <v>9067500</v>
      </c>
      <c r="BI146" s="230">
        <v>5590000</v>
      </c>
      <c r="BJ146" s="230">
        <v>3477500</v>
      </c>
      <c r="BK146" s="229">
        <v>0.62209999999999999</v>
      </c>
      <c r="BL146" s="230">
        <v>3757000</v>
      </c>
      <c r="BM146" s="230">
        <v>2275000</v>
      </c>
      <c r="BN146" s="230">
        <v>1482000</v>
      </c>
      <c r="BO146" s="229">
        <v>0.65139999999999998</v>
      </c>
      <c r="BP146" s="230">
        <v>22886500</v>
      </c>
      <c r="BQ146" s="230">
        <v>13474500</v>
      </c>
      <c r="BR146" s="230">
        <v>9412000</v>
      </c>
      <c r="BS146" s="229">
        <v>0.69850000000000001</v>
      </c>
      <c r="BT146" s="230">
        <v>6073172</v>
      </c>
      <c r="BU146" s="230">
        <v>3843304</v>
      </c>
      <c r="BV146" s="230">
        <v>2229868</v>
      </c>
      <c r="BW146" s="229">
        <v>0.58020000000000005</v>
      </c>
      <c r="BX146" s="230">
        <v>53365000</v>
      </c>
      <c r="BY146" s="230">
        <v>52552500</v>
      </c>
      <c r="BZ146" s="230">
        <v>812500</v>
      </c>
      <c r="CA146" s="229">
        <v>1.55E-2</v>
      </c>
      <c r="CB146" s="230">
        <v>47495500</v>
      </c>
      <c r="CC146" s="230">
        <v>48074000</v>
      </c>
      <c r="CD146" s="230">
        <v>-578500</v>
      </c>
      <c r="CE146" s="229">
        <v>-1.2E-2</v>
      </c>
      <c r="CF146" s="230">
        <v>5583500</v>
      </c>
      <c r="CG146" s="230">
        <v>4251000</v>
      </c>
      <c r="CH146" s="230">
        <v>1332500</v>
      </c>
      <c r="CI146" s="229">
        <v>0.3135</v>
      </c>
      <c r="CJ146" s="230">
        <v>286000</v>
      </c>
      <c r="CK146" s="230">
        <v>227500</v>
      </c>
      <c r="CL146" s="230">
        <v>58500</v>
      </c>
      <c r="CM146" s="229">
        <v>0.2571</v>
      </c>
      <c r="CN146" s="230">
        <v>16412500</v>
      </c>
      <c r="CO146" s="230">
        <v>15197000</v>
      </c>
      <c r="CP146" s="230">
        <v>1215500</v>
      </c>
      <c r="CQ146" s="229">
        <v>0.08</v>
      </c>
      <c r="CR146" s="230">
        <v>7878000</v>
      </c>
      <c r="CS146" s="230">
        <v>7540000</v>
      </c>
      <c r="CT146" s="230">
        <v>338000</v>
      </c>
      <c r="CU146" s="229">
        <v>4.48E-2</v>
      </c>
      <c r="CV146" s="230">
        <v>77655500</v>
      </c>
      <c r="CW146" s="230">
        <v>75289500</v>
      </c>
      <c r="CX146" s="230">
        <v>2366000</v>
      </c>
      <c r="CY146" s="229">
        <v>3.1399999999999997E-2</v>
      </c>
      <c r="CZ146" s="228">
        <v>38.08</v>
      </c>
      <c r="DA146" s="228">
        <v>36.51</v>
      </c>
      <c r="DB146" s="228">
        <v>1.57</v>
      </c>
      <c r="DC146" s="228">
        <v>1.57</v>
      </c>
      <c r="DD146" s="228">
        <v>55.69</v>
      </c>
      <c r="DE146" s="228">
        <v>55.81</v>
      </c>
      <c r="DF146" s="228">
        <v>-17.61</v>
      </c>
      <c r="DG146" s="228">
        <v>-0.12</v>
      </c>
      <c r="DH146" s="228">
        <v>39.08</v>
      </c>
      <c r="DI146" s="228">
        <v>36.94</v>
      </c>
      <c r="DJ146" s="228">
        <v>2.14</v>
      </c>
      <c r="DK146" s="228">
        <v>2.14</v>
      </c>
      <c r="DL146" s="228">
        <v>35.65</v>
      </c>
      <c r="DM146" s="228">
        <v>35.450000000000003</v>
      </c>
      <c r="DN146" s="228">
        <v>0.2</v>
      </c>
      <c r="DO146" s="228">
        <v>0.2</v>
      </c>
      <c r="DP146" s="228">
        <v>0.48</v>
      </c>
      <c r="DQ146" s="228">
        <v>0.5</v>
      </c>
      <c r="DR146" s="228">
        <v>-0.02</v>
      </c>
      <c r="DS146" s="229">
        <v>-0.04</v>
      </c>
      <c r="DT146" s="228">
        <v>110</v>
      </c>
      <c r="DU146" s="228">
        <v>105</v>
      </c>
      <c r="DV146" s="228">
        <v>0.41</v>
      </c>
      <c r="DW146" s="228">
        <v>0.41</v>
      </c>
      <c r="DX146" s="228">
        <v>0</v>
      </c>
      <c r="DY146" s="229">
        <v>0</v>
      </c>
      <c r="DZ146" s="229">
        <v>0.11</v>
      </c>
      <c r="EA146" s="230">
        <v>4478500</v>
      </c>
      <c r="EB146" s="229">
        <v>4.5999999999999999E-3</v>
      </c>
      <c r="EC146" s="229">
        <v>0.11</v>
      </c>
      <c r="ED146" s="228">
        <v>0.36</v>
      </c>
      <c r="EE146" s="229">
        <v>3.3999999999999998E-3</v>
      </c>
      <c r="EF146" s="230">
        <v>1863808</v>
      </c>
      <c r="EG146" s="230">
        <v>1431815</v>
      </c>
      <c r="EH146" s="229">
        <v>0.30170000000000002</v>
      </c>
      <c r="EI146" s="229">
        <v>0.30690000000000001</v>
      </c>
      <c r="EJ146" s="231">
        <v>10088.969999999999</v>
      </c>
      <c r="EK146" s="231">
        <v>3975.56</v>
      </c>
      <c r="EL146" s="231">
        <v>10691.66</v>
      </c>
      <c r="EM146" s="228">
        <v>0</v>
      </c>
      <c r="EN146" s="231">
        <v>24756.19</v>
      </c>
      <c r="EO146" s="231">
        <v>14674.95</v>
      </c>
      <c r="EP146" s="231">
        <v>10081.24</v>
      </c>
      <c r="EQ146" s="229">
        <v>0.68700000000000006</v>
      </c>
      <c r="ER146" s="231">
        <v>18644</v>
      </c>
      <c r="ES146" s="231">
        <v>8336</v>
      </c>
      <c r="ET146" s="231">
        <v>56373</v>
      </c>
      <c r="EU146" s="231">
        <v>206526272</v>
      </c>
      <c r="EV146" s="231">
        <v>83353</v>
      </c>
      <c r="EW146" s="231">
        <v>81501</v>
      </c>
      <c r="EX146" s="231">
        <v>1852</v>
      </c>
      <c r="EY146" s="229">
        <v>2.2700000000000001E-2</v>
      </c>
      <c r="EZ146" s="229">
        <v>0.376</v>
      </c>
      <c r="FA146" s="227" t="s">
        <v>567</v>
      </c>
      <c r="FB146" s="161">
        <f t="shared" si="3"/>
        <v>0</v>
      </c>
    </row>
    <row r="147" spans="1:158" ht="17.25" hidden="1" thickBot="1" x14ac:dyDescent="0.3">
      <c r="A147" s="226">
        <v>45889</v>
      </c>
      <c r="B147" s="227" t="s">
        <v>215</v>
      </c>
      <c r="C147" s="227" t="s">
        <v>592</v>
      </c>
      <c r="D147" s="228">
        <v>2700</v>
      </c>
      <c r="E147" s="228">
        <v>221.33</v>
      </c>
      <c r="F147" s="228">
        <v>223.01</v>
      </c>
      <c r="G147" s="228">
        <v>-1.68</v>
      </c>
      <c r="H147" s="229">
        <v>-7.4999999999999997E-3</v>
      </c>
      <c r="I147" s="228">
        <v>220.84</v>
      </c>
      <c r="J147" s="228">
        <v>222.26</v>
      </c>
      <c r="K147" s="228">
        <v>-1.42</v>
      </c>
      <c r="L147" s="229">
        <v>-6.4000000000000003E-3</v>
      </c>
      <c r="M147" s="228">
        <v>221.33</v>
      </c>
      <c r="N147" s="228">
        <v>223.01</v>
      </c>
      <c r="O147" s="228">
        <v>-1.68</v>
      </c>
      <c r="P147" s="229">
        <v>-7.4999999999999997E-3</v>
      </c>
      <c r="Q147" s="228">
        <v>222.61</v>
      </c>
      <c r="R147" s="228">
        <v>224.05</v>
      </c>
      <c r="S147" s="228">
        <v>-1.44</v>
      </c>
      <c r="T147" s="229">
        <v>-6.4000000000000003E-3</v>
      </c>
      <c r="U147" s="228">
        <v>223.5</v>
      </c>
      <c r="V147" s="228">
        <v>223.41</v>
      </c>
      <c r="W147" s="228">
        <v>0.09</v>
      </c>
      <c r="X147" s="229">
        <v>4.0000000000000002E-4</v>
      </c>
      <c r="Y147" s="228">
        <v>0.49</v>
      </c>
      <c r="Z147" s="228">
        <v>0.75</v>
      </c>
      <c r="AA147" s="228">
        <v>-0.26</v>
      </c>
      <c r="AB147" s="229">
        <v>2.2000000000000001E-3</v>
      </c>
      <c r="AC147" s="228">
        <v>0.49</v>
      </c>
      <c r="AD147" s="228">
        <v>0.75</v>
      </c>
      <c r="AE147" s="228">
        <v>-0.26</v>
      </c>
      <c r="AF147" s="229">
        <v>2.2000000000000001E-3</v>
      </c>
      <c r="AG147" s="228">
        <v>1.77</v>
      </c>
      <c r="AH147" s="228">
        <v>1.79</v>
      </c>
      <c r="AI147" s="228">
        <v>-0.02</v>
      </c>
      <c r="AJ147" s="229">
        <v>8.0000000000000002E-3</v>
      </c>
      <c r="AK147" s="228">
        <v>2.66</v>
      </c>
      <c r="AL147" s="228">
        <v>1.1499999999999999</v>
      </c>
      <c r="AM147" s="228">
        <v>1.51</v>
      </c>
      <c r="AN147" s="229">
        <v>1.2E-2</v>
      </c>
      <c r="AO147" s="228">
        <v>221.51</v>
      </c>
      <c r="AP147" s="228">
        <v>222.68</v>
      </c>
      <c r="AQ147" s="228">
        <v>0</v>
      </c>
      <c r="AR147" s="230">
        <v>2494800</v>
      </c>
      <c r="AS147" s="230">
        <v>3010500</v>
      </c>
      <c r="AT147" s="230">
        <v>-515700</v>
      </c>
      <c r="AU147" s="229">
        <v>-0.17130000000000001</v>
      </c>
      <c r="AV147" s="230">
        <v>1598400</v>
      </c>
      <c r="AW147" s="230">
        <v>2478600</v>
      </c>
      <c r="AX147" s="230">
        <v>-880200</v>
      </c>
      <c r="AY147" s="229">
        <v>-0.35510000000000003</v>
      </c>
      <c r="AZ147" s="230">
        <v>858600</v>
      </c>
      <c r="BA147" s="230">
        <v>518400</v>
      </c>
      <c r="BB147" s="230">
        <v>340200</v>
      </c>
      <c r="BC147" s="229">
        <v>0.65629999999999999</v>
      </c>
      <c r="BD147" s="230">
        <v>37800</v>
      </c>
      <c r="BE147" s="230">
        <v>13500</v>
      </c>
      <c r="BF147" s="230">
        <v>24300</v>
      </c>
      <c r="BG147" s="229">
        <v>1.8</v>
      </c>
      <c r="BH147" s="230">
        <v>4190400</v>
      </c>
      <c r="BI147" s="230">
        <v>5259600</v>
      </c>
      <c r="BJ147" s="230">
        <v>-1069200</v>
      </c>
      <c r="BK147" s="229">
        <v>-0.20330000000000001</v>
      </c>
      <c r="BL147" s="230">
        <v>1665900</v>
      </c>
      <c r="BM147" s="230">
        <v>3115800</v>
      </c>
      <c r="BN147" s="230">
        <v>-1449900</v>
      </c>
      <c r="BO147" s="229">
        <v>-0.46529999999999999</v>
      </c>
      <c r="BP147" s="230">
        <v>8351100</v>
      </c>
      <c r="BQ147" s="230">
        <v>11385900</v>
      </c>
      <c r="BR147" s="230">
        <v>-3034800</v>
      </c>
      <c r="BS147" s="229">
        <v>-0.26650000000000001</v>
      </c>
      <c r="BT147" s="230">
        <v>1185146</v>
      </c>
      <c r="BU147" s="230">
        <v>1704144</v>
      </c>
      <c r="BV147" s="230">
        <v>-518998</v>
      </c>
      <c r="BW147" s="229">
        <v>-0.30459999999999998</v>
      </c>
      <c r="BX147" s="230">
        <v>15017400</v>
      </c>
      <c r="BY147" s="230">
        <v>14450400</v>
      </c>
      <c r="BZ147" s="230">
        <v>567000</v>
      </c>
      <c r="CA147" s="229">
        <v>3.9199999999999999E-2</v>
      </c>
      <c r="CB147" s="230">
        <v>13232700</v>
      </c>
      <c r="CC147" s="230">
        <v>13149000</v>
      </c>
      <c r="CD147" s="230">
        <v>83700</v>
      </c>
      <c r="CE147" s="229">
        <v>6.4000000000000003E-3</v>
      </c>
      <c r="CF147" s="230">
        <v>1641600</v>
      </c>
      <c r="CG147" s="230">
        <v>1182600</v>
      </c>
      <c r="CH147" s="230">
        <v>459000</v>
      </c>
      <c r="CI147" s="229">
        <v>0.3881</v>
      </c>
      <c r="CJ147" s="230">
        <v>143100</v>
      </c>
      <c r="CK147" s="230">
        <v>118800</v>
      </c>
      <c r="CL147" s="230">
        <v>24300</v>
      </c>
      <c r="CM147" s="229">
        <v>0.20449999999999999</v>
      </c>
      <c r="CN147" s="230">
        <v>7584300</v>
      </c>
      <c r="CO147" s="230">
        <v>7244100</v>
      </c>
      <c r="CP147" s="230">
        <v>340200</v>
      </c>
      <c r="CQ147" s="229">
        <v>4.7E-2</v>
      </c>
      <c r="CR147" s="230">
        <v>5556600</v>
      </c>
      <c r="CS147" s="230">
        <v>5643000</v>
      </c>
      <c r="CT147" s="230">
        <v>-86400</v>
      </c>
      <c r="CU147" s="229">
        <v>-1.5299999999999999E-2</v>
      </c>
      <c r="CV147" s="230">
        <v>28158300</v>
      </c>
      <c r="CW147" s="230">
        <v>27337500</v>
      </c>
      <c r="CX147" s="230">
        <v>820800</v>
      </c>
      <c r="CY147" s="229">
        <v>0.03</v>
      </c>
      <c r="CZ147" s="228">
        <v>30.61</v>
      </c>
      <c r="DA147" s="228">
        <v>30.44</v>
      </c>
      <c r="DB147" s="228">
        <v>0.17</v>
      </c>
      <c r="DC147" s="228">
        <v>0.17</v>
      </c>
      <c r="DD147" s="228">
        <v>50.22</v>
      </c>
      <c r="DE147" s="228">
        <v>50.34</v>
      </c>
      <c r="DF147" s="228">
        <v>-19.61</v>
      </c>
      <c r="DG147" s="228">
        <v>-0.12</v>
      </c>
      <c r="DH147" s="228">
        <v>30.31</v>
      </c>
      <c r="DI147" s="228">
        <v>29.91</v>
      </c>
      <c r="DJ147" s="228">
        <v>0.4</v>
      </c>
      <c r="DK147" s="228">
        <v>0.4</v>
      </c>
      <c r="DL147" s="228">
        <v>31.36</v>
      </c>
      <c r="DM147" s="228">
        <v>31.35</v>
      </c>
      <c r="DN147" s="228">
        <v>0.01</v>
      </c>
      <c r="DO147" s="228">
        <v>0.01</v>
      </c>
      <c r="DP147" s="228">
        <v>0.73</v>
      </c>
      <c r="DQ147" s="228">
        <v>0.78</v>
      </c>
      <c r="DR147" s="228">
        <v>-0.05</v>
      </c>
      <c r="DS147" s="229">
        <v>-6.4100000000000004E-2</v>
      </c>
      <c r="DT147" s="228">
        <v>230</v>
      </c>
      <c r="DU147" s="228">
        <v>220</v>
      </c>
      <c r="DV147" s="228">
        <v>0.4</v>
      </c>
      <c r="DW147" s="228">
        <v>0.59</v>
      </c>
      <c r="DX147" s="228">
        <v>-0.19</v>
      </c>
      <c r="DY147" s="229">
        <v>-0.32200000000000001</v>
      </c>
      <c r="DZ147" s="229">
        <v>0.1188</v>
      </c>
      <c r="EA147" s="230">
        <v>1301400</v>
      </c>
      <c r="EB147" s="229">
        <v>5.7999999999999996E-3</v>
      </c>
      <c r="EC147" s="229">
        <v>0.1188</v>
      </c>
      <c r="ED147" s="228">
        <v>1.17</v>
      </c>
      <c r="EE147" s="229">
        <v>5.3E-3</v>
      </c>
      <c r="EF147" s="230">
        <v>542313</v>
      </c>
      <c r="EG147" s="230">
        <v>806512</v>
      </c>
      <c r="EH147" s="229">
        <v>-0.3276</v>
      </c>
      <c r="EI147" s="229">
        <v>0.45760000000000001</v>
      </c>
      <c r="EJ147" s="231">
        <v>9586.7900000000009</v>
      </c>
      <c r="EK147" s="231">
        <v>3720.39</v>
      </c>
      <c r="EL147" s="231">
        <v>5537.01</v>
      </c>
      <c r="EM147" s="228">
        <v>0</v>
      </c>
      <c r="EN147" s="231">
        <v>18844.189999999999</v>
      </c>
      <c r="EO147" s="231">
        <v>25580.5</v>
      </c>
      <c r="EP147" s="231">
        <v>-6736.31</v>
      </c>
      <c r="EQ147" s="229">
        <v>-0.26329999999999998</v>
      </c>
      <c r="ER147" s="231">
        <v>17226</v>
      </c>
      <c r="ES147" s="231">
        <v>11727</v>
      </c>
      <c r="ET147" s="231">
        <v>33262</v>
      </c>
      <c r="EU147" s="231">
        <v>97811871</v>
      </c>
      <c r="EV147" s="231">
        <v>62215</v>
      </c>
      <c r="EW147" s="231">
        <v>60634</v>
      </c>
      <c r="EX147" s="231">
        <v>1581</v>
      </c>
      <c r="EY147" s="229">
        <v>2.6100000000000002E-2</v>
      </c>
      <c r="EZ147" s="229">
        <v>0.28789999999999999</v>
      </c>
      <c r="FA147" s="227" t="s">
        <v>567</v>
      </c>
      <c r="FB147" s="161">
        <f t="shared" si="3"/>
        <v>0</v>
      </c>
    </row>
    <row r="148" spans="1:158" ht="17.25" hidden="1" thickBot="1" x14ac:dyDescent="0.3">
      <c r="A148" s="226">
        <v>45889</v>
      </c>
      <c r="B148" s="227" t="s">
        <v>168</v>
      </c>
      <c r="C148" s="227" t="s">
        <v>265</v>
      </c>
      <c r="D148" s="228">
        <v>500</v>
      </c>
      <c r="E148" s="231">
        <v>1191.3</v>
      </c>
      <c r="F148" s="231">
        <v>1163.5</v>
      </c>
      <c r="G148" s="228">
        <v>27.8</v>
      </c>
      <c r="H148" s="229">
        <v>2.3900000000000001E-2</v>
      </c>
      <c r="I148" s="231">
        <v>1190.3</v>
      </c>
      <c r="J148" s="231">
        <v>1161.4000000000001</v>
      </c>
      <c r="K148" s="228">
        <v>28.9</v>
      </c>
      <c r="L148" s="229">
        <v>2.4899999999999999E-2</v>
      </c>
      <c r="M148" s="231">
        <v>1191.3</v>
      </c>
      <c r="N148" s="231">
        <v>1163.5</v>
      </c>
      <c r="O148" s="228">
        <v>27.8</v>
      </c>
      <c r="P148" s="229">
        <v>2.3900000000000001E-2</v>
      </c>
      <c r="Q148" s="231">
        <v>1197.9000000000001</v>
      </c>
      <c r="R148" s="231">
        <v>1169.3</v>
      </c>
      <c r="S148" s="228">
        <v>28.6</v>
      </c>
      <c r="T148" s="229">
        <v>2.4500000000000001E-2</v>
      </c>
      <c r="U148" s="231">
        <v>1203</v>
      </c>
      <c r="V148" s="231">
        <v>1176.2</v>
      </c>
      <c r="W148" s="228">
        <v>26.8</v>
      </c>
      <c r="X148" s="229">
        <v>2.2800000000000001E-2</v>
      </c>
      <c r="Y148" s="228">
        <v>1</v>
      </c>
      <c r="Z148" s="228">
        <v>2.1</v>
      </c>
      <c r="AA148" s="228">
        <v>-1.1000000000000001</v>
      </c>
      <c r="AB148" s="229">
        <v>8.0000000000000004E-4</v>
      </c>
      <c r="AC148" s="228">
        <v>1</v>
      </c>
      <c r="AD148" s="228">
        <v>2.1</v>
      </c>
      <c r="AE148" s="228">
        <v>-1.1000000000000001</v>
      </c>
      <c r="AF148" s="229">
        <v>8.0000000000000004E-4</v>
      </c>
      <c r="AG148" s="228">
        <v>7.6</v>
      </c>
      <c r="AH148" s="228">
        <v>7.9</v>
      </c>
      <c r="AI148" s="228">
        <v>-0.3</v>
      </c>
      <c r="AJ148" s="229">
        <v>6.4000000000000003E-3</v>
      </c>
      <c r="AK148" s="228">
        <v>12.7</v>
      </c>
      <c r="AL148" s="228">
        <v>14.8</v>
      </c>
      <c r="AM148" s="228">
        <v>-2.1</v>
      </c>
      <c r="AN148" s="229">
        <v>1.0699999999999999E-2</v>
      </c>
      <c r="AO148" s="231">
        <v>1181.52</v>
      </c>
      <c r="AP148" s="231">
        <v>1189.04</v>
      </c>
      <c r="AQ148" s="228">
        <v>0</v>
      </c>
      <c r="AR148" s="230">
        <v>3933500</v>
      </c>
      <c r="AS148" s="230">
        <v>2702000</v>
      </c>
      <c r="AT148" s="230">
        <v>1231500</v>
      </c>
      <c r="AU148" s="229">
        <v>0.45579999999999998</v>
      </c>
      <c r="AV148" s="230">
        <v>3260000</v>
      </c>
      <c r="AW148" s="230">
        <v>2241500</v>
      </c>
      <c r="AX148" s="230">
        <v>1018500</v>
      </c>
      <c r="AY148" s="229">
        <v>0.45440000000000003</v>
      </c>
      <c r="AZ148" s="230">
        <v>603500</v>
      </c>
      <c r="BA148" s="230">
        <v>428500</v>
      </c>
      <c r="BB148" s="230">
        <v>175000</v>
      </c>
      <c r="BC148" s="229">
        <v>0.40839999999999999</v>
      </c>
      <c r="BD148" s="230">
        <v>70000</v>
      </c>
      <c r="BE148" s="230">
        <v>32000</v>
      </c>
      <c r="BF148" s="230">
        <v>38000</v>
      </c>
      <c r="BG148" s="229">
        <v>1.1875</v>
      </c>
      <c r="BH148" s="230">
        <v>14031000</v>
      </c>
      <c r="BI148" s="230">
        <v>7957000</v>
      </c>
      <c r="BJ148" s="230">
        <v>6074000</v>
      </c>
      <c r="BK148" s="229">
        <v>0.76339999999999997</v>
      </c>
      <c r="BL148" s="230">
        <v>4801500</v>
      </c>
      <c r="BM148" s="230">
        <v>4725000</v>
      </c>
      <c r="BN148" s="230">
        <v>76500</v>
      </c>
      <c r="BO148" s="229">
        <v>1.6199999999999999E-2</v>
      </c>
      <c r="BP148" s="230">
        <v>22766000</v>
      </c>
      <c r="BQ148" s="230">
        <v>15384000</v>
      </c>
      <c r="BR148" s="230">
        <v>7382000</v>
      </c>
      <c r="BS148" s="229">
        <v>0.4798</v>
      </c>
      <c r="BT148" s="230">
        <v>1702991</v>
      </c>
      <c r="BU148" s="230">
        <v>1881574</v>
      </c>
      <c r="BV148" s="230">
        <v>-178583</v>
      </c>
      <c r="BW148" s="229">
        <v>-9.4899999999999998E-2</v>
      </c>
      <c r="BX148" s="230">
        <v>21505500</v>
      </c>
      <c r="BY148" s="230">
        <v>21096500</v>
      </c>
      <c r="BZ148" s="230">
        <v>409000</v>
      </c>
      <c r="CA148" s="229">
        <v>1.9400000000000001E-2</v>
      </c>
      <c r="CB148" s="230">
        <v>20114500</v>
      </c>
      <c r="CC148" s="230">
        <v>19945500</v>
      </c>
      <c r="CD148" s="230">
        <v>169000</v>
      </c>
      <c r="CE148" s="229">
        <v>8.5000000000000006E-3</v>
      </c>
      <c r="CF148" s="230">
        <v>1331500</v>
      </c>
      <c r="CG148" s="230">
        <v>1083500</v>
      </c>
      <c r="CH148" s="230">
        <v>248000</v>
      </c>
      <c r="CI148" s="229">
        <v>0.22889999999999999</v>
      </c>
      <c r="CJ148" s="230">
        <v>59500</v>
      </c>
      <c r="CK148" s="230">
        <v>67500</v>
      </c>
      <c r="CL148" s="230">
        <v>-8000</v>
      </c>
      <c r="CM148" s="229">
        <v>-0.11849999999999999</v>
      </c>
      <c r="CN148" s="230">
        <v>4367500</v>
      </c>
      <c r="CO148" s="230">
        <v>4174500</v>
      </c>
      <c r="CP148" s="230">
        <v>193000</v>
      </c>
      <c r="CQ148" s="229">
        <v>4.6199999999999998E-2</v>
      </c>
      <c r="CR148" s="230">
        <v>3735000</v>
      </c>
      <c r="CS148" s="230">
        <v>3210000</v>
      </c>
      <c r="CT148" s="230">
        <v>525000</v>
      </c>
      <c r="CU148" s="229">
        <v>0.1636</v>
      </c>
      <c r="CV148" s="230">
        <v>29608000</v>
      </c>
      <c r="CW148" s="230">
        <v>28481000</v>
      </c>
      <c r="CX148" s="230">
        <v>1127000</v>
      </c>
      <c r="CY148" s="229">
        <v>3.9600000000000003E-2</v>
      </c>
      <c r="CZ148" s="228">
        <v>22.2</v>
      </c>
      <c r="DA148" s="228">
        <v>20.9</v>
      </c>
      <c r="DB148" s="228">
        <v>1.3</v>
      </c>
      <c r="DC148" s="228">
        <v>1.3</v>
      </c>
      <c r="DD148" s="228">
        <v>24.26</v>
      </c>
      <c r="DE148" s="228">
        <v>24.11</v>
      </c>
      <c r="DF148" s="228">
        <v>-2.06</v>
      </c>
      <c r="DG148" s="228">
        <v>0.15</v>
      </c>
      <c r="DH148" s="228">
        <v>21.78</v>
      </c>
      <c r="DI148" s="228">
        <v>20.25</v>
      </c>
      <c r="DJ148" s="228">
        <v>1.53</v>
      </c>
      <c r="DK148" s="228">
        <v>1.53</v>
      </c>
      <c r="DL148" s="228">
        <v>23.42</v>
      </c>
      <c r="DM148" s="228">
        <v>21.99</v>
      </c>
      <c r="DN148" s="228">
        <v>1.43</v>
      </c>
      <c r="DO148" s="228">
        <v>1.43</v>
      </c>
      <c r="DP148" s="228">
        <v>0.86</v>
      </c>
      <c r="DQ148" s="228">
        <v>0.77</v>
      </c>
      <c r="DR148" s="228">
        <v>0.09</v>
      </c>
      <c r="DS148" s="229">
        <v>0.1169</v>
      </c>
      <c r="DT148" s="231">
        <v>1150</v>
      </c>
      <c r="DU148" s="231">
        <v>1200</v>
      </c>
      <c r="DV148" s="228">
        <v>0.34</v>
      </c>
      <c r="DW148" s="228">
        <v>0.59</v>
      </c>
      <c r="DX148" s="228">
        <v>-0.25</v>
      </c>
      <c r="DY148" s="229">
        <v>-0.42370000000000002</v>
      </c>
      <c r="DZ148" s="229">
        <v>6.4699999999999994E-2</v>
      </c>
      <c r="EA148" s="230">
        <v>1151000</v>
      </c>
      <c r="EB148" s="229">
        <v>5.4999999999999997E-3</v>
      </c>
      <c r="EC148" s="229">
        <v>6.4699999999999994E-2</v>
      </c>
      <c r="ED148" s="228">
        <v>7.52</v>
      </c>
      <c r="EE148" s="229">
        <v>6.4000000000000003E-3</v>
      </c>
      <c r="EF148" s="230">
        <v>866004</v>
      </c>
      <c r="EG148" s="230">
        <v>1125434</v>
      </c>
      <c r="EH148" s="229">
        <v>-0.23050000000000001</v>
      </c>
      <c r="EI148" s="229">
        <v>0.50849999999999995</v>
      </c>
      <c r="EJ148" s="231">
        <v>169318.7</v>
      </c>
      <c r="EK148" s="231">
        <v>55858.22</v>
      </c>
      <c r="EL148" s="231">
        <v>46530.3</v>
      </c>
      <c r="EM148" s="228">
        <v>0</v>
      </c>
      <c r="EN148" s="231">
        <v>271707.21999999997</v>
      </c>
      <c r="EO148" s="231">
        <v>178742.57</v>
      </c>
      <c r="EP148" s="231">
        <v>92964.65</v>
      </c>
      <c r="EQ148" s="229">
        <v>0.52010000000000001</v>
      </c>
      <c r="ER148" s="231">
        <v>51911</v>
      </c>
      <c r="ES148" s="231">
        <v>41956</v>
      </c>
      <c r="ET148" s="231">
        <v>256290</v>
      </c>
      <c r="EU148" s="231">
        <v>143602548</v>
      </c>
      <c r="EV148" s="231">
        <v>350157</v>
      </c>
      <c r="EW148" s="231">
        <v>330742</v>
      </c>
      <c r="EX148" s="231">
        <v>19415</v>
      </c>
      <c r="EY148" s="229">
        <v>5.8700000000000002E-2</v>
      </c>
      <c r="EZ148" s="229">
        <v>0.20619999999999999</v>
      </c>
      <c r="FA148" s="227" t="s">
        <v>555</v>
      </c>
      <c r="FB148" s="161">
        <f t="shared" si="3"/>
        <v>0</v>
      </c>
    </row>
    <row r="149" spans="1:158" ht="17.25" hidden="1" thickBot="1" x14ac:dyDescent="0.3">
      <c r="A149" s="226">
        <v>45889</v>
      </c>
      <c r="B149" s="227" t="s">
        <v>161</v>
      </c>
      <c r="C149" s="227" t="s">
        <v>586</v>
      </c>
      <c r="D149" s="228">
        <v>6400</v>
      </c>
      <c r="E149" s="228">
        <v>83.09</v>
      </c>
      <c r="F149" s="228">
        <v>82.31</v>
      </c>
      <c r="G149" s="228">
        <v>0.78</v>
      </c>
      <c r="H149" s="229">
        <v>9.4999999999999998E-3</v>
      </c>
      <c r="I149" s="228">
        <v>82.76</v>
      </c>
      <c r="J149" s="228">
        <v>82.09</v>
      </c>
      <c r="K149" s="228">
        <v>0.67</v>
      </c>
      <c r="L149" s="229">
        <v>8.2000000000000007E-3</v>
      </c>
      <c r="M149" s="228">
        <v>83.09</v>
      </c>
      <c r="N149" s="228">
        <v>82.31</v>
      </c>
      <c r="O149" s="228">
        <v>0.78</v>
      </c>
      <c r="P149" s="229">
        <v>9.4999999999999998E-3</v>
      </c>
      <c r="Q149" s="228">
        <v>83.31</v>
      </c>
      <c r="R149" s="228">
        <v>82.8</v>
      </c>
      <c r="S149" s="228">
        <v>0.51</v>
      </c>
      <c r="T149" s="229">
        <v>6.1999999999999998E-3</v>
      </c>
      <c r="U149" s="228">
        <v>83.96</v>
      </c>
      <c r="V149" s="228">
        <v>83.3</v>
      </c>
      <c r="W149" s="228">
        <v>0.66</v>
      </c>
      <c r="X149" s="229">
        <v>7.9000000000000008E-3</v>
      </c>
      <c r="Y149" s="228">
        <v>0.33</v>
      </c>
      <c r="Z149" s="228">
        <v>0.22</v>
      </c>
      <c r="AA149" s="228">
        <v>0.11</v>
      </c>
      <c r="AB149" s="229">
        <v>4.0000000000000001E-3</v>
      </c>
      <c r="AC149" s="228">
        <v>0.33</v>
      </c>
      <c r="AD149" s="228">
        <v>0.22</v>
      </c>
      <c r="AE149" s="228">
        <v>0.11</v>
      </c>
      <c r="AF149" s="229">
        <v>4.0000000000000001E-3</v>
      </c>
      <c r="AG149" s="228">
        <v>0.55000000000000004</v>
      </c>
      <c r="AH149" s="228">
        <v>0.71</v>
      </c>
      <c r="AI149" s="228">
        <v>-0.16</v>
      </c>
      <c r="AJ149" s="229">
        <v>6.6E-3</v>
      </c>
      <c r="AK149" s="228">
        <v>1.2</v>
      </c>
      <c r="AL149" s="228">
        <v>1.21</v>
      </c>
      <c r="AM149" s="228">
        <v>-0.01</v>
      </c>
      <c r="AN149" s="229">
        <v>1.4500000000000001E-2</v>
      </c>
      <c r="AO149" s="228">
        <v>82.78</v>
      </c>
      <c r="AP149" s="228">
        <v>83.16</v>
      </c>
      <c r="AQ149" s="228">
        <v>0</v>
      </c>
      <c r="AR149" s="230">
        <v>10822400</v>
      </c>
      <c r="AS149" s="230">
        <v>9619200</v>
      </c>
      <c r="AT149" s="230">
        <v>1203200</v>
      </c>
      <c r="AU149" s="229">
        <v>0.12509999999999999</v>
      </c>
      <c r="AV149" s="230">
        <v>7104000</v>
      </c>
      <c r="AW149" s="230">
        <v>7206400</v>
      </c>
      <c r="AX149" s="230">
        <v>-102400</v>
      </c>
      <c r="AY149" s="229">
        <v>-1.4200000000000001E-2</v>
      </c>
      <c r="AZ149" s="230">
        <v>3558400</v>
      </c>
      <c r="BA149" s="230">
        <v>2329600</v>
      </c>
      <c r="BB149" s="230">
        <v>1228800</v>
      </c>
      <c r="BC149" s="229">
        <v>0.52749999999999997</v>
      </c>
      <c r="BD149" s="230">
        <v>160000</v>
      </c>
      <c r="BE149" s="230">
        <v>83200</v>
      </c>
      <c r="BF149" s="230">
        <v>76800</v>
      </c>
      <c r="BG149" s="229">
        <v>0.92310000000000003</v>
      </c>
      <c r="BH149" s="230">
        <v>13523200</v>
      </c>
      <c r="BI149" s="230">
        <v>9817600</v>
      </c>
      <c r="BJ149" s="230">
        <v>3705600</v>
      </c>
      <c r="BK149" s="229">
        <v>0.37740000000000001</v>
      </c>
      <c r="BL149" s="230">
        <v>7020800</v>
      </c>
      <c r="BM149" s="230">
        <v>4876800</v>
      </c>
      <c r="BN149" s="230">
        <v>2144000</v>
      </c>
      <c r="BO149" s="229">
        <v>0.43959999999999999</v>
      </c>
      <c r="BP149" s="230">
        <v>31366400</v>
      </c>
      <c r="BQ149" s="230">
        <v>24313600</v>
      </c>
      <c r="BR149" s="230">
        <v>7052800</v>
      </c>
      <c r="BS149" s="229">
        <v>0.29010000000000002</v>
      </c>
      <c r="BT149" s="230">
        <v>11904257</v>
      </c>
      <c r="BU149" s="230">
        <v>13585959</v>
      </c>
      <c r="BV149" s="230">
        <v>-1681702</v>
      </c>
      <c r="BW149" s="229">
        <v>-0.12379999999999999</v>
      </c>
      <c r="BX149" s="230">
        <v>59897600</v>
      </c>
      <c r="BY149" s="230">
        <v>59225600</v>
      </c>
      <c r="BZ149" s="230">
        <v>672000</v>
      </c>
      <c r="CA149" s="229">
        <v>1.1299999999999999E-2</v>
      </c>
      <c r="CB149" s="230">
        <v>53747200</v>
      </c>
      <c r="CC149" s="230">
        <v>54444800</v>
      </c>
      <c r="CD149" s="230">
        <v>-697600</v>
      </c>
      <c r="CE149" s="229">
        <v>-1.2800000000000001E-2</v>
      </c>
      <c r="CF149" s="230">
        <v>5753600</v>
      </c>
      <c r="CG149" s="230">
        <v>4428800</v>
      </c>
      <c r="CH149" s="230">
        <v>1324800</v>
      </c>
      <c r="CI149" s="229">
        <v>0.29909999999999998</v>
      </c>
      <c r="CJ149" s="230">
        <v>396800</v>
      </c>
      <c r="CK149" s="230">
        <v>352000</v>
      </c>
      <c r="CL149" s="230">
        <v>44800</v>
      </c>
      <c r="CM149" s="229">
        <v>0.1273</v>
      </c>
      <c r="CN149" s="230">
        <v>16934400</v>
      </c>
      <c r="CO149" s="230">
        <v>17964800</v>
      </c>
      <c r="CP149" s="230">
        <v>-1030400</v>
      </c>
      <c r="CQ149" s="229">
        <v>-5.74E-2</v>
      </c>
      <c r="CR149" s="230">
        <v>10534400</v>
      </c>
      <c r="CS149" s="230">
        <v>10297600</v>
      </c>
      <c r="CT149" s="230">
        <v>236800</v>
      </c>
      <c r="CU149" s="229">
        <v>2.3E-2</v>
      </c>
      <c r="CV149" s="230">
        <v>87366400</v>
      </c>
      <c r="CW149" s="230">
        <v>87488000</v>
      </c>
      <c r="CX149" s="230">
        <v>-121600</v>
      </c>
      <c r="CY149" s="229">
        <v>-1.4E-3</v>
      </c>
      <c r="CZ149" s="228">
        <v>27.77</v>
      </c>
      <c r="DA149" s="228">
        <v>30.01</v>
      </c>
      <c r="DB149" s="228">
        <v>-2.2400000000000002</v>
      </c>
      <c r="DC149" s="228">
        <v>-2.2400000000000002</v>
      </c>
      <c r="DD149" s="228">
        <v>41.73</v>
      </c>
      <c r="DE149" s="228">
        <v>41.81</v>
      </c>
      <c r="DF149" s="228">
        <v>-13.96</v>
      </c>
      <c r="DG149" s="228">
        <v>-0.08</v>
      </c>
      <c r="DH149" s="228">
        <v>27.71</v>
      </c>
      <c r="DI149" s="228">
        <v>30.92</v>
      </c>
      <c r="DJ149" s="228">
        <v>-3.21</v>
      </c>
      <c r="DK149" s="228">
        <v>-3.21</v>
      </c>
      <c r="DL149" s="228">
        <v>27.88</v>
      </c>
      <c r="DM149" s="228">
        <v>28.16</v>
      </c>
      <c r="DN149" s="228">
        <v>-0.28000000000000003</v>
      </c>
      <c r="DO149" s="228">
        <v>-0.28000000000000003</v>
      </c>
      <c r="DP149" s="228">
        <v>0.62</v>
      </c>
      <c r="DQ149" s="228">
        <v>0.56999999999999995</v>
      </c>
      <c r="DR149" s="228">
        <v>0.05</v>
      </c>
      <c r="DS149" s="229">
        <v>8.77E-2</v>
      </c>
      <c r="DT149" s="228">
        <v>85</v>
      </c>
      <c r="DU149" s="228">
        <v>80</v>
      </c>
      <c r="DV149" s="228">
        <v>0.52</v>
      </c>
      <c r="DW149" s="228">
        <v>0.5</v>
      </c>
      <c r="DX149" s="228">
        <v>0.02</v>
      </c>
      <c r="DY149" s="229">
        <v>0.04</v>
      </c>
      <c r="DZ149" s="229">
        <v>0.1027</v>
      </c>
      <c r="EA149" s="230">
        <v>4780800</v>
      </c>
      <c r="EB149" s="229">
        <v>2.5999999999999999E-3</v>
      </c>
      <c r="EC149" s="229">
        <v>0.1027</v>
      </c>
      <c r="ED149" s="228">
        <v>0.38</v>
      </c>
      <c r="EE149" s="229">
        <v>4.5999999999999999E-3</v>
      </c>
      <c r="EF149" s="230">
        <v>6634594</v>
      </c>
      <c r="EG149" s="230">
        <v>8015568</v>
      </c>
      <c r="EH149" s="229">
        <v>-0.17230000000000001</v>
      </c>
      <c r="EI149" s="229">
        <v>0.55730000000000002</v>
      </c>
      <c r="EJ149" s="231">
        <v>11525.5</v>
      </c>
      <c r="EK149" s="231">
        <v>5758.87</v>
      </c>
      <c r="EL149" s="231">
        <v>8973.69</v>
      </c>
      <c r="EM149" s="228">
        <v>0</v>
      </c>
      <c r="EN149" s="231">
        <v>26258.06</v>
      </c>
      <c r="EO149" s="231">
        <v>20304.759999999998</v>
      </c>
      <c r="EP149" s="231">
        <v>5953.3</v>
      </c>
      <c r="EQ149" s="229">
        <v>0.29320000000000002</v>
      </c>
      <c r="ER149" s="231">
        <v>14750</v>
      </c>
      <c r="ES149" s="231">
        <v>8596</v>
      </c>
      <c r="ET149" s="231">
        <v>49785</v>
      </c>
      <c r="EU149" s="231">
        <v>654977669</v>
      </c>
      <c r="EV149" s="231">
        <v>73131</v>
      </c>
      <c r="EW149" s="231">
        <v>72797</v>
      </c>
      <c r="EX149" s="228">
        <v>334</v>
      </c>
      <c r="EY149" s="229">
        <v>4.5999999999999999E-3</v>
      </c>
      <c r="EZ149" s="229">
        <v>0.13339999999999999</v>
      </c>
      <c r="FA149" s="227" t="s">
        <v>555</v>
      </c>
      <c r="FB149" s="161">
        <f t="shared" si="3"/>
        <v>0</v>
      </c>
    </row>
    <row r="150" spans="1:158" ht="17.25" thickBot="1" x14ac:dyDescent="0.3">
      <c r="A150" s="226">
        <v>45889</v>
      </c>
      <c r="B150" s="227" t="s">
        <v>181</v>
      </c>
      <c r="C150" s="227" t="s">
        <v>266</v>
      </c>
      <c r="D150" s="228">
        <v>75</v>
      </c>
      <c r="E150" s="231">
        <v>25083.3</v>
      </c>
      <c r="F150" s="231">
        <v>25033.5</v>
      </c>
      <c r="G150" s="228">
        <v>49.8</v>
      </c>
      <c r="H150" s="229">
        <v>2E-3</v>
      </c>
      <c r="I150" s="231">
        <v>25050.55</v>
      </c>
      <c r="J150" s="231">
        <v>24980.65</v>
      </c>
      <c r="K150" s="228">
        <v>69.900000000000006</v>
      </c>
      <c r="L150" s="229">
        <v>2.8E-3</v>
      </c>
      <c r="M150" s="231">
        <v>25083.3</v>
      </c>
      <c r="N150" s="231">
        <v>25033.5</v>
      </c>
      <c r="O150" s="228">
        <v>49.8</v>
      </c>
      <c r="P150" s="229">
        <v>2E-3</v>
      </c>
      <c r="Q150" s="231">
        <v>25226.6</v>
      </c>
      <c r="R150" s="231">
        <v>25174.6</v>
      </c>
      <c r="S150" s="228">
        <v>52</v>
      </c>
      <c r="T150" s="229">
        <v>2.0999999999999999E-3</v>
      </c>
      <c r="U150" s="231">
        <v>25345.8</v>
      </c>
      <c r="V150" s="231">
        <v>25290.2</v>
      </c>
      <c r="W150" s="228">
        <v>55.6</v>
      </c>
      <c r="X150" s="229">
        <v>2.2000000000000001E-3</v>
      </c>
      <c r="Y150" s="228">
        <v>32.75</v>
      </c>
      <c r="Z150" s="228">
        <v>52.85</v>
      </c>
      <c r="AA150" s="228">
        <v>-20.100000000000001</v>
      </c>
      <c r="AB150" s="229">
        <v>1.2999999999999999E-3</v>
      </c>
      <c r="AC150" s="228">
        <v>32.75</v>
      </c>
      <c r="AD150" s="228">
        <v>52.85</v>
      </c>
      <c r="AE150" s="228">
        <v>-20.100000000000001</v>
      </c>
      <c r="AF150" s="229">
        <v>1.2999999999999999E-3</v>
      </c>
      <c r="AG150" s="228">
        <v>176.05</v>
      </c>
      <c r="AH150" s="228">
        <v>193.95</v>
      </c>
      <c r="AI150" s="228">
        <v>-17.899999999999999</v>
      </c>
      <c r="AJ150" s="229">
        <v>7.0000000000000001E-3</v>
      </c>
      <c r="AK150" s="228">
        <v>295.25</v>
      </c>
      <c r="AL150" s="228">
        <v>309.55</v>
      </c>
      <c r="AM150" s="228">
        <v>-14.3</v>
      </c>
      <c r="AN150" s="229">
        <v>1.18E-2</v>
      </c>
      <c r="AO150" s="231">
        <v>25041.26</v>
      </c>
      <c r="AP150" s="231">
        <v>25191.17</v>
      </c>
      <c r="AQ150" s="228">
        <v>0</v>
      </c>
      <c r="AR150" s="230">
        <v>4927275</v>
      </c>
      <c r="AS150" s="230">
        <v>4106025</v>
      </c>
      <c r="AT150" s="230">
        <v>821250</v>
      </c>
      <c r="AU150" s="229">
        <v>0.2</v>
      </c>
      <c r="AV150" s="230">
        <v>4084125</v>
      </c>
      <c r="AW150" s="230">
        <v>3552900</v>
      </c>
      <c r="AX150" s="230">
        <v>531225</v>
      </c>
      <c r="AY150" s="229">
        <v>0.14949999999999999</v>
      </c>
      <c r="AZ150" s="230">
        <v>729450</v>
      </c>
      <c r="BA150" s="230">
        <v>438375</v>
      </c>
      <c r="BB150" s="230">
        <v>291075</v>
      </c>
      <c r="BC150" s="229">
        <v>0.66400000000000003</v>
      </c>
      <c r="BD150" s="230">
        <v>113700</v>
      </c>
      <c r="BE150" s="230">
        <v>114750</v>
      </c>
      <c r="BF150" s="230">
        <v>-1050</v>
      </c>
      <c r="BG150" s="229">
        <v>-9.1999999999999998E-3</v>
      </c>
      <c r="BH150" s="230">
        <v>3952442250</v>
      </c>
      <c r="BI150" s="230">
        <v>2362989900</v>
      </c>
      <c r="BJ150" s="230">
        <v>1589452350</v>
      </c>
      <c r="BK150" s="229">
        <v>0.67259999999999998</v>
      </c>
      <c r="BL150" s="230">
        <v>3224004600</v>
      </c>
      <c r="BM150" s="230">
        <v>1940533950</v>
      </c>
      <c r="BN150" s="230">
        <v>1283470650</v>
      </c>
      <c r="BO150" s="229">
        <v>0.66139999999999999</v>
      </c>
      <c r="BP150" s="230">
        <v>7181374125</v>
      </c>
      <c r="BQ150" s="230">
        <v>4307629875</v>
      </c>
      <c r="BR150" s="230">
        <v>2873744250</v>
      </c>
      <c r="BS150" s="229">
        <v>0.66710000000000003</v>
      </c>
      <c r="BT150" s="228">
        <v>0</v>
      </c>
      <c r="BU150" s="228">
        <v>0</v>
      </c>
      <c r="BV150" s="228">
        <v>0</v>
      </c>
      <c r="BW150" s="229">
        <v>0</v>
      </c>
      <c r="BX150" s="230">
        <v>18065400</v>
      </c>
      <c r="BY150" s="230">
        <v>18104175</v>
      </c>
      <c r="BZ150" s="230">
        <v>-38775</v>
      </c>
      <c r="CA150" s="229">
        <v>-2.0999999999999999E-3</v>
      </c>
      <c r="CB150" s="230">
        <v>15889275</v>
      </c>
      <c r="CC150" s="230">
        <v>16231575</v>
      </c>
      <c r="CD150" s="230">
        <v>-342300</v>
      </c>
      <c r="CE150" s="229">
        <v>-2.1100000000000001E-2</v>
      </c>
      <c r="CF150" s="230">
        <v>1781775</v>
      </c>
      <c r="CG150" s="230">
        <v>1504725</v>
      </c>
      <c r="CH150" s="230">
        <v>277050</v>
      </c>
      <c r="CI150" s="229">
        <v>0.18410000000000001</v>
      </c>
      <c r="CJ150" s="230">
        <v>394350</v>
      </c>
      <c r="CK150" s="230">
        <v>367875</v>
      </c>
      <c r="CL150" s="230">
        <v>26475</v>
      </c>
      <c r="CM150" s="229">
        <v>7.1999999999999995E-2</v>
      </c>
      <c r="CN150" s="230">
        <v>237964100</v>
      </c>
      <c r="CO150" s="230">
        <v>217368100</v>
      </c>
      <c r="CP150" s="230">
        <v>20596000</v>
      </c>
      <c r="CQ150" s="229">
        <v>9.4799999999999995E-2</v>
      </c>
      <c r="CR150" s="230">
        <v>303636425</v>
      </c>
      <c r="CS150" s="230">
        <v>247981550</v>
      </c>
      <c r="CT150" s="230">
        <v>55654875</v>
      </c>
      <c r="CU150" s="229">
        <v>0.22439999999999999</v>
      </c>
      <c r="CV150" s="230">
        <v>559665925</v>
      </c>
      <c r="CW150" s="230">
        <v>483453825</v>
      </c>
      <c r="CX150" s="230">
        <v>76212100</v>
      </c>
      <c r="CY150" s="229">
        <v>0.15759999999999999</v>
      </c>
      <c r="CZ150" s="228">
        <v>11.26</v>
      </c>
      <c r="DA150" s="228">
        <v>11.32</v>
      </c>
      <c r="DB150" s="228">
        <v>-0.06</v>
      </c>
      <c r="DC150" s="228">
        <v>-0.06</v>
      </c>
      <c r="DD150" s="228">
        <v>15.97</v>
      </c>
      <c r="DE150" s="228">
        <v>16</v>
      </c>
      <c r="DF150" s="228">
        <v>-4.71</v>
      </c>
      <c r="DG150" s="228">
        <v>-0.03</v>
      </c>
      <c r="DH150" s="228">
        <v>10.18</v>
      </c>
      <c r="DI150" s="228">
        <v>10.23</v>
      </c>
      <c r="DJ150" s="228">
        <v>-0.05</v>
      </c>
      <c r="DK150" s="228">
        <v>-0.05</v>
      </c>
      <c r="DL150" s="228">
        <v>12.42</v>
      </c>
      <c r="DM150" s="228">
        <v>12.45</v>
      </c>
      <c r="DN150" s="228">
        <v>-0.03</v>
      </c>
      <c r="DO150" s="228">
        <v>-0.03</v>
      </c>
      <c r="DP150" s="228">
        <v>1.28</v>
      </c>
      <c r="DQ150" s="228">
        <v>1.1399999999999999</v>
      </c>
      <c r="DR150" s="228">
        <v>0.14000000000000001</v>
      </c>
      <c r="DS150" s="229">
        <v>0.12280000000000001</v>
      </c>
      <c r="DT150" s="231">
        <v>25500</v>
      </c>
      <c r="DU150" s="231">
        <v>25000</v>
      </c>
      <c r="DV150" s="228">
        <v>0.82</v>
      </c>
      <c r="DW150" s="228">
        <v>0.82</v>
      </c>
      <c r="DX150" s="228">
        <v>0</v>
      </c>
      <c r="DY150" s="229">
        <v>0</v>
      </c>
      <c r="DZ150" s="229">
        <v>0.1205</v>
      </c>
      <c r="EA150" s="230">
        <v>1872600</v>
      </c>
      <c r="EB150" s="229">
        <v>5.7000000000000002E-3</v>
      </c>
      <c r="EC150" s="229">
        <v>0.1205</v>
      </c>
      <c r="ED150" s="228">
        <v>149.91</v>
      </c>
      <c r="EE150" s="229">
        <v>6.0000000000000001E-3</v>
      </c>
      <c r="EF150" s="228">
        <v>0</v>
      </c>
      <c r="EG150" s="228">
        <v>0</v>
      </c>
      <c r="EH150" s="229">
        <v>0</v>
      </c>
      <c r="EI150" s="229">
        <v>0</v>
      </c>
      <c r="EJ150" s="231">
        <v>997303140.28999996</v>
      </c>
      <c r="EK150" s="231">
        <v>799730790.40999997</v>
      </c>
      <c r="EL150" s="231">
        <v>1235254.8799999999</v>
      </c>
      <c r="EM150" s="228">
        <v>0</v>
      </c>
      <c r="EN150" s="231">
        <v>1798269185.5799999</v>
      </c>
      <c r="EO150" s="231">
        <v>1077177081.4100001</v>
      </c>
      <c r="EP150" s="231">
        <v>721092104.16999996</v>
      </c>
      <c r="EQ150" s="229">
        <v>0.6694</v>
      </c>
      <c r="ER150" s="231">
        <v>60688054</v>
      </c>
      <c r="ES150" s="231">
        <v>74071969</v>
      </c>
      <c r="ET150" s="231">
        <v>4534987</v>
      </c>
      <c r="EU150" s="228">
        <v>0</v>
      </c>
      <c r="EV150" s="231">
        <v>139295010</v>
      </c>
      <c r="EW150" s="231">
        <v>120216628</v>
      </c>
      <c r="EX150" s="231">
        <v>19078382</v>
      </c>
      <c r="EY150" s="229">
        <v>0.15870000000000001</v>
      </c>
      <c r="EZ150" s="229">
        <v>0</v>
      </c>
      <c r="FA150" s="227" t="s">
        <v>556</v>
      </c>
      <c r="FB150" s="161">
        <f t="shared" si="3"/>
        <v>0</v>
      </c>
    </row>
    <row r="151" spans="1:158" ht="17.25" thickBot="1" x14ac:dyDescent="0.3">
      <c r="A151" s="226">
        <v>45889</v>
      </c>
      <c r="B151" s="227" t="s">
        <v>181</v>
      </c>
      <c r="C151" s="227" t="s">
        <v>566</v>
      </c>
      <c r="D151" s="228">
        <v>25</v>
      </c>
      <c r="E151" s="231">
        <v>68205</v>
      </c>
      <c r="F151" s="231">
        <v>67971.600000000006</v>
      </c>
      <c r="G151" s="228">
        <v>233.4</v>
      </c>
      <c r="H151" s="229">
        <v>3.3999999999999998E-3</v>
      </c>
      <c r="I151" s="231">
        <v>68164.3</v>
      </c>
      <c r="J151" s="231">
        <v>67907.45</v>
      </c>
      <c r="K151" s="228">
        <v>256.85000000000002</v>
      </c>
      <c r="L151" s="229">
        <v>3.8E-3</v>
      </c>
      <c r="M151" s="231">
        <v>68205</v>
      </c>
      <c r="N151" s="231">
        <v>67971.600000000006</v>
      </c>
      <c r="O151" s="228">
        <v>233.4</v>
      </c>
      <c r="P151" s="229">
        <v>3.3999999999999998E-3</v>
      </c>
      <c r="Q151" s="231">
        <v>68547.399999999994</v>
      </c>
      <c r="R151" s="231">
        <v>68283.199999999997</v>
      </c>
      <c r="S151" s="228">
        <v>264.2</v>
      </c>
      <c r="T151" s="229">
        <v>3.8999999999999998E-3</v>
      </c>
      <c r="U151" s="228">
        <v>0</v>
      </c>
      <c r="V151" s="228">
        <v>0</v>
      </c>
      <c r="W151" s="228">
        <v>0</v>
      </c>
      <c r="X151" s="229">
        <v>0</v>
      </c>
      <c r="Y151" s="228">
        <v>40.700000000000003</v>
      </c>
      <c r="Z151" s="228">
        <v>64.150000000000006</v>
      </c>
      <c r="AA151" s="228">
        <v>-23.45</v>
      </c>
      <c r="AB151" s="229">
        <v>5.9999999999999995E-4</v>
      </c>
      <c r="AC151" s="228">
        <v>40.700000000000003</v>
      </c>
      <c r="AD151" s="228">
        <v>64.150000000000006</v>
      </c>
      <c r="AE151" s="228">
        <v>-23.45</v>
      </c>
      <c r="AF151" s="229">
        <v>5.9999999999999995E-4</v>
      </c>
      <c r="AG151" s="228">
        <v>383.1</v>
      </c>
      <c r="AH151" s="228">
        <v>375.75</v>
      </c>
      <c r="AI151" s="228">
        <v>7.35</v>
      </c>
      <c r="AJ151" s="229">
        <v>5.5999999999999999E-3</v>
      </c>
      <c r="AK151" s="228">
        <v>0</v>
      </c>
      <c r="AL151" s="228">
        <v>0</v>
      </c>
      <c r="AM151" s="228">
        <v>0</v>
      </c>
      <c r="AN151" s="229">
        <v>0</v>
      </c>
      <c r="AO151" s="231">
        <v>68120</v>
      </c>
      <c r="AP151" s="231">
        <v>68484.210000000006</v>
      </c>
      <c r="AQ151" s="228">
        <v>0</v>
      </c>
      <c r="AR151" s="230">
        <v>2775</v>
      </c>
      <c r="AS151" s="230">
        <v>4425</v>
      </c>
      <c r="AT151" s="230">
        <v>-1650</v>
      </c>
      <c r="AU151" s="229">
        <v>-0.37290000000000001</v>
      </c>
      <c r="AV151" s="230">
        <v>2300</v>
      </c>
      <c r="AW151" s="230">
        <v>3575</v>
      </c>
      <c r="AX151" s="230">
        <v>-1275</v>
      </c>
      <c r="AY151" s="229">
        <v>-0.35659999999999997</v>
      </c>
      <c r="AZ151" s="228">
        <v>475</v>
      </c>
      <c r="BA151" s="228">
        <v>850</v>
      </c>
      <c r="BB151" s="228">
        <v>-375</v>
      </c>
      <c r="BC151" s="229">
        <v>-0.44119999999999998</v>
      </c>
      <c r="BD151" s="228">
        <v>0</v>
      </c>
      <c r="BE151" s="228">
        <v>0</v>
      </c>
      <c r="BF151" s="228">
        <v>0</v>
      </c>
      <c r="BG151" s="229">
        <v>0</v>
      </c>
      <c r="BH151" s="230">
        <v>14275</v>
      </c>
      <c r="BI151" s="230">
        <v>5000</v>
      </c>
      <c r="BJ151" s="230">
        <v>9275</v>
      </c>
      <c r="BK151" s="229">
        <v>1.855</v>
      </c>
      <c r="BL151" s="230">
        <v>6175</v>
      </c>
      <c r="BM151" s="230">
        <v>5300</v>
      </c>
      <c r="BN151" s="228">
        <v>875</v>
      </c>
      <c r="BO151" s="229">
        <v>0.1651</v>
      </c>
      <c r="BP151" s="230">
        <v>23225</v>
      </c>
      <c r="BQ151" s="230">
        <v>14725</v>
      </c>
      <c r="BR151" s="230">
        <v>8500</v>
      </c>
      <c r="BS151" s="229">
        <v>0.57720000000000005</v>
      </c>
      <c r="BT151" s="228">
        <v>0</v>
      </c>
      <c r="BU151" s="228">
        <v>0</v>
      </c>
      <c r="BV151" s="228">
        <v>0</v>
      </c>
      <c r="BW151" s="229">
        <v>0</v>
      </c>
      <c r="BX151" s="230">
        <v>24050</v>
      </c>
      <c r="BY151" s="230">
        <v>24225</v>
      </c>
      <c r="BZ151" s="228">
        <v>-175</v>
      </c>
      <c r="CA151" s="229">
        <v>-7.1999999999999998E-3</v>
      </c>
      <c r="CB151" s="230">
        <v>21100</v>
      </c>
      <c r="CC151" s="230">
        <v>21450</v>
      </c>
      <c r="CD151" s="228">
        <v>-350</v>
      </c>
      <c r="CE151" s="229">
        <v>-1.6299999999999999E-2</v>
      </c>
      <c r="CF151" s="230">
        <v>2950</v>
      </c>
      <c r="CG151" s="230">
        <v>2775</v>
      </c>
      <c r="CH151" s="228">
        <v>175</v>
      </c>
      <c r="CI151" s="229">
        <v>6.3100000000000003E-2</v>
      </c>
      <c r="CJ151" s="228">
        <v>0</v>
      </c>
      <c r="CK151" s="228">
        <v>0</v>
      </c>
      <c r="CL151" s="228">
        <v>0</v>
      </c>
      <c r="CM151" s="229">
        <v>0</v>
      </c>
      <c r="CN151" s="230">
        <v>9000</v>
      </c>
      <c r="CO151" s="230">
        <v>7375</v>
      </c>
      <c r="CP151" s="230">
        <v>1625</v>
      </c>
      <c r="CQ151" s="229">
        <v>0.2203</v>
      </c>
      <c r="CR151" s="230">
        <v>4875</v>
      </c>
      <c r="CS151" s="230">
        <v>4400</v>
      </c>
      <c r="CT151" s="228">
        <v>475</v>
      </c>
      <c r="CU151" s="229">
        <v>0.108</v>
      </c>
      <c r="CV151" s="230">
        <v>37925</v>
      </c>
      <c r="CW151" s="230">
        <v>36000</v>
      </c>
      <c r="CX151" s="230">
        <v>1925</v>
      </c>
      <c r="CY151" s="229">
        <v>5.3499999999999999E-2</v>
      </c>
      <c r="CZ151" s="228">
        <v>14.34</v>
      </c>
      <c r="DA151" s="228">
        <v>14.33</v>
      </c>
      <c r="DB151" s="228">
        <v>0.01</v>
      </c>
      <c r="DC151" s="228">
        <v>0.01</v>
      </c>
      <c r="DD151" s="228">
        <v>22.64</v>
      </c>
      <c r="DE151" s="228">
        <v>22.69</v>
      </c>
      <c r="DF151" s="228">
        <v>-8.3000000000000007</v>
      </c>
      <c r="DG151" s="228">
        <v>-0.05</v>
      </c>
      <c r="DH151" s="228">
        <v>14.4</v>
      </c>
      <c r="DI151" s="228">
        <v>13.75</v>
      </c>
      <c r="DJ151" s="228">
        <v>0.65</v>
      </c>
      <c r="DK151" s="228">
        <v>0.65</v>
      </c>
      <c r="DL151" s="228">
        <v>14.19</v>
      </c>
      <c r="DM151" s="228">
        <v>14.87</v>
      </c>
      <c r="DN151" s="228">
        <v>-0.68</v>
      </c>
      <c r="DO151" s="228">
        <v>-0.68</v>
      </c>
      <c r="DP151" s="228">
        <v>0.54</v>
      </c>
      <c r="DQ151" s="228">
        <v>0.6</v>
      </c>
      <c r="DR151" s="228">
        <v>-0.06</v>
      </c>
      <c r="DS151" s="229">
        <v>-0.1</v>
      </c>
      <c r="DT151" s="231">
        <v>67000</v>
      </c>
      <c r="DU151" s="231">
        <v>66500</v>
      </c>
      <c r="DV151" s="228">
        <v>0.43</v>
      </c>
      <c r="DW151" s="228">
        <v>1.06</v>
      </c>
      <c r="DX151" s="228">
        <v>-0.63</v>
      </c>
      <c r="DY151" s="229">
        <v>-0.59430000000000005</v>
      </c>
      <c r="DZ151" s="229">
        <v>0.1227</v>
      </c>
      <c r="EA151" s="230">
        <v>2775</v>
      </c>
      <c r="EB151" s="229">
        <v>5.0000000000000001E-3</v>
      </c>
      <c r="EC151" s="229">
        <v>0.1227</v>
      </c>
      <c r="ED151" s="228">
        <v>364.21</v>
      </c>
      <c r="EE151" s="229">
        <v>5.3E-3</v>
      </c>
      <c r="EF151" s="228">
        <v>0</v>
      </c>
      <c r="EG151" s="228">
        <v>0</v>
      </c>
      <c r="EH151" s="229">
        <v>0</v>
      </c>
      <c r="EI151" s="229">
        <v>0</v>
      </c>
      <c r="EJ151" s="231">
        <v>9928.2999999999993</v>
      </c>
      <c r="EK151" s="231">
        <v>4188.22</v>
      </c>
      <c r="EL151" s="231">
        <v>1892.06</v>
      </c>
      <c r="EM151" s="228">
        <v>0</v>
      </c>
      <c r="EN151" s="231">
        <v>16008.58</v>
      </c>
      <c r="EO151" s="231">
        <v>9981.58</v>
      </c>
      <c r="EP151" s="231">
        <v>6027</v>
      </c>
      <c r="EQ151" s="229">
        <v>0.6038</v>
      </c>
      <c r="ER151" s="231">
        <v>6108</v>
      </c>
      <c r="ES151" s="231">
        <v>3244</v>
      </c>
      <c r="ET151" s="231">
        <v>16413</v>
      </c>
      <c r="EU151" s="228">
        <v>0</v>
      </c>
      <c r="EV151" s="231">
        <v>25765</v>
      </c>
      <c r="EW151" s="231">
        <v>24381</v>
      </c>
      <c r="EX151" s="231">
        <v>1384</v>
      </c>
      <c r="EY151" s="229">
        <v>5.6800000000000003E-2</v>
      </c>
      <c r="EZ151" s="229">
        <v>0</v>
      </c>
      <c r="FA151" s="227" t="s">
        <v>556</v>
      </c>
      <c r="FB151" s="161">
        <f t="shared" si="3"/>
        <v>0</v>
      </c>
    </row>
    <row r="152" spans="1:158" ht="17.25" thickBot="1" x14ac:dyDescent="0.3">
      <c r="A152" s="226">
        <v>45889</v>
      </c>
      <c r="B152" s="227" t="s">
        <v>227</v>
      </c>
      <c r="C152" s="227" t="s">
        <v>267</v>
      </c>
      <c r="D152" s="228">
        <v>13500</v>
      </c>
      <c r="E152" s="228">
        <v>72.12</v>
      </c>
      <c r="F152" s="228">
        <v>70.92</v>
      </c>
      <c r="G152" s="228">
        <v>1.2</v>
      </c>
      <c r="H152" s="229">
        <v>1.6899999999999998E-2</v>
      </c>
      <c r="I152" s="228">
        <v>71.819999999999993</v>
      </c>
      <c r="J152" s="228">
        <v>70.72</v>
      </c>
      <c r="K152" s="228">
        <v>1.1000000000000001</v>
      </c>
      <c r="L152" s="229">
        <v>1.5599999999999999E-2</v>
      </c>
      <c r="M152" s="228">
        <v>72.12</v>
      </c>
      <c r="N152" s="228">
        <v>70.92</v>
      </c>
      <c r="O152" s="228">
        <v>1.2</v>
      </c>
      <c r="P152" s="229">
        <v>1.6899999999999998E-2</v>
      </c>
      <c r="Q152" s="228">
        <v>72.430000000000007</v>
      </c>
      <c r="R152" s="228">
        <v>71.34</v>
      </c>
      <c r="S152" s="228">
        <v>1.0900000000000001</v>
      </c>
      <c r="T152" s="229">
        <v>1.5299999999999999E-2</v>
      </c>
      <c r="U152" s="228">
        <v>72.72</v>
      </c>
      <c r="V152" s="228">
        <v>71.67</v>
      </c>
      <c r="W152" s="228">
        <v>1.05</v>
      </c>
      <c r="X152" s="229">
        <v>1.47E-2</v>
      </c>
      <c r="Y152" s="228">
        <v>0.3</v>
      </c>
      <c r="Z152" s="228">
        <v>0.2</v>
      </c>
      <c r="AA152" s="228">
        <v>0.1</v>
      </c>
      <c r="AB152" s="229">
        <v>4.1999999999999997E-3</v>
      </c>
      <c r="AC152" s="228">
        <v>0.3</v>
      </c>
      <c r="AD152" s="228">
        <v>0.2</v>
      </c>
      <c r="AE152" s="228">
        <v>0.1</v>
      </c>
      <c r="AF152" s="229">
        <v>4.1999999999999997E-3</v>
      </c>
      <c r="AG152" s="228">
        <v>0.61</v>
      </c>
      <c r="AH152" s="228">
        <v>0.62</v>
      </c>
      <c r="AI152" s="228">
        <v>-0.01</v>
      </c>
      <c r="AJ152" s="229">
        <v>8.5000000000000006E-3</v>
      </c>
      <c r="AK152" s="228">
        <v>0.9</v>
      </c>
      <c r="AL152" s="228">
        <v>0.95</v>
      </c>
      <c r="AM152" s="228">
        <v>-0.05</v>
      </c>
      <c r="AN152" s="229">
        <v>1.2500000000000001E-2</v>
      </c>
      <c r="AO152" s="228">
        <v>71.849999999999994</v>
      </c>
      <c r="AP152" s="228">
        <v>72.209999999999994</v>
      </c>
      <c r="AQ152" s="228">
        <v>0</v>
      </c>
      <c r="AR152" s="230">
        <v>81445500</v>
      </c>
      <c r="AS152" s="230">
        <v>52137000</v>
      </c>
      <c r="AT152" s="230">
        <v>29308500</v>
      </c>
      <c r="AU152" s="229">
        <v>0.56210000000000004</v>
      </c>
      <c r="AV152" s="230">
        <v>59103000</v>
      </c>
      <c r="AW152" s="230">
        <v>37111500</v>
      </c>
      <c r="AX152" s="230">
        <v>21991500</v>
      </c>
      <c r="AY152" s="229">
        <v>0.59260000000000002</v>
      </c>
      <c r="AZ152" s="230">
        <v>20952000</v>
      </c>
      <c r="BA152" s="230">
        <v>13270500</v>
      </c>
      <c r="BB152" s="230">
        <v>7681500</v>
      </c>
      <c r="BC152" s="229">
        <v>0.57879999999999998</v>
      </c>
      <c r="BD152" s="230">
        <v>1390500</v>
      </c>
      <c r="BE152" s="230">
        <v>1755000</v>
      </c>
      <c r="BF152" s="230">
        <v>-364500</v>
      </c>
      <c r="BG152" s="229">
        <v>-0.2077</v>
      </c>
      <c r="BH152" s="230">
        <v>232024500</v>
      </c>
      <c r="BI152" s="230">
        <v>83632500</v>
      </c>
      <c r="BJ152" s="230">
        <v>148392000</v>
      </c>
      <c r="BK152" s="229">
        <v>1.7743</v>
      </c>
      <c r="BL152" s="230">
        <v>90126000</v>
      </c>
      <c r="BM152" s="230">
        <v>50989500</v>
      </c>
      <c r="BN152" s="230">
        <v>39136500</v>
      </c>
      <c r="BO152" s="229">
        <v>0.76749999999999996</v>
      </c>
      <c r="BP152" s="230">
        <v>403596000</v>
      </c>
      <c r="BQ152" s="230">
        <v>186759000</v>
      </c>
      <c r="BR152" s="230">
        <v>216837000</v>
      </c>
      <c r="BS152" s="229">
        <v>1.1611</v>
      </c>
      <c r="BT152" s="230">
        <v>31914625</v>
      </c>
      <c r="BU152" s="230">
        <v>21547607</v>
      </c>
      <c r="BV152" s="230">
        <v>10367018</v>
      </c>
      <c r="BW152" s="229">
        <v>0.48110000000000003</v>
      </c>
      <c r="BX152" s="230">
        <v>263979000</v>
      </c>
      <c r="BY152" s="230">
        <v>264181500</v>
      </c>
      <c r="BZ152" s="230">
        <v>-202500</v>
      </c>
      <c r="CA152" s="229">
        <v>-8.0000000000000004E-4</v>
      </c>
      <c r="CB152" s="230">
        <v>207157500</v>
      </c>
      <c r="CC152" s="230">
        <v>214123500</v>
      </c>
      <c r="CD152" s="230">
        <v>-6966000</v>
      </c>
      <c r="CE152" s="229">
        <v>-3.2500000000000001E-2</v>
      </c>
      <c r="CF152" s="230">
        <v>54337500</v>
      </c>
      <c r="CG152" s="230">
        <v>47844000</v>
      </c>
      <c r="CH152" s="230">
        <v>6493500</v>
      </c>
      <c r="CI152" s="229">
        <v>0.13569999999999999</v>
      </c>
      <c r="CJ152" s="230">
        <v>2484000</v>
      </c>
      <c r="CK152" s="230">
        <v>2214000</v>
      </c>
      <c r="CL152" s="230">
        <v>270000</v>
      </c>
      <c r="CM152" s="229">
        <v>0.122</v>
      </c>
      <c r="CN152" s="230">
        <v>127737000</v>
      </c>
      <c r="CO152" s="230">
        <v>130896000</v>
      </c>
      <c r="CP152" s="230">
        <v>-3159000</v>
      </c>
      <c r="CQ152" s="229">
        <v>-2.41E-2</v>
      </c>
      <c r="CR152" s="230">
        <v>97794000</v>
      </c>
      <c r="CS152" s="230">
        <v>95391000</v>
      </c>
      <c r="CT152" s="230">
        <v>2403000</v>
      </c>
      <c r="CU152" s="229">
        <v>2.52E-2</v>
      </c>
      <c r="CV152" s="230">
        <v>489510000</v>
      </c>
      <c r="CW152" s="230">
        <v>490468500</v>
      </c>
      <c r="CX152" s="230">
        <v>-958500</v>
      </c>
      <c r="CY152" s="229">
        <v>-2E-3</v>
      </c>
      <c r="CZ152" s="228">
        <v>25.25</v>
      </c>
      <c r="DA152" s="228">
        <v>25.19</v>
      </c>
      <c r="DB152" s="228">
        <v>0.06</v>
      </c>
      <c r="DC152" s="228">
        <v>0.06</v>
      </c>
      <c r="DD152" s="228">
        <v>41.75</v>
      </c>
      <c r="DE152" s="228">
        <v>41.79</v>
      </c>
      <c r="DF152" s="228">
        <v>-16.5</v>
      </c>
      <c r="DG152" s="228">
        <v>-0.04</v>
      </c>
      <c r="DH152" s="228">
        <v>25.04</v>
      </c>
      <c r="DI152" s="228">
        <v>23.84</v>
      </c>
      <c r="DJ152" s="228">
        <v>1.2</v>
      </c>
      <c r="DK152" s="228">
        <v>1.2</v>
      </c>
      <c r="DL152" s="228">
        <v>25.78</v>
      </c>
      <c r="DM152" s="228">
        <v>27.41</v>
      </c>
      <c r="DN152" s="228">
        <v>-1.63</v>
      </c>
      <c r="DO152" s="228">
        <v>-1.63</v>
      </c>
      <c r="DP152" s="228">
        <v>0.77</v>
      </c>
      <c r="DQ152" s="228">
        <v>0.73</v>
      </c>
      <c r="DR152" s="228">
        <v>0.04</v>
      </c>
      <c r="DS152" s="229">
        <v>5.4800000000000001E-2</v>
      </c>
      <c r="DT152" s="228">
        <v>80</v>
      </c>
      <c r="DU152" s="228">
        <v>71</v>
      </c>
      <c r="DV152" s="228">
        <v>0.39</v>
      </c>
      <c r="DW152" s="228">
        <v>0.61</v>
      </c>
      <c r="DX152" s="228">
        <v>-0.22</v>
      </c>
      <c r="DY152" s="229">
        <v>-0.36070000000000002</v>
      </c>
      <c r="DZ152" s="229">
        <v>0.21529999999999999</v>
      </c>
      <c r="EA152" s="230">
        <v>50058000</v>
      </c>
      <c r="EB152" s="229">
        <v>4.3E-3</v>
      </c>
      <c r="EC152" s="229">
        <v>0.21529999999999999</v>
      </c>
      <c r="ED152" s="228">
        <v>0.36</v>
      </c>
      <c r="EE152" s="229">
        <v>5.0000000000000001E-3</v>
      </c>
      <c r="EF152" s="230">
        <v>11542707</v>
      </c>
      <c r="EG152" s="230">
        <v>12243893</v>
      </c>
      <c r="EH152" s="229">
        <v>-5.7299999999999997E-2</v>
      </c>
      <c r="EI152" s="229">
        <v>0.36170000000000002</v>
      </c>
      <c r="EJ152" s="231">
        <v>172288.4</v>
      </c>
      <c r="EK152" s="231">
        <v>66450.179999999993</v>
      </c>
      <c r="EL152" s="231">
        <v>58603.38</v>
      </c>
      <c r="EM152" s="228">
        <v>0</v>
      </c>
      <c r="EN152" s="231">
        <v>297341.96000000002</v>
      </c>
      <c r="EO152" s="231">
        <v>135892.98000000001</v>
      </c>
      <c r="EP152" s="231">
        <v>161448.98000000001</v>
      </c>
      <c r="EQ152" s="229">
        <v>1.1880999999999999</v>
      </c>
      <c r="ER152" s="231">
        <v>95929</v>
      </c>
      <c r="ES152" s="231">
        <v>69151</v>
      </c>
      <c r="ET152" s="231">
        <v>190565</v>
      </c>
      <c r="EU152" s="231">
        <v>689383367</v>
      </c>
      <c r="EV152" s="231">
        <v>355645</v>
      </c>
      <c r="EW152" s="231">
        <v>352737</v>
      </c>
      <c r="EX152" s="231">
        <v>2908</v>
      </c>
      <c r="EY152" s="229">
        <v>8.2000000000000007E-3</v>
      </c>
      <c r="EZ152" s="229">
        <v>0.71009999999999995</v>
      </c>
      <c r="FA152" s="227" t="s">
        <v>556</v>
      </c>
      <c r="FB152" s="161">
        <f t="shared" si="3"/>
        <v>0</v>
      </c>
    </row>
    <row r="153" spans="1:158" ht="17.25" thickBot="1" x14ac:dyDescent="0.3">
      <c r="A153" s="226">
        <v>45889</v>
      </c>
      <c r="B153" s="227" t="s">
        <v>161</v>
      </c>
      <c r="C153" s="227" t="s">
        <v>268</v>
      </c>
      <c r="D153" s="228">
        <v>1500</v>
      </c>
      <c r="E153" s="228">
        <v>342.15</v>
      </c>
      <c r="F153" s="228">
        <v>335.95</v>
      </c>
      <c r="G153" s="228">
        <v>6.2</v>
      </c>
      <c r="H153" s="229">
        <v>1.8499999999999999E-2</v>
      </c>
      <c r="I153" s="228">
        <v>342</v>
      </c>
      <c r="J153" s="228">
        <v>335.05</v>
      </c>
      <c r="K153" s="228">
        <v>6.95</v>
      </c>
      <c r="L153" s="229">
        <v>2.07E-2</v>
      </c>
      <c r="M153" s="228">
        <v>342.15</v>
      </c>
      <c r="N153" s="228">
        <v>335.95</v>
      </c>
      <c r="O153" s="228">
        <v>6.2</v>
      </c>
      <c r="P153" s="229">
        <v>1.8499999999999999E-2</v>
      </c>
      <c r="Q153" s="228">
        <v>340.95</v>
      </c>
      <c r="R153" s="228">
        <v>334.8</v>
      </c>
      <c r="S153" s="228">
        <v>6.15</v>
      </c>
      <c r="T153" s="229">
        <v>1.84E-2</v>
      </c>
      <c r="U153" s="228">
        <v>342.65</v>
      </c>
      <c r="V153" s="228">
        <v>336.05</v>
      </c>
      <c r="W153" s="228">
        <v>6.6</v>
      </c>
      <c r="X153" s="229">
        <v>1.9599999999999999E-2</v>
      </c>
      <c r="Y153" s="228">
        <v>0.15</v>
      </c>
      <c r="Z153" s="228">
        <v>0.9</v>
      </c>
      <c r="AA153" s="228">
        <v>-0.75</v>
      </c>
      <c r="AB153" s="229">
        <v>4.0000000000000002E-4</v>
      </c>
      <c r="AC153" s="228">
        <v>0.15</v>
      </c>
      <c r="AD153" s="228">
        <v>0.9</v>
      </c>
      <c r="AE153" s="228">
        <v>-0.75</v>
      </c>
      <c r="AF153" s="229">
        <v>4.0000000000000002E-4</v>
      </c>
      <c r="AG153" s="228">
        <v>-1.05</v>
      </c>
      <c r="AH153" s="228">
        <v>-0.25</v>
      </c>
      <c r="AI153" s="228">
        <v>-0.8</v>
      </c>
      <c r="AJ153" s="229">
        <v>-3.0999999999999999E-3</v>
      </c>
      <c r="AK153" s="228">
        <v>0.65</v>
      </c>
      <c r="AL153" s="228">
        <v>1</v>
      </c>
      <c r="AM153" s="228">
        <v>-0.35</v>
      </c>
      <c r="AN153" s="229">
        <v>1.9E-3</v>
      </c>
      <c r="AO153" s="228">
        <v>340.93</v>
      </c>
      <c r="AP153" s="228">
        <v>339.25</v>
      </c>
      <c r="AQ153" s="228">
        <v>0</v>
      </c>
      <c r="AR153" s="230">
        <v>20650500</v>
      </c>
      <c r="AS153" s="230">
        <v>13939500</v>
      </c>
      <c r="AT153" s="230">
        <v>6711000</v>
      </c>
      <c r="AU153" s="229">
        <v>0.48139999999999999</v>
      </c>
      <c r="AV153" s="230">
        <v>16056000</v>
      </c>
      <c r="AW153" s="230">
        <v>8658000</v>
      </c>
      <c r="AX153" s="230">
        <v>7398000</v>
      </c>
      <c r="AY153" s="229">
        <v>0.85450000000000004</v>
      </c>
      <c r="AZ153" s="230">
        <v>4336500</v>
      </c>
      <c r="BA153" s="230">
        <v>5049000</v>
      </c>
      <c r="BB153" s="230">
        <v>-712500</v>
      </c>
      <c r="BC153" s="229">
        <v>-0.1411</v>
      </c>
      <c r="BD153" s="230">
        <v>258000</v>
      </c>
      <c r="BE153" s="230">
        <v>232500</v>
      </c>
      <c r="BF153" s="230">
        <v>25500</v>
      </c>
      <c r="BG153" s="229">
        <v>0.10970000000000001</v>
      </c>
      <c r="BH153" s="230">
        <v>104872500</v>
      </c>
      <c r="BI153" s="230">
        <v>43999500</v>
      </c>
      <c r="BJ153" s="230">
        <v>60873000</v>
      </c>
      <c r="BK153" s="229">
        <v>1.3835</v>
      </c>
      <c r="BL153" s="230">
        <v>32506500</v>
      </c>
      <c r="BM153" s="230">
        <v>22144500</v>
      </c>
      <c r="BN153" s="230">
        <v>10362000</v>
      </c>
      <c r="BO153" s="229">
        <v>0.46789999999999998</v>
      </c>
      <c r="BP153" s="230">
        <v>158029500</v>
      </c>
      <c r="BQ153" s="230">
        <v>80083500</v>
      </c>
      <c r="BR153" s="230">
        <v>77946000</v>
      </c>
      <c r="BS153" s="229">
        <v>0.97330000000000005</v>
      </c>
      <c r="BT153" s="230">
        <v>11075082</v>
      </c>
      <c r="BU153" s="230">
        <v>10681776</v>
      </c>
      <c r="BV153" s="230">
        <v>393306</v>
      </c>
      <c r="BW153" s="229">
        <v>3.6799999999999999E-2</v>
      </c>
      <c r="BX153" s="230">
        <v>105649500</v>
      </c>
      <c r="BY153" s="230">
        <v>103384500</v>
      </c>
      <c r="BZ153" s="230">
        <v>2265000</v>
      </c>
      <c r="CA153" s="229">
        <v>2.1899999999999999E-2</v>
      </c>
      <c r="CB153" s="230">
        <v>95095500</v>
      </c>
      <c r="CC153" s="230">
        <v>94834500</v>
      </c>
      <c r="CD153" s="230">
        <v>261000</v>
      </c>
      <c r="CE153" s="229">
        <v>2.8E-3</v>
      </c>
      <c r="CF153" s="230">
        <v>10204500</v>
      </c>
      <c r="CG153" s="230">
        <v>8241000</v>
      </c>
      <c r="CH153" s="230">
        <v>1963500</v>
      </c>
      <c r="CI153" s="229">
        <v>0.23830000000000001</v>
      </c>
      <c r="CJ153" s="230">
        <v>349500</v>
      </c>
      <c r="CK153" s="230">
        <v>309000</v>
      </c>
      <c r="CL153" s="230">
        <v>40500</v>
      </c>
      <c r="CM153" s="229">
        <v>0.13109999999999999</v>
      </c>
      <c r="CN153" s="230">
        <v>44614500</v>
      </c>
      <c r="CO153" s="230">
        <v>41704500</v>
      </c>
      <c r="CP153" s="230">
        <v>2910000</v>
      </c>
      <c r="CQ153" s="229">
        <v>6.9800000000000001E-2</v>
      </c>
      <c r="CR153" s="230">
        <v>22885500</v>
      </c>
      <c r="CS153" s="230">
        <v>17847000</v>
      </c>
      <c r="CT153" s="230">
        <v>5038500</v>
      </c>
      <c r="CU153" s="229">
        <v>0.2823</v>
      </c>
      <c r="CV153" s="230">
        <v>173149500</v>
      </c>
      <c r="CW153" s="230">
        <v>162936000</v>
      </c>
      <c r="CX153" s="230">
        <v>10213500</v>
      </c>
      <c r="CY153" s="229">
        <v>6.2700000000000006E-2</v>
      </c>
      <c r="CZ153" s="228">
        <v>15.9</v>
      </c>
      <c r="DA153" s="228">
        <v>17.399999999999999</v>
      </c>
      <c r="DB153" s="228">
        <v>-1.5</v>
      </c>
      <c r="DC153" s="228">
        <v>-1.5</v>
      </c>
      <c r="DD153" s="228">
        <v>30.64</v>
      </c>
      <c r="DE153" s="228">
        <v>30.59</v>
      </c>
      <c r="DF153" s="228">
        <v>-14.74</v>
      </c>
      <c r="DG153" s="228">
        <v>0.05</v>
      </c>
      <c r="DH153" s="228">
        <v>15.76</v>
      </c>
      <c r="DI153" s="228">
        <v>17.22</v>
      </c>
      <c r="DJ153" s="228">
        <v>-1.46</v>
      </c>
      <c r="DK153" s="228">
        <v>-1.46</v>
      </c>
      <c r="DL153" s="228">
        <v>16.350000000000001</v>
      </c>
      <c r="DM153" s="228">
        <v>17.77</v>
      </c>
      <c r="DN153" s="228">
        <v>-1.42</v>
      </c>
      <c r="DO153" s="228">
        <v>-1.42</v>
      </c>
      <c r="DP153" s="228">
        <v>0.51</v>
      </c>
      <c r="DQ153" s="228">
        <v>0.43</v>
      </c>
      <c r="DR153" s="228">
        <v>0.08</v>
      </c>
      <c r="DS153" s="229">
        <v>0.186</v>
      </c>
      <c r="DT153" s="228">
        <v>340</v>
      </c>
      <c r="DU153" s="228">
        <v>340</v>
      </c>
      <c r="DV153" s="228">
        <v>0.31</v>
      </c>
      <c r="DW153" s="228">
        <v>0.5</v>
      </c>
      <c r="DX153" s="228">
        <v>-0.19</v>
      </c>
      <c r="DY153" s="229">
        <v>-0.38</v>
      </c>
      <c r="DZ153" s="229">
        <v>9.9900000000000003E-2</v>
      </c>
      <c r="EA153" s="230">
        <v>8550000</v>
      </c>
      <c r="EB153" s="229">
        <v>-3.5000000000000001E-3</v>
      </c>
      <c r="EC153" s="229">
        <v>9.9900000000000003E-2</v>
      </c>
      <c r="ED153" s="228">
        <v>-1.68</v>
      </c>
      <c r="EE153" s="229">
        <v>-4.8999999999999998E-3</v>
      </c>
      <c r="EF153" s="230">
        <v>6422396</v>
      </c>
      <c r="EG153" s="230">
        <v>6849923</v>
      </c>
      <c r="EH153" s="229">
        <v>-6.2399999999999997E-2</v>
      </c>
      <c r="EI153" s="229">
        <v>0.57989999999999997</v>
      </c>
      <c r="EJ153" s="231">
        <v>364456.97</v>
      </c>
      <c r="EK153" s="231">
        <v>110626.9</v>
      </c>
      <c r="EL153" s="231">
        <v>70330.19</v>
      </c>
      <c r="EM153" s="228">
        <v>0</v>
      </c>
      <c r="EN153" s="231">
        <v>545414.06000000006</v>
      </c>
      <c r="EO153" s="231">
        <v>275732.13</v>
      </c>
      <c r="EP153" s="231">
        <v>269681.93</v>
      </c>
      <c r="EQ153" s="229">
        <v>0.97809999999999997</v>
      </c>
      <c r="ER153" s="231">
        <v>154740</v>
      </c>
      <c r="ES153" s="231">
        <v>77318</v>
      </c>
      <c r="ET153" s="231">
        <v>361359</v>
      </c>
      <c r="EU153" s="231">
        <v>948263976</v>
      </c>
      <c r="EV153" s="231">
        <v>593417</v>
      </c>
      <c r="EW153" s="231">
        <v>551930</v>
      </c>
      <c r="EX153" s="231">
        <v>41487</v>
      </c>
      <c r="EY153" s="229">
        <v>7.5200000000000003E-2</v>
      </c>
      <c r="EZ153" s="229">
        <v>0.18260000000000001</v>
      </c>
      <c r="FA153" s="227" t="s">
        <v>555</v>
      </c>
      <c r="FB153" s="161">
        <f>BX235-CB235</f>
        <v>0</v>
      </c>
    </row>
    <row r="154" spans="1:158" ht="17.25" thickBot="1" x14ac:dyDescent="0.3">
      <c r="A154" s="226">
        <v>45889</v>
      </c>
      <c r="B154" s="227" t="s">
        <v>175</v>
      </c>
      <c r="C154" s="227" t="s">
        <v>687</v>
      </c>
      <c r="D154" s="228">
        <v>75</v>
      </c>
      <c r="E154" s="231">
        <v>6857</v>
      </c>
      <c r="F154" s="231">
        <v>6796</v>
      </c>
      <c r="G154" s="228">
        <v>61</v>
      </c>
      <c r="H154" s="229">
        <v>8.9999999999999993E-3</v>
      </c>
      <c r="I154" s="231">
        <v>6854.5</v>
      </c>
      <c r="J154" s="231">
        <v>6789.5</v>
      </c>
      <c r="K154" s="228">
        <v>65</v>
      </c>
      <c r="L154" s="229">
        <v>9.5999999999999992E-3</v>
      </c>
      <c r="M154" s="231">
        <v>6857</v>
      </c>
      <c r="N154" s="231">
        <v>6796</v>
      </c>
      <c r="O154" s="228">
        <v>61</v>
      </c>
      <c r="P154" s="229">
        <v>8.9999999999999993E-3</v>
      </c>
      <c r="Q154" s="231">
        <v>6874.5</v>
      </c>
      <c r="R154" s="231">
        <v>6805</v>
      </c>
      <c r="S154" s="228">
        <v>69.5</v>
      </c>
      <c r="T154" s="229">
        <v>1.0200000000000001E-2</v>
      </c>
      <c r="U154" s="231">
        <v>6859.5</v>
      </c>
      <c r="V154" s="231">
        <v>6813</v>
      </c>
      <c r="W154" s="228">
        <v>46.5</v>
      </c>
      <c r="X154" s="229">
        <v>6.7999999999999996E-3</v>
      </c>
      <c r="Y154" s="228">
        <v>2.5</v>
      </c>
      <c r="Z154" s="228">
        <v>6.5</v>
      </c>
      <c r="AA154" s="228">
        <v>-4</v>
      </c>
      <c r="AB154" s="229">
        <v>4.0000000000000002E-4</v>
      </c>
      <c r="AC154" s="228">
        <v>2.5</v>
      </c>
      <c r="AD154" s="228">
        <v>6.5</v>
      </c>
      <c r="AE154" s="228">
        <v>-4</v>
      </c>
      <c r="AF154" s="229">
        <v>4.0000000000000002E-4</v>
      </c>
      <c r="AG154" s="228">
        <v>20</v>
      </c>
      <c r="AH154" s="228">
        <v>15.5</v>
      </c>
      <c r="AI154" s="228">
        <v>4.5</v>
      </c>
      <c r="AJ154" s="229">
        <v>2.8999999999999998E-3</v>
      </c>
      <c r="AK154" s="228">
        <v>5</v>
      </c>
      <c r="AL154" s="228">
        <v>23.5</v>
      </c>
      <c r="AM154" s="228">
        <v>-18.5</v>
      </c>
      <c r="AN154" s="229">
        <v>6.9999999999999999E-4</v>
      </c>
      <c r="AO154" s="231">
        <v>6782.59</v>
      </c>
      <c r="AP154" s="231">
        <v>6793.6</v>
      </c>
      <c r="AQ154" s="228">
        <v>0</v>
      </c>
      <c r="AR154" s="230">
        <v>178275</v>
      </c>
      <c r="AS154" s="230">
        <v>180825</v>
      </c>
      <c r="AT154" s="230">
        <v>-2550</v>
      </c>
      <c r="AU154" s="229">
        <v>-1.41E-2</v>
      </c>
      <c r="AV154" s="230">
        <v>152925</v>
      </c>
      <c r="AW154" s="230">
        <v>156150</v>
      </c>
      <c r="AX154" s="230">
        <v>-3225</v>
      </c>
      <c r="AY154" s="229">
        <v>-2.07E-2</v>
      </c>
      <c r="AZ154" s="230">
        <v>24225</v>
      </c>
      <c r="BA154" s="230">
        <v>23025</v>
      </c>
      <c r="BB154" s="230">
        <v>1200</v>
      </c>
      <c r="BC154" s="229">
        <v>5.21E-2</v>
      </c>
      <c r="BD154" s="230">
        <v>1125</v>
      </c>
      <c r="BE154" s="230">
        <v>1650</v>
      </c>
      <c r="BF154" s="228">
        <v>-525</v>
      </c>
      <c r="BG154" s="229">
        <v>-0.31819999999999998</v>
      </c>
      <c r="BH154" s="230">
        <v>988725</v>
      </c>
      <c r="BI154" s="230">
        <v>606900</v>
      </c>
      <c r="BJ154" s="230">
        <v>381825</v>
      </c>
      <c r="BK154" s="229">
        <v>0.62909999999999999</v>
      </c>
      <c r="BL154" s="230">
        <v>498150</v>
      </c>
      <c r="BM154" s="230">
        <v>558600</v>
      </c>
      <c r="BN154" s="230">
        <v>-60450</v>
      </c>
      <c r="BO154" s="229">
        <v>-0.1082</v>
      </c>
      <c r="BP154" s="230">
        <v>1665150</v>
      </c>
      <c r="BQ154" s="230">
        <v>1346325</v>
      </c>
      <c r="BR154" s="230">
        <v>318825</v>
      </c>
      <c r="BS154" s="229">
        <v>0.23680000000000001</v>
      </c>
      <c r="BT154" s="230">
        <v>166394</v>
      </c>
      <c r="BU154" s="230">
        <v>161241</v>
      </c>
      <c r="BV154" s="230">
        <v>5153</v>
      </c>
      <c r="BW154" s="229">
        <v>3.2000000000000001E-2</v>
      </c>
      <c r="BX154" s="230">
        <v>218850</v>
      </c>
      <c r="BY154" s="230">
        <v>230925</v>
      </c>
      <c r="BZ154" s="230">
        <v>-12075</v>
      </c>
      <c r="CA154" s="229">
        <v>-5.2299999999999999E-2</v>
      </c>
      <c r="CB154" s="230">
        <v>197325</v>
      </c>
      <c r="CC154" s="230">
        <v>211875</v>
      </c>
      <c r="CD154" s="230">
        <v>-14550</v>
      </c>
      <c r="CE154" s="229">
        <v>-6.8699999999999997E-2</v>
      </c>
      <c r="CF154" s="230">
        <v>19200</v>
      </c>
      <c r="CG154" s="230">
        <v>16425</v>
      </c>
      <c r="CH154" s="230">
        <v>2775</v>
      </c>
      <c r="CI154" s="229">
        <v>0.16889999999999999</v>
      </c>
      <c r="CJ154" s="230">
        <v>2325</v>
      </c>
      <c r="CK154" s="230">
        <v>2625</v>
      </c>
      <c r="CL154" s="228">
        <v>-300</v>
      </c>
      <c r="CM154" s="229">
        <v>-0.1143</v>
      </c>
      <c r="CN154" s="230">
        <v>303300</v>
      </c>
      <c r="CO154" s="230">
        <v>413400</v>
      </c>
      <c r="CP154" s="230">
        <v>-110100</v>
      </c>
      <c r="CQ154" s="229">
        <v>-0.26629999999999998</v>
      </c>
      <c r="CR154" s="230">
        <v>188325</v>
      </c>
      <c r="CS154" s="230">
        <v>196500</v>
      </c>
      <c r="CT154" s="230">
        <v>-8175</v>
      </c>
      <c r="CU154" s="229">
        <v>-4.1599999999999998E-2</v>
      </c>
      <c r="CV154" s="230">
        <v>710475</v>
      </c>
      <c r="CW154" s="230">
        <v>840825</v>
      </c>
      <c r="CX154" s="230">
        <v>-130350</v>
      </c>
      <c r="CY154" s="229">
        <v>-0.155</v>
      </c>
      <c r="CZ154" s="228">
        <v>38.71</v>
      </c>
      <c r="DA154" s="228">
        <v>41.15</v>
      </c>
      <c r="DB154" s="228">
        <v>-2.44</v>
      </c>
      <c r="DC154" s="228">
        <v>-2.44</v>
      </c>
      <c r="DD154" s="228">
        <v>55.36</v>
      </c>
      <c r="DE154" s="228">
        <v>55.49</v>
      </c>
      <c r="DF154" s="228">
        <v>-16.649999999999999</v>
      </c>
      <c r="DG154" s="228">
        <v>-0.13</v>
      </c>
      <c r="DH154" s="228">
        <v>37.869999999999997</v>
      </c>
      <c r="DI154" s="228">
        <v>41.34</v>
      </c>
      <c r="DJ154" s="228">
        <v>-3.47</v>
      </c>
      <c r="DK154" s="228">
        <v>-3.47</v>
      </c>
      <c r="DL154" s="228">
        <v>40.39</v>
      </c>
      <c r="DM154" s="228">
        <v>40.94</v>
      </c>
      <c r="DN154" s="228">
        <v>-0.55000000000000004</v>
      </c>
      <c r="DO154" s="228">
        <v>-0.55000000000000004</v>
      </c>
      <c r="DP154" s="228">
        <v>0.62</v>
      </c>
      <c r="DQ154" s="228">
        <v>0.48</v>
      </c>
      <c r="DR154" s="228">
        <v>0.14000000000000001</v>
      </c>
      <c r="DS154" s="229">
        <v>0.29170000000000001</v>
      </c>
      <c r="DT154" s="231">
        <v>7000</v>
      </c>
      <c r="DU154" s="231">
        <v>6800</v>
      </c>
      <c r="DV154" s="228">
        <v>0.5</v>
      </c>
      <c r="DW154" s="228">
        <v>0.92</v>
      </c>
      <c r="DX154" s="228">
        <v>-0.42</v>
      </c>
      <c r="DY154" s="229">
        <v>-0.45650000000000002</v>
      </c>
      <c r="DZ154" s="229">
        <v>9.8400000000000001E-2</v>
      </c>
      <c r="EA154" s="230">
        <v>19050</v>
      </c>
      <c r="EB154" s="229">
        <v>2.5999999999999999E-3</v>
      </c>
      <c r="EC154" s="229">
        <v>9.8400000000000001E-2</v>
      </c>
      <c r="ED154" s="228">
        <v>11.01</v>
      </c>
      <c r="EE154" s="229">
        <v>1.6000000000000001E-3</v>
      </c>
      <c r="EF154" s="230">
        <v>81693</v>
      </c>
      <c r="EG154" s="230">
        <v>52955</v>
      </c>
      <c r="EH154" s="229">
        <v>0.54269999999999996</v>
      </c>
      <c r="EI154" s="229">
        <v>0.49099999999999999</v>
      </c>
      <c r="EJ154" s="231">
        <v>72448.289999999994</v>
      </c>
      <c r="EK154" s="231">
        <v>31623.42</v>
      </c>
      <c r="EL154" s="231">
        <v>12094.36</v>
      </c>
      <c r="EM154" s="228">
        <v>0</v>
      </c>
      <c r="EN154" s="231">
        <v>116166.07</v>
      </c>
      <c r="EO154" s="231">
        <v>92755.41</v>
      </c>
      <c r="EP154" s="231">
        <v>23410.66</v>
      </c>
      <c r="EQ154" s="229">
        <v>0.25240000000000001</v>
      </c>
      <c r="ER154" s="231">
        <v>21844</v>
      </c>
      <c r="ES154" s="231">
        <v>12509</v>
      </c>
      <c r="ET154" s="231">
        <v>15010</v>
      </c>
      <c r="EU154" s="231">
        <v>3259553</v>
      </c>
      <c r="EV154" s="231">
        <v>49363</v>
      </c>
      <c r="EW154" s="231">
        <v>58637</v>
      </c>
      <c r="EX154" s="231">
        <v>-9274</v>
      </c>
      <c r="EY154" s="229">
        <v>-0.15820000000000001</v>
      </c>
      <c r="EZ154" s="229">
        <v>0.218</v>
      </c>
      <c r="FA154" s="227" t="s">
        <v>556</v>
      </c>
      <c r="FB154" s="161">
        <f t="shared" si="3"/>
        <v>0</v>
      </c>
    </row>
    <row r="155" spans="1:158" ht="17.25" thickBot="1" x14ac:dyDescent="0.3">
      <c r="A155" s="226">
        <v>45889</v>
      </c>
      <c r="B155" s="227" t="s">
        <v>616</v>
      </c>
      <c r="C155" s="227" t="s">
        <v>614</v>
      </c>
      <c r="D155" s="228">
        <v>3125</v>
      </c>
      <c r="E155" s="228">
        <v>224.49</v>
      </c>
      <c r="F155" s="228">
        <v>225.82</v>
      </c>
      <c r="G155" s="228">
        <v>-1.33</v>
      </c>
      <c r="H155" s="229">
        <v>-5.8999999999999999E-3</v>
      </c>
      <c r="I155" s="228">
        <v>225.18</v>
      </c>
      <c r="J155" s="228">
        <v>226.83</v>
      </c>
      <c r="K155" s="228">
        <v>-1.65</v>
      </c>
      <c r="L155" s="229">
        <v>-7.3000000000000001E-3</v>
      </c>
      <c r="M155" s="228">
        <v>224.49</v>
      </c>
      <c r="N155" s="228">
        <v>225.82</v>
      </c>
      <c r="O155" s="228">
        <v>-1.33</v>
      </c>
      <c r="P155" s="229">
        <v>-5.8999999999999999E-3</v>
      </c>
      <c r="Q155" s="228">
        <v>223.07</v>
      </c>
      <c r="R155" s="228">
        <v>224.56</v>
      </c>
      <c r="S155" s="228">
        <v>-1.49</v>
      </c>
      <c r="T155" s="229">
        <v>-6.6E-3</v>
      </c>
      <c r="U155" s="228">
        <v>222.44</v>
      </c>
      <c r="V155" s="228">
        <v>223.7</v>
      </c>
      <c r="W155" s="228">
        <v>-1.26</v>
      </c>
      <c r="X155" s="229">
        <v>-5.5999999999999999E-3</v>
      </c>
      <c r="Y155" s="228">
        <v>-0.69</v>
      </c>
      <c r="Z155" s="228">
        <v>-1.01</v>
      </c>
      <c r="AA155" s="228">
        <v>0.32</v>
      </c>
      <c r="AB155" s="229">
        <v>-3.0999999999999999E-3</v>
      </c>
      <c r="AC155" s="228">
        <v>-0.69</v>
      </c>
      <c r="AD155" s="228">
        <v>-1.01</v>
      </c>
      <c r="AE155" s="228">
        <v>0.32</v>
      </c>
      <c r="AF155" s="229">
        <v>-3.0999999999999999E-3</v>
      </c>
      <c r="AG155" s="228">
        <v>-2.11</v>
      </c>
      <c r="AH155" s="228">
        <v>-2.27</v>
      </c>
      <c r="AI155" s="228">
        <v>0.16</v>
      </c>
      <c r="AJ155" s="229">
        <v>-9.4000000000000004E-3</v>
      </c>
      <c r="AK155" s="228">
        <v>-2.74</v>
      </c>
      <c r="AL155" s="228">
        <v>-3.13</v>
      </c>
      <c r="AM155" s="228">
        <v>0.39</v>
      </c>
      <c r="AN155" s="229">
        <v>-1.2200000000000001E-2</v>
      </c>
      <c r="AO155" s="228">
        <v>225.74</v>
      </c>
      <c r="AP155" s="228">
        <v>224.11</v>
      </c>
      <c r="AQ155" s="228">
        <v>0</v>
      </c>
      <c r="AR155" s="230">
        <v>14503125</v>
      </c>
      <c r="AS155" s="230">
        <v>17890625</v>
      </c>
      <c r="AT155" s="230">
        <v>-3387500</v>
      </c>
      <c r="AU155" s="229">
        <v>-0.1893</v>
      </c>
      <c r="AV155" s="230">
        <v>11056250</v>
      </c>
      <c r="AW155" s="230">
        <v>14231250</v>
      </c>
      <c r="AX155" s="230">
        <v>-3175000</v>
      </c>
      <c r="AY155" s="229">
        <v>-0.22309999999999999</v>
      </c>
      <c r="AZ155" s="230">
        <v>3368750</v>
      </c>
      <c r="BA155" s="230">
        <v>3537500</v>
      </c>
      <c r="BB155" s="230">
        <v>-168750</v>
      </c>
      <c r="BC155" s="229">
        <v>-4.7699999999999999E-2</v>
      </c>
      <c r="BD155" s="230">
        <v>78125</v>
      </c>
      <c r="BE155" s="230">
        <v>121875</v>
      </c>
      <c r="BF155" s="230">
        <v>-43750</v>
      </c>
      <c r="BG155" s="229">
        <v>-0.35899999999999999</v>
      </c>
      <c r="BH155" s="230">
        <v>28406250</v>
      </c>
      <c r="BI155" s="230">
        <v>58559375</v>
      </c>
      <c r="BJ155" s="230">
        <v>-30153125</v>
      </c>
      <c r="BK155" s="229">
        <v>-0.51490000000000002</v>
      </c>
      <c r="BL155" s="230">
        <v>11153125</v>
      </c>
      <c r="BM155" s="230">
        <v>18200000</v>
      </c>
      <c r="BN155" s="230">
        <v>-7046875</v>
      </c>
      <c r="BO155" s="229">
        <v>-0.38719999999999999</v>
      </c>
      <c r="BP155" s="230">
        <v>54062500</v>
      </c>
      <c r="BQ155" s="230">
        <v>94650000</v>
      </c>
      <c r="BR155" s="230">
        <v>-40587500</v>
      </c>
      <c r="BS155" s="229">
        <v>-0.42880000000000001</v>
      </c>
      <c r="BT155" s="230">
        <v>6775229</v>
      </c>
      <c r="BU155" s="230">
        <v>8797246</v>
      </c>
      <c r="BV155" s="230">
        <v>-2022017</v>
      </c>
      <c r="BW155" s="229">
        <v>-0.2298</v>
      </c>
      <c r="BX155" s="230">
        <v>55531250</v>
      </c>
      <c r="BY155" s="230">
        <v>54731250</v>
      </c>
      <c r="BZ155" s="230">
        <v>800000</v>
      </c>
      <c r="CA155" s="229">
        <v>1.46E-2</v>
      </c>
      <c r="CB155" s="230">
        <v>50693750</v>
      </c>
      <c r="CC155" s="230">
        <v>51384375</v>
      </c>
      <c r="CD155" s="230">
        <v>-690625</v>
      </c>
      <c r="CE155" s="229">
        <v>-1.34E-2</v>
      </c>
      <c r="CF155" s="230">
        <v>4590625</v>
      </c>
      <c r="CG155" s="230">
        <v>3131250</v>
      </c>
      <c r="CH155" s="230">
        <v>1459375</v>
      </c>
      <c r="CI155" s="229">
        <v>0.46610000000000001</v>
      </c>
      <c r="CJ155" s="230">
        <v>246875</v>
      </c>
      <c r="CK155" s="230">
        <v>215625</v>
      </c>
      <c r="CL155" s="230">
        <v>31250</v>
      </c>
      <c r="CM155" s="229">
        <v>0.1449</v>
      </c>
      <c r="CN155" s="230">
        <v>14340625</v>
      </c>
      <c r="CO155" s="230">
        <v>14937500</v>
      </c>
      <c r="CP155" s="230">
        <v>-596875</v>
      </c>
      <c r="CQ155" s="229">
        <v>-0.04</v>
      </c>
      <c r="CR155" s="230">
        <v>11465625</v>
      </c>
      <c r="CS155" s="230">
        <v>11234375</v>
      </c>
      <c r="CT155" s="230">
        <v>231250</v>
      </c>
      <c r="CU155" s="229">
        <v>2.06E-2</v>
      </c>
      <c r="CV155" s="230">
        <v>81337500</v>
      </c>
      <c r="CW155" s="230">
        <v>80903125</v>
      </c>
      <c r="CX155" s="230">
        <v>434375</v>
      </c>
      <c r="CY155" s="229">
        <v>5.4000000000000003E-3</v>
      </c>
      <c r="CZ155" s="228">
        <v>31.16</v>
      </c>
      <c r="DA155" s="228">
        <v>31.95</v>
      </c>
      <c r="DB155" s="228">
        <v>-0.79</v>
      </c>
      <c r="DC155" s="228">
        <v>-0.79</v>
      </c>
      <c r="DD155" s="228">
        <v>37.96</v>
      </c>
      <c r="DE155" s="228">
        <v>38.049999999999997</v>
      </c>
      <c r="DF155" s="228">
        <v>-6.8</v>
      </c>
      <c r="DG155" s="228">
        <v>-0.09</v>
      </c>
      <c r="DH155" s="228">
        <v>31.13</v>
      </c>
      <c r="DI155" s="228">
        <v>31.87</v>
      </c>
      <c r="DJ155" s="228">
        <v>-0.74</v>
      </c>
      <c r="DK155" s="228">
        <v>-0.74</v>
      </c>
      <c r="DL155" s="228">
        <v>31.24</v>
      </c>
      <c r="DM155" s="228">
        <v>32.200000000000003</v>
      </c>
      <c r="DN155" s="228">
        <v>-0.96</v>
      </c>
      <c r="DO155" s="228">
        <v>-0.96</v>
      </c>
      <c r="DP155" s="228">
        <v>0.8</v>
      </c>
      <c r="DQ155" s="228">
        <v>0.75</v>
      </c>
      <c r="DR155" s="228">
        <v>0.05</v>
      </c>
      <c r="DS155" s="229">
        <v>6.6699999999999995E-2</v>
      </c>
      <c r="DT155" s="228">
        <v>230</v>
      </c>
      <c r="DU155" s="228">
        <v>200</v>
      </c>
      <c r="DV155" s="228">
        <v>0.39</v>
      </c>
      <c r="DW155" s="228">
        <v>0.31</v>
      </c>
      <c r="DX155" s="228">
        <v>0.08</v>
      </c>
      <c r="DY155" s="229">
        <v>0.2581</v>
      </c>
      <c r="DZ155" s="229">
        <v>8.7099999999999997E-2</v>
      </c>
      <c r="EA155" s="230">
        <v>3346875</v>
      </c>
      <c r="EB155" s="229">
        <v>-6.3E-3</v>
      </c>
      <c r="EC155" s="229">
        <v>8.7099999999999997E-2</v>
      </c>
      <c r="ED155" s="228">
        <v>-1.63</v>
      </c>
      <c r="EE155" s="229">
        <v>-7.1999999999999998E-3</v>
      </c>
      <c r="EF155" s="230">
        <v>3167815</v>
      </c>
      <c r="EG155" s="230">
        <v>3367108</v>
      </c>
      <c r="EH155" s="229">
        <v>-5.9200000000000003E-2</v>
      </c>
      <c r="EI155" s="229">
        <v>0.46760000000000002</v>
      </c>
      <c r="EJ155" s="231">
        <v>65976.62</v>
      </c>
      <c r="EK155" s="231">
        <v>24927.84</v>
      </c>
      <c r="EL155" s="231">
        <v>32682.54</v>
      </c>
      <c r="EM155" s="228">
        <v>0</v>
      </c>
      <c r="EN155" s="231">
        <v>123587</v>
      </c>
      <c r="EO155" s="231">
        <v>214431.58</v>
      </c>
      <c r="EP155" s="231">
        <v>-90844.58</v>
      </c>
      <c r="EQ155" s="229">
        <v>-0.42370000000000002</v>
      </c>
      <c r="ER155" s="231">
        <v>32225</v>
      </c>
      <c r="ES155" s="231">
        <v>24118</v>
      </c>
      <c r="ET155" s="231">
        <v>124592</v>
      </c>
      <c r="EU155" s="231">
        <v>273765570</v>
      </c>
      <c r="EV155" s="231">
        <v>180934</v>
      </c>
      <c r="EW155" s="231">
        <v>180433</v>
      </c>
      <c r="EX155" s="228">
        <v>501</v>
      </c>
      <c r="EY155" s="229">
        <v>2.8E-3</v>
      </c>
      <c r="EZ155" s="229">
        <v>0.29709999999999998</v>
      </c>
      <c r="FA155" s="227" t="s">
        <v>567</v>
      </c>
      <c r="FB155" s="161">
        <f t="shared" si="3"/>
        <v>0</v>
      </c>
    </row>
    <row r="156" spans="1:158" ht="17.25" thickBot="1" x14ac:dyDescent="0.3">
      <c r="A156" s="226">
        <v>45889</v>
      </c>
      <c r="B156" s="227" t="s">
        <v>206</v>
      </c>
      <c r="C156" s="227" t="s">
        <v>528</v>
      </c>
      <c r="D156" s="228">
        <v>350</v>
      </c>
      <c r="E156" s="231">
        <v>1660.9</v>
      </c>
      <c r="F156" s="231">
        <v>1652.1</v>
      </c>
      <c r="G156" s="228">
        <v>8.8000000000000007</v>
      </c>
      <c r="H156" s="229">
        <v>5.3E-3</v>
      </c>
      <c r="I156" s="231">
        <v>1656.9</v>
      </c>
      <c r="J156" s="231">
        <v>1649.4</v>
      </c>
      <c r="K156" s="228">
        <v>7.5</v>
      </c>
      <c r="L156" s="229">
        <v>4.4999999999999997E-3</v>
      </c>
      <c r="M156" s="231">
        <v>1660.9</v>
      </c>
      <c r="N156" s="231">
        <v>1652.1</v>
      </c>
      <c r="O156" s="228">
        <v>8.8000000000000007</v>
      </c>
      <c r="P156" s="229">
        <v>5.3E-3</v>
      </c>
      <c r="Q156" s="231">
        <v>1669.1</v>
      </c>
      <c r="R156" s="231">
        <v>1658.4</v>
      </c>
      <c r="S156" s="228">
        <v>10.7</v>
      </c>
      <c r="T156" s="229">
        <v>6.4999999999999997E-3</v>
      </c>
      <c r="U156" s="231">
        <v>1676.2</v>
      </c>
      <c r="V156" s="231">
        <v>1664.1</v>
      </c>
      <c r="W156" s="228">
        <v>12.1</v>
      </c>
      <c r="X156" s="229">
        <v>7.3000000000000001E-3</v>
      </c>
      <c r="Y156" s="228">
        <v>4</v>
      </c>
      <c r="Z156" s="228">
        <v>2.7</v>
      </c>
      <c r="AA156" s="228">
        <v>1.3</v>
      </c>
      <c r="AB156" s="229">
        <v>2.3999999999999998E-3</v>
      </c>
      <c r="AC156" s="228">
        <v>4</v>
      </c>
      <c r="AD156" s="228">
        <v>2.7</v>
      </c>
      <c r="AE156" s="228">
        <v>1.3</v>
      </c>
      <c r="AF156" s="229">
        <v>2.3999999999999998E-3</v>
      </c>
      <c r="AG156" s="228">
        <v>12.2</v>
      </c>
      <c r="AH156" s="228">
        <v>9</v>
      </c>
      <c r="AI156" s="228">
        <v>3.2</v>
      </c>
      <c r="AJ156" s="229">
        <v>7.4000000000000003E-3</v>
      </c>
      <c r="AK156" s="228">
        <v>19.3</v>
      </c>
      <c r="AL156" s="228">
        <v>14.7</v>
      </c>
      <c r="AM156" s="228">
        <v>4.5999999999999996</v>
      </c>
      <c r="AN156" s="229">
        <v>1.1599999999999999E-2</v>
      </c>
      <c r="AO156" s="231">
        <v>1661.18</v>
      </c>
      <c r="AP156" s="231">
        <v>1669.06</v>
      </c>
      <c r="AQ156" s="228">
        <v>0</v>
      </c>
      <c r="AR156" s="230">
        <v>683200</v>
      </c>
      <c r="AS156" s="230">
        <v>672000</v>
      </c>
      <c r="AT156" s="230">
        <v>11200</v>
      </c>
      <c r="AU156" s="229">
        <v>1.67E-2</v>
      </c>
      <c r="AV156" s="230">
        <v>529550</v>
      </c>
      <c r="AW156" s="230">
        <v>484400</v>
      </c>
      <c r="AX156" s="230">
        <v>45150</v>
      </c>
      <c r="AY156" s="229">
        <v>9.3200000000000005E-2</v>
      </c>
      <c r="AZ156" s="230">
        <v>151200</v>
      </c>
      <c r="BA156" s="230">
        <v>183400</v>
      </c>
      <c r="BB156" s="230">
        <v>-32200</v>
      </c>
      <c r="BC156" s="229">
        <v>-0.17560000000000001</v>
      </c>
      <c r="BD156" s="230">
        <v>2450</v>
      </c>
      <c r="BE156" s="230">
        <v>4200</v>
      </c>
      <c r="BF156" s="230">
        <v>-1750</v>
      </c>
      <c r="BG156" s="229">
        <v>-0.41670000000000001</v>
      </c>
      <c r="BH156" s="230">
        <v>1851850</v>
      </c>
      <c r="BI156" s="230">
        <v>996450</v>
      </c>
      <c r="BJ156" s="230">
        <v>855400</v>
      </c>
      <c r="BK156" s="229">
        <v>0.85840000000000005</v>
      </c>
      <c r="BL156" s="230">
        <v>461300</v>
      </c>
      <c r="BM156" s="230">
        <v>627200</v>
      </c>
      <c r="BN156" s="230">
        <v>-165900</v>
      </c>
      <c r="BO156" s="229">
        <v>-0.26450000000000001</v>
      </c>
      <c r="BP156" s="230">
        <v>2996350</v>
      </c>
      <c r="BQ156" s="230">
        <v>2295650</v>
      </c>
      <c r="BR156" s="230">
        <v>700700</v>
      </c>
      <c r="BS156" s="229">
        <v>0.30520000000000003</v>
      </c>
      <c r="BT156" s="230">
        <v>300700</v>
      </c>
      <c r="BU156" s="230">
        <v>133111</v>
      </c>
      <c r="BV156" s="230">
        <v>167589</v>
      </c>
      <c r="BW156" s="229">
        <v>1.2589999999999999</v>
      </c>
      <c r="BX156" s="230">
        <v>5087250</v>
      </c>
      <c r="BY156" s="230">
        <v>5107200</v>
      </c>
      <c r="BZ156" s="230">
        <v>-19950</v>
      </c>
      <c r="CA156" s="229">
        <v>-3.8999999999999998E-3</v>
      </c>
      <c r="CB156" s="230">
        <v>4782750</v>
      </c>
      <c r="CC156" s="230">
        <v>4851700</v>
      </c>
      <c r="CD156" s="230">
        <v>-68950</v>
      </c>
      <c r="CE156" s="229">
        <v>-1.4200000000000001E-2</v>
      </c>
      <c r="CF156" s="230">
        <v>292950</v>
      </c>
      <c r="CG156" s="230">
        <v>244650</v>
      </c>
      <c r="CH156" s="230">
        <v>48300</v>
      </c>
      <c r="CI156" s="229">
        <v>0.19739999999999999</v>
      </c>
      <c r="CJ156" s="230">
        <v>11550</v>
      </c>
      <c r="CK156" s="230">
        <v>10850</v>
      </c>
      <c r="CL156" s="228">
        <v>700</v>
      </c>
      <c r="CM156" s="229">
        <v>6.4500000000000002E-2</v>
      </c>
      <c r="CN156" s="230">
        <v>1751750</v>
      </c>
      <c r="CO156" s="230">
        <v>1574650</v>
      </c>
      <c r="CP156" s="230">
        <v>177100</v>
      </c>
      <c r="CQ156" s="229">
        <v>0.1125</v>
      </c>
      <c r="CR156" s="230">
        <v>976500</v>
      </c>
      <c r="CS156" s="230">
        <v>990500</v>
      </c>
      <c r="CT156" s="230">
        <v>-14000</v>
      </c>
      <c r="CU156" s="229">
        <v>-1.41E-2</v>
      </c>
      <c r="CV156" s="230">
        <v>7815500</v>
      </c>
      <c r="CW156" s="230">
        <v>7672350</v>
      </c>
      <c r="CX156" s="230">
        <v>143150</v>
      </c>
      <c r="CY156" s="229">
        <v>1.8700000000000001E-2</v>
      </c>
      <c r="CZ156" s="228">
        <v>27.24</v>
      </c>
      <c r="DA156" s="228">
        <v>27.47</v>
      </c>
      <c r="DB156" s="228">
        <v>-0.23</v>
      </c>
      <c r="DC156" s="228">
        <v>-0.23</v>
      </c>
      <c r="DD156" s="228">
        <v>40.56</v>
      </c>
      <c r="DE156" s="228">
        <v>40.65</v>
      </c>
      <c r="DF156" s="228">
        <v>-13.32</v>
      </c>
      <c r="DG156" s="228">
        <v>-0.09</v>
      </c>
      <c r="DH156" s="228">
        <v>27.48</v>
      </c>
      <c r="DI156" s="228">
        <v>26.66</v>
      </c>
      <c r="DJ156" s="228">
        <v>0.82</v>
      </c>
      <c r="DK156" s="228">
        <v>0.82</v>
      </c>
      <c r="DL156" s="228">
        <v>26.3</v>
      </c>
      <c r="DM156" s="228">
        <v>28.77</v>
      </c>
      <c r="DN156" s="228">
        <v>-2.4700000000000002</v>
      </c>
      <c r="DO156" s="228">
        <v>-2.4700000000000002</v>
      </c>
      <c r="DP156" s="228">
        <v>0.56000000000000005</v>
      </c>
      <c r="DQ156" s="228">
        <v>0.63</v>
      </c>
      <c r="DR156" s="228">
        <v>-7.0000000000000007E-2</v>
      </c>
      <c r="DS156" s="229">
        <v>-0.1111</v>
      </c>
      <c r="DT156" s="231">
        <v>1700</v>
      </c>
      <c r="DU156" s="231">
        <v>1600</v>
      </c>
      <c r="DV156" s="228">
        <v>0.25</v>
      </c>
      <c r="DW156" s="228">
        <v>0.63</v>
      </c>
      <c r="DX156" s="228">
        <v>-0.38</v>
      </c>
      <c r="DY156" s="229">
        <v>-0.60319999999999996</v>
      </c>
      <c r="DZ156" s="229">
        <v>5.9900000000000002E-2</v>
      </c>
      <c r="EA156" s="230">
        <v>255500</v>
      </c>
      <c r="EB156" s="229">
        <v>4.8999999999999998E-3</v>
      </c>
      <c r="EC156" s="229">
        <v>5.9900000000000002E-2</v>
      </c>
      <c r="ED156" s="228">
        <v>7.88</v>
      </c>
      <c r="EE156" s="229">
        <v>4.7000000000000002E-3</v>
      </c>
      <c r="EF156" s="230">
        <v>149698</v>
      </c>
      <c r="EG156" s="230">
        <v>48851</v>
      </c>
      <c r="EH156" s="229">
        <v>2.0644</v>
      </c>
      <c r="EI156" s="229">
        <v>0.49780000000000002</v>
      </c>
      <c r="EJ156" s="231">
        <v>31957.56</v>
      </c>
      <c r="EK156" s="231">
        <v>7469.64</v>
      </c>
      <c r="EL156" s="231">
        <v>11361.49</v>
      </c>
      <c r="EM156" s="228">
        <v>0</v>
      </c>
      <c r="EN156" s="231">
        <v>50788.69</v>
      </c>
      <c r="EO156" s="231">
        <v>37997.360000000001</v>
      </c>
      <c r="EP156" s="231">
        <v>12791.33</v>
      </c>
      <c r="EQ156" s="229">
        <v>0.33660000000000001</v>
      </c>
      <c r="ER156" s="231">
        <v>30636</v>
      </c>
      <c r="ES156" s="231">
        <v>15850</v>
      </c>
      <c r="ET156" s="231">
        <v>84520</v>
      </c>
      <c r="EU156" s="231">
        <v>23485458</v>
      </c>
      <c r="EV156" s="231">
        <v>131006</v>
      </c>
      <c r="EW156" s="231">
        <v>127851</v>
      </c>
      <c r="EX156" s="231">
        <v>3155</v>
      </c>
      <c r="EY156" s="229">
        <v>2.47E-2</v>
      </c>
      <c r="EZ156" s="229">
        <v>0.33279999999999998</v>
      </c>
      <c r="FA156" s="227" t="s">
        <v>556</v>
      </c>
      <c r="FB156" s="161">
        <f t="shared" si="3"/>
        <v>0</v>
      </c>
    </row>
    <row r="157" spans="1:158" ht="17.25" thickBot="1" x14ac:dyDescent="0.3">
      <c r="A157" s="226">
        <v>45889</v>
      </c>
      <c r="B157" s="227" t="s">
        <v>221</v>
      </c>
      <c r="C157" s="227" t="s">
        <v>518</v>
      </c>
      <c r="D157" s="228">
        <v>75</v>
      </c>
      <c r="E157" s="231">
        <v>8791</v>
      </c>
      <c r="F157" s="231">
        <v>8632.5</v>
      </c>
      <c r="G157" s="228">
        <v>158.5</v>
      </c>
      <c r="H157" s="229">
        <v>1.84E-2</v>
      </c>
      <c r="I157" s="231">
        <v>8763</v>
      </c>
      <c r="J157" s="231">
        <v>8597</v>
      </c>
      <c r="K157" s="228">
        <v>166</v>
      </c>
      <c r="L157" s="229">
        <v>1.9300000000000001E-2</v>
      </c>
      <c r="M157" s="231">
        <v>8791</v>
      </c>
      <c r="N157" s="231">
        <v>8632.5</v>
      </c>
      <c r="O157" s="228">
        <v>158.5</v>
      </c>
      <c r="P157" s="229">
        <v>1.84E-2</v>
      </c>
      <c r="Q157" s="231">
        <v>8827</v>
      </c>
      <c r="R157" s="231">
        <v>8663</v>
      </c>
      <c r="S157" s="228">
        <v>164</v>
      </c>
      <c r="T157" s="229">
        <v>1.89E-2</v>
      </c>
      <c r="U157" s="231">
        <v>8870</v>
      </c>
      <c r="V157" s="231">
        <v>8697.5</v>
      </c>
      <c r="W157" s="228">
        <v>172.5</v>
      </c>
      <c r="X157" s="229">
        <v>1.9800000000000002E-2</v>
      </c>
      <c r="Y157" s="228">
        <v>28</v>
      </c>
      <c r="Z157" s="228">
        <v>35.5</v>
      </c>
      <c r="AA157" s="228">
        <v>-7.5</v>
      </c>
      <c r="AB157" s="229">
        <v>3.2000000000000002E-3</v>
      </c>
      <c r="AC157" s="228">
        <v>28</v>
      </c>
      <c r="AD157" s="228">
        <v>35.5</v>
      </c>
      <c r="AE157" s="228">
        <v>-7.5</v>
      </c>
      <c r="AF157" s="229">
        <v>3.2000000000000002E-3</v>
      </c>
      <c r="AG157" s="228">
        <v>64</v>
      </c>
      <c r="AH157" s="228">
        <v>66</v>
      </c>
      <c r="AI157" s="228">
        <v>-2</v>
      </c>
      <c r="AJ157" s="229">
        <v>7.3000000000000001E-3</v>
      </c>
      <c r="AK157" s="228">
        <v>107</v>
      </c>
      <c r="AL157" s="228">
        <v>100.5</v>
      </c>
      <c r="AM157" s="228">
        <v>6.5</v>
      </c>
      <c r="AN157" s="229">
        <v>1.2200000000000001E-2</v>
      </c>
      <c r="AO157" s="231">
        <v>8771.41</v>
      </c>
      <c r="AP157" s="231">
        <v>8811.98</v>
      </c>
      <c r="AQ157" s="228">
        <v>0</v>
      </c>
      <c r="AR157" s="230">
        <v>357525</v>
      </c>
      <c r="AS157" s="230">
        <v>114375</v>
      </c>
      <c r="AT157" s="230">
        <v>243150</v>
      </c>
      <c r="AU157" s="229">
        <v>2.1259000000000001</v>
      </c>
      <c r="AV157" s="230">
        <v>293325</v>
      </c>
      <c r="AW157" s="230">
        <v>97200</v>
      </c>
      <c r="AX157" s="230">
        <v>196125</v>
      </c>
      <c r="AY157" s="229">
        <v>2.0177</v>
      </c>
      <c r="AZ157" s="230">
        <v>60450</v>
      </c>
      <c r="BA157" s="230">
        <v>16725</v>
      </c>
      <c r="BB157" s="230">
        <v>43725</v>
      </c>
      <c r="BC157" s="229">
        <v>2.6143000000000001</v>
      </c>
      <c r="BD157" s="230">
        <v>3750</v>
      </c>
      <c r="BE157" s="228">
        <v>450</v>
      </c>
      <c r="BF157" s="230">
        <v>3300</v>
      </c>
      <c r="BG157" s="229">
        <v>7.3333000000000004</v>
      </c>
      <c r="BH157" s="230">
        <v>1633875</v>
      </c>
      <c r="BI157" s="230">
        <v>540975</v>
      </c>
      <c r="BJ157" s="230">
        <v>1092900</v>
      </c>
      <c r="BK157" s="229">
        <v>2.0202</v>
      </c>
      <c r="BL157" s="230">
        <v>559950</v>
      </c>
      <c r="BM157" s="230">
        <v>126975</v>
      </c>
      <c r="BN157" s="230">
        <v>432975</v>
      </c>
      <c r="BO157" s="229">
        <v>3.4098999999999999</v>
      </c>
      <c r="BP157" s="230">
        <v>2551350</v>
      </c>
      <c r="BQ157" s="230">
        <v>782325</v>
      </c>
      <c r="BR157" s="230">
        <v>1769025</v>
      </c>
      <c r="BS157" s="229">
        <v>2.2612000000000001</v>
      </c>
      <c r="BT157" s="230">
        <v>175451</v>
      </c>
      <c r="BU157" s="230">
        <v>55173</v>
      </c>
      <c r="BV157" s="230">
        <v>120278</v>
      </c>
      <c r="BW157" s="229">
        <v>2.1800000000000002</v>
      </c>
      <c r="BX157" s="230">
        <v>951825</v>
      </c>
      <c r="BY157" s="230">
        <v>932700</v>
      </c>
      <c r="BZ157" s="230">
        <v>19125</v>
      </c>
      <c r="CA157" s="229">
        <v>2.0500000000000001E-2</v>
      </c>
      <c r="CB157" s="230">
        <v>887325</v>
      </c>
      <c r="CC157" s="230">
        <v>884850</v>
      </c>
      <c r="CD157" s="230">
        <v>2475</v>
      </c>
      <c r="CE157" s="229">
        <v>2.8E-3</v>
      </c>
      <c r="CF157" s="230">
        <v>61125</v>
      </c>
      <c r="CG157" s="230">
        <v>45825</v>
      </c>
      <c r="CH157" s="230">
        <v>15300</v>
      </c>
      <c r="CI157" s="229">
        <v>0.33389999999999997</v>
      </c>
      <c r="CJ157" s="230">
        <v>3375</v>
      </c>
      <c r="CK157" s="230">
        <v>2025</v>
      </c>
      <c r="CL157" s="230">
        <v>1350</v>
      </c>
      <c r="CM157" s="229">
        <v>0.66669999999999996</v>
      </c>
      <c r="CN157" s="230">
        <v>380100</v>
      </c>
      <c r="CO157" s="230">
        <v>359475</v>
      </c>
      <c r="CP157" s="230">
        <v>20625</v>
      </c>
      <c r="CQ157" s="229">
        <v>5.74E-2</v>
      </c>
      <c r="CR157" s="230">
        <v>219450</v>
      </c>
      <c r="CS157" s="230">
        <v>174675</v>
      </c>
      <c r="CT157" s="230">
        <v>44775</v>
      </c>
      <c r="CU157" s="229">
        <v>0.25629999999999997</v>
      </c>
      <c r="CV157" s="230">
        <v>1551375</v>
      </c>
      <c r="CW157" s="230">
        <v>1466850</v>
      </c>
      <c r="CX157" s="230">
        <v>84525</v>
      </c>
      <c r="CY157" s="229">
        <v>5.7599999999999998E-2</v>
      </c>
      <c r="CZ157" s="228">
        <v>28.45</v>
      </c>
      <c r="DA157" s="228">
        <v>28.49</v>
      </c>
      <c r="DB157" s="228">
        <v>-0.04</v>
      </c>
      <c r="DC157" s="228">
        <v>-0.04</v>
      </c>
      <c r="DD157" s="228">
        <v>41.51</v>
      </c>
      <c r="DE157" s="228">
        <v>41.54</v>
      </c>
      <c r="DF157" s="228">
        <v>-13.06</v>
      </c>
      <c r="DG157" s="228">
        <v>-0.03</v>
      </c>
      <c r="DH157" s="228">
        <v>28.59</v>
      </c>
      <c r="DI157" s="228">
        <v>28.21</v>
      </c>
      <c r="DJ157" s="228">
        <v>0.38</v>
      </c>
      <c r="DK157" s="228">
        <v>0.38</v>
      </c>
      <c r="DL157" s="228">
        <v>28.07</v>
      </c>
      <c r="DM157" s="228">
        <v>29.66</v>
      </c>
      <c r="DN157" s="228">
        <v>-1.59</v>
      </c>
      <c r="DO157" s="228">
        <v>-1.59</v>
      </c>
      <c r="DP157" s="228">
        <v>0.57999999999999996</v>
      </c>
      <c r="DQ157" s="228">
        <v>0.49</v>
      </c>
      <c r="DR157" s="228">
        <v>0.09</v>
      </c>
      <c r="DS157" s="229">
        <v>0.1837</v>
      </c>
      <c r="DT157" s="231">
        <v>9000</v>
      </c>
      <c r="DU157" s="231">
        <v>8500</v>
      </c>
      <c r="DV157" s="228">
        <v>0.34</v>
      </c>
      <c r="DW157" s="228">
        <v>0.23</v>
      </c>
      <c r="DX157" s="228">
        <v>0.11</v>
      </c>
      <c r="DY157" s="229">
        <v>0.4783</v>
      </c>
      <c r="DZ157" s="229">
        <v>6.7799999999999999E-2</v>
      </c>
      <c r="EA157" s="230">
        <v>47850</v>
      </c>
      <c r="EB157" s="229">
        <v>4.1000000000000003E-3</v>
      </c>
      <c r="EC157" s="229">
        <v>6.7799999999999999E-2</v>
      </c>
      <c r="ED157" s="228">
        <v>40.57</v>
      </c>
      <c r="EE157" s="229">
        <v>4.5999999999999999E-3</v>
      </c>
      <c r="EF157" s="230">
        <v>84079</v>
      </c>
      <c r="EG157" s="230">
        <v>16061</v>
      </c>
      <c r="EH157" s="229">
        <v>4.2350000000000003</v>
      </c>
      <c r="EI157" s="229">
        <v>0.47920000000000001</v>
      </c>
      <c r="EJ157" s="231">
        <v>146631.07999999999</v>
      </c>
      <c r="EK157" s="231">
        <v>48524.160000000003</v>
      </c>
      <c r="EL157" s="231">
        <v>31388.04</v>
      </c>
      <c r="EM157" s="228">
        <v>0</v>
      </c>
      <c r="EN157" s="231">
        <v>226543.28</v>
      </c>
      <c r="EO157" s="231">
        <v>68678.600000000006</v>
      </c>
      <c r="EP157" s="231">
        <v>157864.68</v>
      </c>
      <c r="EQ157" s="229">
        <v>2.2986</v>
      </c>
      <c r="ER157" s="231">
        <v>34509</v>
      </c>
      <c r="ES157" s="231">
        <v>18555</v>
      </c>
      <c r="ET157" s="231">
        <v>83700</v>
      </c>
      <c r="EU157" s="231">
        <v>4769908</v>
      </c>
      <c r="EV157" s="231">
        <v>136764</v>
      </c>
      <c r="EW157" s="231">
        <v>127773</v>
      </c>
      <c r="EX157" s="231">
        <v>8991</v>
      </c>
      <c r="EY157" s="229">
        <v>7.0400000000000004E-2</v>
      </c>
      <c r="EZ157" s="229">
        <v>0.32519999999999999</v>
      </c>
      <c r="FA157" s="227" t="s">
        <v>555</v>
      </c>
      <c r="FB157" s="161">
        <f t="shared" si="3"/>
        <v>0</v>
      </c>
    </row>
    <row r="158" spans="1:158" ht="17.25" thickBot="1" x14ac:dyDescent="0.3">
      <c r="A158" s="226">
        <v>45889</v>
      </c>
      <c r="B158" s="227" t="s">
        <v>193</v>
      </c>
      <c r="C158" s="227" t="s">
        <v>588</v>
      </c>
      <c r="D158" s="228">
        <v>1400</v>
      </c>
      <c r="E158" s="228">
        <v>407.65</v>
      </c>
      <c r="F158" s="228">
        <v>408.4</v>
      </c>
      <c r="G158" s="228">
        <v>-0.75</v>
      </c>
      <c r="H158" s="229">
        <v>-1.8E-3</v>
      </c>
      <c r="I158" s="228">
        <v>408</v>
      </c>
      <c r="J158" s="228">
        <v>408.1</v>
      </c>
      <c r="K158" s="228">
        <v>-0.1</v>
      </c>
      <c r="L158" s="229">
        <v>-2.0000000000000001E-4</v>
      </c>
      <c r="M158" s="228">
        <v>407.65</v>
      </c>
      <c r="N158" s="228">
        <v>408.4</v>
      </c>
      <c r="O158" s="228">
        <v>-0.75</v>
      </c>
      <c r="P158" s="229">
        <v>-1.8E-3</v>
      </c>
      <c r="Q158" s="228">
        <v>407.85</v>
      </c>
      <c r="R158" s="228">
        <v>409.15</v>
      </c>
      <c r="S158" s="228">
        <v>-1.3</v>
      </c>
      <c r="T158" s="229">
        <v>-3.2000000000000002E-3</v>
      </c>
      <c r="U158" s="228">
        <v>409.35</v>
      </c>
      <c r="V158" s="228">
        <v>411.15</v>
      </c>
      <c r="W158" s="228">
        <v>-1.8</v>
      </c>
      <c r="X158" s="229">
        <v>-4.4000000000000003E-3</v>
      </c>
      <c r="Y158" s="228">
        <v>-0.35</v>
      </c>
      <c r="Z158" s="228">
        <v>0.3</v>
      </c>
      <c r="AA158" s="228">
        <v>-0.65</v>
      </c>
      <c r="AB158" s="229">
        <v>-8.9999999999999998E-4</v>
      </c>
      <c r="AC158" s="228">
        <v>-0.35</v>
      </c>
      <c r="AD158" s="228">
        <v>0.3</v>
      </c>
      <c r="AE158" s="228">
        <v>-0.65</v>
      </c>
      <c r="AF158" s="229">
        <v>-8.9999999999999998E-4</v>
      </c>
      <c r="AG158" s="228">
        <v>-0.15</v>
      </c>
      <c r="AH158" s="228">
        <v>1.05</v>
      </c>
      <c r="AI158" s="228">
        <v>-1.2</v>
      </c>
      <c r="AJ158" s="229">
        <v>-4.0000000000000002E-4</v>
      </c>
      <c r="AK158" s="228">
        <v>1.35</v>
      </c>
      <c r="AL158" s="228">
        <v>3.05</v>
      </c>
      <c r="AM158" s="228">
        <v>-1.7</v>
      </c>
      <c r="AN158" s="229">
        <v>3.3E-3</v>
      </c>
      <c r="AO158" s="228">
        <v>406.9</v>
      </c>
      <c r="AP158" s="228">
        <v>407.4</v>
      </c>
      <c r="AQ158" s="228">
        <v>0</v>
      </c>
      <c r="AR158" s="230">
        <v>3263400</v>
      </c>
      <c r="AS158" s="230">
        <v>1584800</v>
      </c>
      <c r="AT158" s="230">
        <v>1678600</v>
      </c>
      <c r="AU158" s="229">
        <v>1.0591999999999999</v>
      </c>
      <c r="AV158" s="230">
        <v>2144800</v>
      </c>
      <c r="AW158" s="230">
        <v>1216600</v>
      </c>
      <c r="AX158" s="230">
        <v>928200</v>
      </c>
      <c r="AY158" s="229">
        <v>0.76290000000000002</v>
      </c>
      <c r="AZ158" s="230">
        <v>1097600</v>
      </c>
      <c r="BA158" s="230">
        <v>351400</v>
      </c>
      <c r="BB158" s="230">
        <v>746200</v>
      </c>
      <c r="BC158" s="229">
        <v>2.1234999999999999</v>
      </c>
      <c r="BD158" s="230">
        <v>21000</v>
      </c>
      <c r="BE158" s="230">
        <v>16800</v>
      </c>
      <c r="BF158" s="230">
        <v>4200</v>
      </c>
      <c r="BG158" s="229">
        <v>0.25</v>
      </c>
      <c r="BH158" s="230">
        <v>3612000</v>
      </c>
      <c r="BI158" s="230">
        <v>4529000</v>
      </c>
      <c r="BJ158" s="230">
        <v>-917000</v>
      </c>
      <c r="BK158" s="229">
        <v>-0.20250000000000001</v>
      </c>
      <c r="BL158" s="230">
        <v>1568000</v>
      </c>
      <c r="BM158" s="230">
        <v>1741600</v>
      </c>
      <c r="BN158" s="230">
        <v>-173600</v>
      </c>
      <c r="BO158" s="229">
        <v>-9.9699999999999997E-2</v>
      </c>
      <c r="BP158" s="230">
        <v>8443400</v>
      </c>
      <c r="BQ158" s="230">
        <v>7855400</v>
      </c>
      <c r="BR158" s="230">
        <v>588000</v>
      </c>
      <c r="BS158" s="229">
        <v>7.4899999999999994E-2</v>
      </c>
      <c r="BT158" s="230">
        <v>2175373</v>
      </c>
      <c r="BU158" s="230">
        <v>934150</v>
      </c>
      <c r="BV158" s="230">
        <v>1241223</v>
      </c>
      <c r="BW158" s="229">
        <v>1.3287</v>
      </c>
      <c r="BX158" s="230">
        <v>12878600</v>
      </c>
      <c r="BY158" s="230">
        <v>12112800</v>
      </c>
      <c r="BZ158" s="230">
        <v>765800</v>
      </c>
      <c r="CA158" s="229">
        <v>6.3200000000000006E-2</v>
      </c>
      <c r="CB158" s="230">
        <v>11191600</v>
      </c>
      <c r="CC158" s="230">
        <v>11141200</v>
      </c>
      <c r="CD158" s="230">
        <v>50400</v>
      </c>
      <c r="CE158" s="229">
        <v>4.4999999999999997E-3</v>
      </c>
      <c r="CF158" s="230">
        <v>1615600</v>
      </c>
      <c r="CG158" s="230">
        <v>907200</v>
      </c>
      <c r="CH158" s="230">
        <v>708400</v>
      </c>
      <c r="CI158" s="229">
        <v>0.78090000000000004</v>
      </c>
      <c r="CJ158" s="230">
        <v>71400</v>
      </c>
      <c r="CK158" s="230">
        <v>64400</v>
      </c>
      <c r="CL158" s="230">
        <v>7000</v>
      </c>
      <c r="CM158" s="229">
        <v>0.1087</v>
      </c>
      <c r="CN158" s="230">
        <v>5635000</v>
      </c>
      <c r="CO158" s="230">
        <v>5747000</v>
      </c>
      <c r="CP158" s="230">
        <v>-112000</v>
      </c>
      <c r="CQ158" s="229">
        <v>-1.95E-2</v>
      </c>
      <c r="CR158" s="230">
        <v>3057600</v>
      </c>
      <c r="CS158" s="230">
        <v>2963800</v>
      </c>
      <c r="CT158" s="230">
        <v>93800</v>
      </c>
      <c r="CU158" s="229">
        <v>3.1600000000000003E-2</v>
      </c>
      <c r="CV158" s="230">
        <v>21571200</v>
      </c>
      <c r="CW158" s="230">
        <v>20823600</v>
      </c>
      <c r="CX158" s="230">
        <v>747600</v>
      </c>
      <c r="CY158" s="229">
        <v>3.5900000000000001E-2</v>
      </c>
      <c r="CZ158" s="228">
        <v>29.06</v>
      </c>
      <c r="DA158" s="228">
        <v>30.2</v>
      </c>
      <c r="DB158" s="228">
        <v>-1.1399999999999999</v>
      </c>
      <c r="DC158" s="228">
        <v>-1.1399999999999999</v>
      </c>
      <c r="DD158" s="228">
        <v>48.03</v>
      </c>
      <c r="DE158" s="228">
        <v>48.15</v>
      </c>
      <c r="DF158" s="228">
        <v>-18.97</v>
      </c>
      <c r="DG158" s="228">
        <v>-0.12</v>
      </c>
      <c r="DH158" s="228">
        <v>29.14</v>
      </c>
      <c r="DI158" s="228">
        <v>30.25</v>
      </c>
      <c r="DJ158" s="228">
        <v>-1.1100000000000001</v>
      </c>
      <c r="DK158" s="228">
        <v>-1.1100000000000001</v>
      </c>
      <c r="DL158" s="228">
        <v>28.88</v>
      </c>
      <c r="DM158" s="228">
        <v>30.07</v>
      </c>
      <c r="DN158" s="228">
        <v>-1.19</v>
      </c>
      <c r="DO158" s="228">
        <v>-1.19</v>
      </c>
      <c r="DP158" s="228">
        <v>0.54</v>
      </c>
      <c r="DQ158" s="228">
        <v>0.52</v>
      </c>
      <c r="DR158" s="228">
        <v>0.02</v>
      </c>
      <c r="DS158" s="229">
        <v>3.85E-2</v>
      </c>
      <c r="DT158" s="228">
        <v>430</v>
      </c>
      <c r="DU158" s="228">
        <v>400</v>
      </c>
      <c r="DV158" s="228">
        <v>0.43</v>
      </c>
      <c r="DW158" s="228">
        <v>0.38</v>
      </c>
      <c r="DX158" s="228">
        <v>0.05</v>
      </c>
      <c r="DY158" s="229">
        <v>0.13159999999999999</v>
      </c>
      <c r="DZ158" s="229">
        <v>0.13100000000000001</v>
      </c>
      <c r="EA158" s="230">
        <v>971600</v>
      </c>
      <c r="EB158" s="229">
        <v>5.0000000000000001E-4</v>
      </c>
      <c r="EC158" s="229">
        <v>0.13100000000000001</v>
      </c>
      <c r="ED158" s="228">
        <v>0.5</v>
      </c>
      <c r="EE158" s="229">
        <v>1.1999999999999999E-3</v>
      </c>
      <c r="EF158" s="230">
        <v>1345931</v>
      </c>
      <c r="EG158" s="230">
        <v>394771</v>
      </c>
      <c r="EH158" s="229">
        <v>2.4094000000000002</v>
      </c>
      <c r="EI158" s="229">
        <v>0.61870000000000003</v>
      </c>
      <c r="EJ158" s="231">
        <v>15343.94</v>
      </c>
      <c r="EK158" s="231">
        <v>6306.79</v>
      </c>
      <c r="EL158" s="231">
        <v>13284.56</v>
      </c>
      <c r="EM158" s="228">
        <v>0</v>
      </c>
      <c r="EN158" s="231">
        <v>34935.29</v>
      </c>
      <c r="EO158" s="231">
        <v>32668.62</v>
      </c>
      <c r="EP158" s="231">
        <v>2266.67</v>
      </c>
      <c r="EQ158" s="229">
        <v>6.9400000000000003E-2</v>
      </c>
      <c r="ER158" s="231">
        <v>24517</v>
      </c>
      <c r="ES158" s="231">
        <v>12425</v>
      </c>
      <c r="ET158" s="231">
        <v>52504</v>
      </c>
      <c r="EU158" s="231">
        <v>141008560</v>
      </c>
      <c r="EV158" s="231">
        <v>89446</v>
      </c>
      <c r="EW158" s="231">
        <v>86552</v>
      </c>
      <c r="EX158" s="231">
        <v>2894</v>
      </c>
      <c r="EY158" s="229">
        <v>3.3399999999999999E-2</v>
      </c>
      <c r="EZ158" s="229">
        <v>0.153</v>
      </c>
      <c r="FA158" s="227" t="s">
        <v>567</v>
      </c>
      <c r="FB158" s="161">
        <f t="shared" si="3"/>
        <v>0</v>
      </c>
    </row>
    <row r="159" spans="1:158" ht="17.25" thickBot="1" x14ac:dyDescent="0.3">
      <c r="A159" s="226">
        <v>45889</v>
      </c>
      <c r="B159" s="227" t="s">
        <v>193</v>
      </c>
      <c r="C159" s="227" t="s">
        <v>269</v>
      </c>
      <c r="D159" s="228">
        <v>2250</v>
      </c>
      <c r="E159" s="228">
        <v>238.57</v>
      </c>
      <c r="F159" s="228">
        <v>238.67</v>
      </c>
      <c r="G159" s="228">
        <v>-0.1</v>
      </c>
      <c r="H159" s="229">
        <v>-4.0000000000000002E-4</v>
      </c>
      <c r="I159" s="228">
        <v>237.93</v>
      </c>
      <c r="J159" s="228">
        <v>237.94</v>
      </c>
      <c r="K159" s="228">
        <v>-0.01</v>
      </c>
      <c r="L159" s="229">
        <v>0</v>
      </c>
      <c r="M159" s="228">
        <v>238.57</v>
      </c>
      <c r="N159" s="228">
        <v>238.67</v>
      </c>
      <c r="O159" s="228">
        <v>-0.1</v>
      </c>
      <c r="P159" s="229">
        <v>-4.0000000000000002E-4</v>
      </c>
      <c r="Q159" s="228">
        <v>238.7</v>
      </c>
      <c r="R159" s="228">
        <v>238.73</v>
      </c>
      <c r="S159" s="228">
        <v>-0.03</v>
      </c>
      <c r="T159" s="229">
        <v>-1E-4</v>
      </c>
      <c r="U159" s="228">
        <v>239.95</v>
      </c>
      <c r="V159" s="228">
        <v>240.03</v>
      </c>
      <c r="W159" s="228">
        <v>-0.08</v>
      </c>
      <c r="X159" s="229">
        <v>-2.9999999999999997E-4</v>
      </c>
      <c r="Y159" s="228">
        <v>0.64</v>
      </c>
      <c r="Z159" s="228">
        <v>0.73</v>
      </c>
      <c r="AA159" s="228">
        <v>-0.09</v>
      </c>
      <c r="AB159" s="229">
        <v>2.7000000000000001E-3</v>
      </c>
      <c r="AC159" s="228">
        <v>0.64</v>
      </c>
      <c r="AD159" s="228">
        <v>0.73</v>
      </c>
      <c r="AE159" s="228">
        <v>-0.09</v>
      </c>
      <c r="AF159" s="229">
        <v>2.7000000000000001E-3</v>
      </c>
      <c r="AG159" s="228">
        <v>0.77</v>
      </c>
      <c r="AH159" s="228">
        <v>0.79</v>
      </c>
      <c r="AI159" s="228">
        <v>-0.02</v>
      </c>
      <c r="AJ159" s="229">
        <v>3.2000000000000002E-3</v>
      </c>
      <c r="AK159" s="228">
        <v>2.02</v>
      </c>
      <c r="AL159" s="228">
        <v>2.09</v>
      </c>
      <c r="AM159" s="228">
        <v>-7.0000000000000007E-2</v>
      </c>
      <c r="AN159" s="229">
        <v>8.5000000000000006E-3</v>
      </c>
      <c r="AO159" s="228">
        <v>238.32</v>
      </c>
      <c r="AP159" s="228">
        <v>238.51</v>
      </c>
      <c r="AQ159" s="228">
        <v>0</v>
      </c>
      <c r="AR159" s="230">
        <v>7391250</v>
      </c>
      <c r="AS159" s="230">
        <v>7431750</v>
      </c>
      <c r="AT159" s="230">
        <v>-40500</v>
      </c>
      <c r="AU159" s="229">
        <v>-5.4000000000000003E-3</v>
      </c>
      <c r="AV159" s="230">
        <v>5636250</v>
      </c>
      <c r="AW159" s="230">
        <v>5622750</v>
      </c>
      <c r="AX159" s="230">
        <v>13500</v>
      </c>
      <c r="AY159" s="229">
        <v>2.3999999999999998E-3</v>
      </c>
      <c r="AZ159" s="230">
        <v>1685250</v>
      </c>
      <c r="BA159" s="230">
        <v>1734750</v>
      </c>
      <c r="BB159" s="230">
        <v>-49500</v>
      </c>
      <c r="BC159" s="229">
        <v>-2.8500000000000001E-2</v>
      </c>
      <c r="BD159" s="230">
        <v>69750</v>
      </c>
      <c r="BE159" s="230">
        <v>74250</v>
      </c>
      <c r="BF159" s="230">
        <v>-4500</v>
      </c>
      <c r="BG159" s="229">
        <v>-6.0600000000000001E-2</v>
      </c>
      <c r="BH159" s="230">
        <v>41125500</v>
      </c>
      <c r="BI159" s="230">
        <v>24579000</v>
      </c>
      <c r="BJ159" s="230">
        <v>16546500</v>
      </c>
      <c r="BK159" s="229">
        <v>0.67320000000000002</v>
      </c>
      <c r="BL159" s="230">
        <v>15376500</v>
      </c>
      <c r="BM159" s="230">
        <v>13023000</v>
      </c>
      <c r="BN159" s="230">
        <v>2353500</v>
      </c>
      <c r="BO159" s="229">
        <v>0.1807</v>
      </c>
      <c r="BP159" s="230">
        <v>63893250</v>
      </c>
      <c r="BQ159" s="230">
        <v>45033750</v>
      </c>
      <c r="BR159" s="230">
        <v>18859500</v>
      </c>
      <c r="BS159" s="229">
        <v>0.41880000000000001</v>
      </c>
      <c r="BT159" s="230">
        <v>7688568</v>
      </c>
      <c r="BU159" s="230">
        <v>5707149</v>
      </c>
      <c r="BV159" s="230">
        <v>1981419</v>
      </c>
      <c r="BW159" s="229">
        <v>0.34720000000000001</v>
      </c>
      <c r="BX159" s="230">
        <v>84096000</v>
      </c>
      <c r="BY159" s="230">
        <v>84267000</v>
      </c>
      <c r="BZ159" s="230">
        <v>-171000</v>
      </c>
      <c r="CA159" s="229">
        <v>-2E-3</v>
      </c>
      <c r="CB159" s="230">
        <v>76799250</v>
      </c>
      <c r="CC159" s="230">
        <v>77969250</v>
      </c>
      <c r="CD159" s="230">
        <v>-1170000</v>
      </c>
      <c r="CE159" s="229">
        <v>-1.4999999999999999E-2</v>
      </c>
      <c r="CF159" s="230">
        <v>7031250</v>
      </c>
      <c r="CG159" s="230">
        <v>6050250</v>
      </c>
      <c r="CH159" s="230">
        <v>981000</v>
      </c>
      <c r="CI159" s="229">
        <v>0.16209999999999999</v>
      </c>
      <c r="CJ159" s="230">
        <v>265500</v>
      </c>
      <c r="CK159" s="230">
        <v>247500</v>
      </c>
      <c r="CL159" s="230">
        <v>18000</v>
      </c>
      <c r="CM159" s="229">
        <v>7.2700000000000001E-2</v>
      </c>
      <c r="CN159" s="230">
        <v>52843500</v>
      </c>
      <c r="CO159" s="230">
        <v>49968000</v>
      </c>
      <c r="CP159" s="230">
        <v>2875500</v>
      </c>
      <c r="CQ159" s="229">
        <v>5.7500000000000002E-2</v>
      </c>
      <c r="CR159" s="230">
        <v>21888000</v>
      </c>
      <c r="CS159" s="230">
        <v>21291750</v>
      </c>
      <c r="CT159" s="230">
        <v>596250</v>
      </c>
      <c r="CU159" s="229">
        <v>2.8000000000000001E-2</v>
      </c>
      <c r="CV159" s="230">
        <v>158827500</v>
      </c>
      <c r="CW159" s="230">
        <v>155526750</v>
      </c>
      <c r="CX159" s="230">
        <v>3300750</v>
      </c>
      <c r="CY159" s="229">
        <v>2.12E-2</v>
      </c>
      <c r="CZ159" s="228">
        <v>17.23</v>
      </c>
      <c r="DA159" s="228">
        <v>18.350000000000001</v>
      </c>
      <c r="DB159" s="228">
        <v>-1.1200000000000001</v>
      </c>
      <c r="DC159" s="228">
        <v>-1.1200000000000001</v>
      </c>
      <c r="DD159" s="228">
        <v>34.86</v>
      </c>
      <c r="DE159" s="228">
        <v>34.950000000000003</v>
      </c>
      <c r="DF159" s="228">
        <v>-17.63</v>
      </c>
      <c r="DG159" s="228">
        <v>-0.09</v>
      </c>
      <c r="DH159" s="228">
        <v>17.66</v>
      </c>
      <c r="DI159" s="228">
        <v>19.14</v>
      </c>
      <c r="DJ159" s="228">
        <v>-1.48</v>
      </c>
      <c r="DK159" s="228">
        <v>-1.48</v>
      </c>
      <c r="DL159" s="228">
        <v>16.07</v>
      </c>
      <c r="DM159" s="228">
        <v>16.88</v>
      </c>
      <c r="DN159" s="228">
        <v>-0.81</v>
      </c>
      <c r="DO159" s="228">
        <v>-0.81</v>
      </c>
      <c r="DP159" s="228">
        <v>0.41</v>
      </c>
      <c r="DQ159" s="228">
        <v>0.43</v>
      </c>
      <c r="DR159" s="228">
        <v>-0.02</v>
      </c>
      <c r="DS159" s="229">
        <v>-4.65E-2</v>
      </c>
      <c r="DT159" s="228">
        <v>235</v>
      </c>
      <c r="DU159" s="228">
        <v>235</v>
      </c>
      <c r="DV159" s="228">
        <v>0.37</v>
      </c>
      <c r="DW159" s="228">
        <v>0.53</v>
      </c>
      <c r="DX159" s="228">
        <v>-0.16</v>
      </c>
      <c r="DY159" s="229">
        <v>-0.3019</v>
      </c>
      <c r="DZ159" s="229">
        <v>8.6800000000000002E-2</v>
      </c>
      <c r="EA159" s="230">
        <v>6297750</v>
      </c>
      <c r="EB159" s="229">
        <v>5.0000000000000001E-4</v>
      </c>
      <c r="EC159" s="229">
        <v>8.6800000000000002E-2</v>
      </c>
      <c r="ED159" s="228">
        <v>0.19</v>
      </c>
      <c r="EE159" s="229">
        <v>8.0000000000000004E-4</v>
      </c>
      <c r="EF159" s="230">
        <v>4953881</v>
      </c>
      <c r="EG159" s="230">
        <v>3663528</v>
      </c>
      <c r="EH159" s="229">
        <v>0.35220000000000001</v>
      </c>
      <c r="EI159" s="229">
        <v>0.64429999999999998</v>
      </c>
      <c r="EJ159" s="231">
        <v>100348.76</v>
      </c>
      <c r="EK159" s="231">
        <v>36650.800000000003</v>
      </c>
      <c r="EL159" s="231">
        <v>17618.919999999998</v>
      </c>
      <c r="EM159" s="228">
        <v>0</v>
      </c>
      <c r="EN159" s="231">
        <v>154618.48000000001</v>
      </c>
      <c r="EO159" s="231">
        <v>109362.66</v>
      </c>
      <c r="EP159" s="231">
        <v>45255.82</v>
      </c>
      <c r="EQ159" s="229">
        <v>0.4138</v>
      </c>
      <c r="ER159" s="231">
        <v>128355</v>
      </c>
      <c r="ES159" s="231">
        <v>51701</v>
      </c>
      <c r="ET159" s="231">
        <v>200641</v>
      </c>
      <c r="EU159" s="231">
        <v>1034282422</v>
      </c>
      <c r="EV159" s="231">
        <v>380697</v>
      </c>
      <c r="EW159" s="231">
        <v>372894</v>
      </c>
      <c r="EX159" s="231">
        <v>7803</v>
      </c>
      <c r="EY159" s="229">
        <v>2.0899999999999998E-2</v>
      </c>
      <c r="EZ159" s="229">
        <v>0.15359999999999999</v>
      </c>
      <c r="FA159" s="227" t="s">
        <v>568</v>
      </c>
      <c r="FB159" s="161">
        <f t="shared" si="3"/>
        <v>0</v>
      </c>
    </row>
    <row r="160" spans="1:158" ht="17.25" thickBot="1" x14ac:dyDescent="0.3">
      <c r="A160" s="226">
        <v>45889</v>
      </c>
      <c r="B160" s="227" t="s">
        <v>197</v>
      </c>
      <c r="C160" s="227" t="s">
        <v>270</v>
      </c>
      <c r="D160" s="228">
        <v>15</v>
      </c>
      <c r="E160" s="231">
        <v>45485</v>
      </c>
      <c r="F160" s="231">
        <v>45720</v>
      </c>
      <c r="G160" s="228">
        <v>-235</v>
      </c>
      <c r="H160" s="229">
        <v>-5.1000000000000004E-3</v>
      </c>
      <c r="I160" s="231">
        <v>45385</v>
      </c>
      <c r="J160" s="231">
        <v>45640</v>
      </c>
      <c r="K160" s="228">
        <v>-255</v>
      </c>
      <c r="L160" s="229">
        <v>-5.5999999999999999E-3</v>
      </c>
      <c r="M160" s="231">
        <v>45485</v>
      </c>
      <c r="N160" s="231">
        <v>45720</v>
      </c>
      <c r="O160" s="228">
        <v>-235</v>
      </c>
      <c r="P160" s="229">
        <v>-5.1000000000000004E-3</v>
      </c>
      <c r="Q160" s="231">
        <v>44665</v>
      </c>
      <c r="R160" s="231">
        <v>44825</v>
      </c>
      <c r="S160" s="228">
        <v>-160</v>
      </c>
      <c r="T160" s="229">
        <v>-3.5999999999999999E-3</v>
      </c>
      <c r="U160" s="231">
        <v>44000</v>
      </c>
      <c r="V160" s="231">
        <v>44000</v>
      </c>
      <c r="W160" s="228">
        <v>0</v>
      </c>
      <c r="X160" s="229">
        <v>0</v>
      </c>
      <c r="Y160" s="228">
        <v>100</v>
      </c>
      <c r="Z160" s="228">
        <v>80</v>
      </c>
      <c r="AA160" s="228">
        <v>20</v>
      </c>
      <c r="AB160" s="229">
        <v>2.2000000000000001E-3</v>
      </c>
      <c r="AC160" s="228">
        <v>100</v>
      </c>
      <c r="AD160" s="228">
        <v>80</v>
      </c>
      <c r="AE160" s="228">
        <v>20</v>
      </c>
      <c r="AF160" s="229">
        <v>2.2000000000000001E-3</v>
      </c>
      <c r="AG160" s="228">
        <v>-720</v>
      </c>
      <c r="AH160" s="228">
        <v>-815</v>
      </c>
      <c r="AI160" s="228">
        <v>95</v>
      </c>
      <c r="AJ160" s="229">
        <v>-1.5900000000000001E-2</v>
      </c>
      <c r="AK160" s="231">
        <v>-1385</v>
      </c>
      <c r="AL160" s="231">
        <v>-1640</v>
      </c>
      <c r="AM160" s="228">
        <v>255</v>
      </c>
      <c r="AN160" s="229">
        <v>-3.0499999999999999E-2</v>
      </c>
      <c r="AO160" s="231">
        <v>45528.11</v>
      </c>
      <c r="AP160" s="231">
        <v>44707.87</v>
      </c>
      <c r="AQ160" s="228">
        <v>0</v>
      </c>
      <c r="AR160" s="230">
        <v>38325</v>
      </c>
      <c r="AS160" s="230">
        <v>36810</v>
      </c>
      <c r="AT160" s="230">
        <v>1515</v>
      </c>
      <c r="AU160" s="229">
        <v>4.1200000000000001E-2</v>
      </c>
      <c r="AV160" s="230">
        <v>30825</v>
      </c>
      <c r="AW160" s="230">
        <v>32055</v>
      </c>
      <c r="AX160" s="230">
        <v>-1230</v>
      </c>
      <c r="AY160" s="229">
        <v>-3.8399999999999997E-2</v>
      </c>
      <c r="AZ160" s="230">
        <v>7500</v>
      </c>
      <c r="BA160" s="230">
        <v>4650</v>
      </c>
      <c r="BB160" s="230">
        <v>2850</v>
      </c>
      <c r="BC160" s="229">
        <v>0.6129</v>
      </c>
      <c r="BD160" s="228">
        <v>0</v>
      </c>
      <c r="BE160" s="228">
        <v>105</v>
      </c>
      <c r="BF160" s="228">
        <v>-105</v>
      </c>
      <c r="BG160" s="229">
        <v>-1</v>
      </c>
      <c r="BH160" s="230">
        <v>136395</v>
      </c>
      <c r="BI160" s="230">
        <v>213930</v>
      </c>
      <c r="BJ160" s="230">
        <v>-77535</v>
      </c>
      <c r="BK160" s="229">
        <v>-0.3624</v>
      </c>
      <c r="BL160" s="230">
        <v>70230</v>
      </c>
      <c r="BM160" s="230">
        <v>95970</v>
      </c>
      <c r="BN160" s="230">
        <v>-25740</v>
      </c>
      <c r="BO160" s="229">
        <v>-0.26819999999999999</v>
      </c>
      <c r="BP160" s="230">
        <v>244950</v>
      </c>
      <c r="BQ160" s="230">
        <v>346710</v>
      </c>
      <c r="BR160" s="230">
        <v>-101760</v>
      </c>
      <c r="BS160" s="229">
        <v>-0.29349999999999998</v>
      </c>
      <c r="BT160" s="230">
        <v>24956</v>
      </c>
      <c r="BU160" s="230">
        <v>27069</v>
      </c>
      <c r="BV160" s="230">
        <v>-2113</v>
      </c>
      <c r="BW160" s="229">
        <v>-7.8100000000000003E-2</v>
      </c>
      <c r="BX160" s="230">
        <v>293280</v>
      </c>
      <c r="BY160" s="230">
        <v>293550</v>
      </c>
      <c r="BZ160" s="228">
        <v>-270</v>
      </c>
      <c r="CA160" s="229">
        <v>-8.9999999999999998E-4</v>
      </c>
      <c r="CB160" s="230">
        <v>274965</v>
      </c>
      <c r="CC160" s="230">
        <v>278265</v>
      </c>
      <c r="CD160" s="230">
        <v>-3300</v>
      </c>
      <c r="CE160" s="229">
        <v>-1.1900000000000001E-2</v>
      </c>
      <c r="CF160" s="230">
        <v>17850</v>
      </c>
      <c r="CG160" s="230">
        <v>14820</v>
      </c>
      <c r="CH160" s="230">
        <v>3030</v>
      </c>
      <c r="CI160" s="229">
        <v>0.20449999999999999</v>
      </c>
      <c r="CJ160" s="228">
        <v>465</v>
      </c>
      <c r="CK160" s="228">
        <v>465</v>
      </c>
      <c r="CL160" s="228">
        <v>0</v>
      </c>
      <c r="CM160" s="229">
        <v>0</v>
      </c>
      <c r="CN160" s="230">
        <v>115410</v>
      </c>
      <c r="CO160" s="230">
        <v>106275</v>
      </c>
      <c r="CP160" s="230">
        <v>9135</v>
      </c>
      <c r="CQ160" s="229">
        <v>8.5999999999999993E-2</v>
      </c>
      <c r="CR160" s="230">
        <v>39555</v>
      </c>
      <c r="CS160" s="230">
        <v>37155</v>
      </c>
      <c r="CT160" s="230">
        <v>2400</v>
      </c>
      <c r="CU160" s="229">
        <v>6.4600000000000005E-2</v>
      </c>
      <c r="CV160" s="230">
        <v>448245</v>
      </c>
      <c r="CW160" s="230">
        <v>436980</v>
      </c>
      <c r="CX160" s="230">
        <v>11265</v>
      </c>
      <c r="CY160" s="229">
        <v>2.58E-2</v>
      </c>
      <c r="CZ160" s="228">
        <v>27.33</v>
      </c>
      <c r="DA160" s="228">
        <v>25.89</v>
      </c>
      <c r="DB160" s="228">
        <v>1.44</v>
      </c>
      <c r="DC160" s="228">
        <v>1.44</v>
      </c>
      <c r="DD160" s="228">
        <v>29.8</v>
      </c>
      <c r="DE160" s="228">
        <v>29.87</v>
      </c>
      <c r="DF160" s="228">
        <v>-2.4700000000000002</v>
      </c>
      <c r="DG160" s="228">
        <v>-7.0000000000000007E-2</v>
      </c>
      <c r="DH160" s="228">
        <v>27.96</v>
      </c>
      <c r="DI160" s="228">
        <v>25.71</v>
      </c>
      <c r="DJ160" s="228">
        <v>2.25</v>
      </c>
      <c r="DK160" s="228">
        <v>2.25</v>
      </c>
      <c r="DL160" s="228">
        <v>26.1</v>
      </c>
      <c r="DM160" s="228">
        <v>26.27</v>
      </c>
      <c r="DN160" s="228">
        <v>-0.17</v>
      </c>
      <c r="DO160" s="228">
        <v>-0.17</v>
      </c>
      <c r="DP160" s="228">
        <v>0.34</v>
      </c>
      <c r="DQ160" s="228">
        <v>0.35</v>
      </c>
      <c r="DR160" s="228">
        <v>-0.01</v>
      </c>
      <c r="DS160" s="229">
        <v>-2.86E-2</v>
      </c>
      <c r="DT160" s="231">
        <v>50000</v>
      </c>
      <c r="DU160" s="231">
        <v>45000</v>
      </c>
      <c r="DV160" s="228">
        <v>0.51</v>
      </c>
      <c r="DW160" s="228">
        <v>0.45</v>
      </c>
      <c r="DX160" s="228">
        <v>0.06</v>
      </c>
      <c r="DY160" s="229">
        <v>0.1333</v>
      </c>
      <c r="DZ160" s="229">
        <v>6.2399999999999997E-2</v>
      </c>
      <c r="EA160" s="230">
        <v>15285</v>
      </c>
      <c r="EB160" s="229">
        <v>-1.7999999999999999E-2</v>
      </c>
      <c r="EC160" s="229">
        <v>6.2399999999999997E-2</v>
      </c>
      <c r="ED160" s="228">
        <v>-820.24</v>
      </c>
      <c r="EE160" s="229">
        <v>-1.7999999999999999E-2</v>
      </c>
      <c r="EF160" s="230">
        <v>16470</v>
      </c>
      <c r="EG160" s="230">
        <v>15561</v>
      </c>
      <c r="EH160" s="229">
        <v>5.8400000000000001E-2</v>
      </c>
      <c r="EI160" s="229">
        <v>0.66</v>
      </c>
      <c r="EJ160" s="231">
        <v>65533.31</v>
      </c>
      <c r="EK160" s="231">
        <v>30617.77</v>
      </c>
      <c r="EL160" s="231">
        <v>17387.13</v>
      </c>
      <c r="EM160" s="228">
        <v>0</v>
      </c>
      <c r="EN160" s="231">
        <v>113538.21</v>
      </c>
      <c r="EO160" s="231">
        <v>160024.03</v>
      </c>
      <c r="EP160" s="231">
        <v>-46485.82</v>
      </c>
      <c r="EQ160" s="229">
        <v>-0.29049999999999998</v>
      </c>
      <c r="ER160" s="231">
        <v>55814</v>
      </c>
      <c r="ES160" s="231">
        <v>17204</v>
      </c>
      <c r="ET160" s="231">
        <v>133245</v>
      </c>
      <c r="EU160" s="231">
        <v>1274066</v>
      </c>
      <c r="EV160" s="231">
        <v>206263</v>
      </c>
      <c r="EW160" s="231">
        <v>201576</v>
      </c>
      <c r="EX160" s="231">
        <v>4687</v>
      </c>
      <c r="EY160" s="229">
        <v>2.3300000000000001E-2</v>
      </c>
      <c r="EZ160" s="229">
        <v>0.3518</v>
      </c>
      <c r="FA160" s="227" t="s">
        <v>568</v>
      </c>
      <c r="FB160" s="161">
        <f t="shared" si="3"/>
        <v>0</v>
      </c>
    </row>
    <row r="161" spans="1:158" ht="17.25" thickBot="1" x14ac:dyDescent="0.3">
      <c r="A161" s="226">
        <v>45889</v>
      </c>
      <c r="B161" s="227" t="s">
        <v>168</v>
      </c>
      <c r="C161" s="227" t="s">
        <v>667</v>
      </c>
      <c r="D161" s="228">
        <v>300</v>
      </c>
      <c r="E161" s="231">
        <v>1818.1</v>
      </c>
      <c r="F161" s="231">
        <v>1796.4</v>
      </c>
      <c r="G161" s="228">
        <v>21.7</v>
      </c>
      <c r="H161" s="229">
        <v>1.21E-2</v>
      </c>
      <c r="I161" s="231">
        <v>1813.8</v>
      </c>
      <c r="J161" s="231">
        <v>1789.8</v>
      </c>
      <c r="K161" s="228">
        <v>24</v>
      </c>
      <c r="L161" s="229">
        <v>1.34E-2</v>
      </c>
      <c r="M161" s="231">
        <v>1818.1</v>
      </c>
      <c r="N161" s="231">
        <v>1796.4</v>
      </c>
      <c r="O161" s="228">
        <v>21.7</v>
      </c>
      <c r="P161" s="229">
        <v>1.21E-2</v>
      </c>
      <c r="Q161" s="231">
        <v>1826.3</v>
      </c>
      <c r="R161" s="231">
        <v>1804.4</v>
      </c>
      <c r="S161" s="228">
        <v>21.9</v>
      </c>
      <c r="T161" s="229">
        <v>1.21E-2</v>
      </c>
      <c r="U161" s="231">
        <v>1835</v>
      </c>
      <c r="V161" s="231">
        <v>1820</v>
      </c>
      <c r="W161" s="228">
        <v>15</v>
      </c>
      <c r="X161" s="229">
        <v>8.2000000000000007E-3</v>
      </c>
      <c r="Y161" s="228">
        <v>4.3</v>
      </c>
      <c r="Z161" s="228">
        <v>6.6</v>
      </c>
      <c r="AA161" s="228">
        <v>-2.2999999999999998</v>
      </c>
      <c r="AB161" s="229">
        <v>2.3999999999999998E-3</v>
      </c>
      <c r="AC161" s="228">
        <v>4.3</v>
      </c>
      <c r="AD161" s="228">
        <v>6.6</v>
      </c>
      <c r="AE161" s="228">
        <v>-2.2999999999999998</v>
      </c>
      <c r="AF161" s="229">
        <v>2.3999999999999998E-3</v>
      </c>
      <c r="AG161" s="228">
        <v>12.5</v>
      </c>
      <c r="AH161" s="228">
        <v>14.6</v>
      </c>
      <c r="AI161" s="228">
        <v>-2.1</v>
      </c>
      <c r="AJ161" s="229">
        <v>6.8999999999999999E-3</v>
      </c>
      <c r="AK161" s="228">
        <v>21.2</v>
      </c>
      <c r="AL161" s="228">
        <v>30.2</v>
      </c>
      <c r="AM161" s="228">
        <v>-9</v>
      </c>
      <c r="AN161" s="229">
        <v>1.17E-2</v>
      </c>
      <c r="AO161" s="231">
        <v>1811.63</v>
      </c>
      <c r="AP161" s="231">
        <v>1818.57</v>
      </c>
      <c r="AQ161" s="228">
        <v>0</v>
      </c>
      <c r="AR161" s="230">
        <v>1713300</v>
      </c>
      <c r="AS161" s="230">
        <v>2938200</v>
      </c>
      <c r="AT161" s="230">
        <v>-1224900</v>
      </c>
      <c r="AU161" s="229">
        <v>-0.41689999999999999</v>
      </c>
      <c r="AV161" s="230">
        <v>1359300</v>
      </c>
      <c r="AW161" s="230">
        <v>1923600</v>
      </c>
      <c r="AX161" s="230">
        <v>-564300</v>
      </c>
      <c r="AY161" s="229">
        <v>-0.29339999999999999</v>
      </c>
      <c r="AZ161" s="230">
        <v>345600</v>
      </c>
      <c r="BA161" s="230">
        <v>1013700</v>
      </c>
      <c r="BB161" s="230">
        <v>-668100</v>
      </c>
      <c r="BC161" s="229">
        <v>-0.65910000000000002</v>
      </c>
      <c r="BD161" s="230">
        <v>8400</v>
      </c>
      <c r="BE161" s="228">
        <v>900</v>
      </c>
      <c r="BF161" s="230">
        <v>7500</v>
      </c>
      <c r="BG161" s="229">
        <v>8.3332999999999995</v>
      </c>
      <c r="BH161" s="230">
        <v>3449100</v>
      </c>
      <c r="BI161" s="230">
        <v>2278500</v>
      </c>
      <c r="BJ161" s="230">
        <v>1170600</v>
      </c>
      <c r="BK161" s="229">
        <v>0.51380000000000003</v>
      </c>
      <c r="BL161" s="230">
        <v>972300</v>
      </c>
      <c r="BM161" s="230">
        <v>1098900</v>
      </c>
      <c r="BN161" s="230">
        <v>-126600</v>
      </c>
      <c r="BO161" s="229">
        <v>-0.1152</v>
      </c>
      <c r="BP161" s="230">
        <v>6134700</v>
      </c>
      <c r="BQ161" s="230">
        <v>6315600</v>
      </c>
      <c r="BR161" s="230">
        <v>-180900</v>
      </c>
      <c r="BS161" s="229">
        <v>-2.86E-2</v>
      </c>
      <c r="BT161" s="230">
        <v>1126963</v>
      </c>
      <c r="BU161" s="230">
        <v>385782</v>
      </c>
      <c r="BV161" s="230">
        <v>741181</v>
      </c>
      <c r="BW161" s="229">
        <v>1.9212</v>
      </c>
      <c r="BX161" s="230">
        <v>11360700</v>
      </c>
      <c r="BY161" s="230">
        <v>11325300</v>
      </c>
      <c r="BZ161" s="230">
        <v>35400</v>
      </c>
      <c r="CA161" s="229">
        <v>3.0999999999999999E-3</v>
      </c>
      <c r="CB161" s="230">
        <v>10102800</v>
      </c>
      <c r="CC161" s="230">
        <v>10155900</v>
      </c>
      <c r="CD161" s="230">
        <v>-53100</v>
      </c>
      <c r="CE161" s="229">
        <v>-5.1999999999999998E-3</v>
      </c>
      <c r="CF161" s="230">
        <v>1253700</v>
      </c>
      <c r="CG161" s="230">
        <v>1165200</v>
      </c>
      <c r="CH161" s="230">
        <v>88500</v>
      </c>
      <c r="CI161" s="229">
        <v>7.5999999999999998E-2</v>
      </c>
      <c r="CJ161" s="230">
        <v>4200</v>
      </c>
      <c r="CK161" s="230">
        <v>4200</v>
      </c>
      <c r="CL161" s="228">
        <v>0</v>
      </c>
      <c r="CM161" s="229">
        <v>0</v>
      </c>
      <c r="CN161" s="230">
        <v>2595000</v>
      </c>
      <c r="CO161" s="230">
        <v>2497800</v>
      </c>
      <c r="CP161" s="230">
        <v>97200</v>
      </c>
      <c r="CQ161" s="229">
        <v>3.8899999999999997E-2</v>
      </c>
      <c r="CR161" s="230">
        <v>1128900</v>
      </c>
      <c r="CS161" s="230">
        <v>1135500</v>
      </c>
      <c r="CT161" s="230">
        <v>-6600</v>
      </c>
      <c r="CU161" s="229">
        <v>-5.7999999999999996E-3</v>
      </c>
      <c r="CV161" s="230">
        <v>15084600</v>
      </c>
      <c r="CW161" s="230">
        <v>14958600</v>
      </c>
      <c r="CX161" s="230">
        <v>126000</v>
      </c>
      <c r="CY161" s="229">
        <v>8.3999999999999995E-3</v>
      </c>
      <c r="CZ161" s="228">
        <v>31.12</v>
      </c>
      <c r="DA161" s="228">
        <v>31.15</v>
      </c>
      <c r="DB161" s="228">
        <v>-0.03</v>
      </c>
      <c r="DC161" s="228">
        <v>-0.03</v>
      </c>
      <c r="DD161" s="228">
        <v>36.57</v>
      </c>
      <c r="DE161" s="228">
        <v>36.630000000000003</v>
      </c>
      <c r="DF161" s="228">
        <v>-5.45</v>
      </c>
      <c r="DG161" s="228">
        <v>-0.06</v>
      </c>
      <c r="DH161" s="228">
        <v>31.56</v>
      </c>
      <c r="DI161" s="228">
        <v>31.45</v>
      </c>
      <c r="DJ161" s="228">
        <v>0.11</v>
      </c>
      <c r="DK161" s="228">
        <v>0.11</v>
      </c>
      <c r="DL161" s="228">
        <v>29.55</v>
      </c>
      <c r="DM161" s="228">
        <v>30.54</v>
      </c>
      <c r="DN161" s="228">
        <v>-0.99</v>
      </c>
      <c r="DO161" s="228">
        <v>-0.99</v>
      </c>
      <c r="DP161" s="228">
        <v>0.44</v>
      </c>
      <c r="DQ161" s="228">
        <v>0.45</v>
      </c>
      <c r="DR161" s="228">
        <v>-0.01</v>
      </c>
      <c r="DS161" s="229">
        <v>-2.2200000000000001E-2</v>
      </c>
      <c r="DT161" s="231">
        <v>1900</v>
      </c>
      <c r="DU161" s="231">
        <v>1800</v>
      </c>
      <c r="DV161" s="228">
        <v>0.28000000000000003</v>
      </c>
      <c r="DW161" s="228">
        <v>0.48</v>
      </c>
      <c r="DX161" s="228">
        <v>-0.2</v>
      </c>
      <c r="DY161" s="229">
        <v>-0.41670000000000001</v>
      </c>
      <c r="DZ161" s="229">
        <v>0.11070000000000001</v>
      </c>
      <c r="EA161" s="230">
        <v>1169400</v>
      </c>
      <c r="EB161" s="229">
        <v>4.4999999999999997E-3</v>
      </c>
      <c r="EC161" s="229">
        <v>0.11070000000000001</v>
      </c>
      <c r="ED161" s="228">
        <v>6.94</v>
      </c>
      <c r="EE161" s="229">
        <v>3.8E-3</v>
      </c>
      <c r="EF161" s="230">
        <v>707578</v>
      </c>
      <c r="EG161" s="230">
        <v>108309</v>
      </c>
      <c r="EH161" s="229">
        <v>5.5330000000000004</v>
      </c>
      <c r="EI161" s="229">
        <v>0.62790000000000001</v>
      </c>
      <c r="EJ161" s="231">
        <v>64766.28</v>
      </c>
      <c r="EK161" s="231">
        <v>17257.82</v>
      </c>
      <c r="EL161" s="231">
        <v>31064.35</v>
      </c>
      <c r="EM161" s="228">
        <v>0</v>
      </c>
      <c r="EN161" s="231">
        <v>113088.45</v>
      </c>
      <c r="EO161" s="231">
        <v>114984.58</v>
      </c>
      <c r="EP161" s="231">
        <v>-1896.13</v>
      </c>
      <c r="EQ161" s="229">
        <v>-1.6500000000000001E-2</v>
      </c>
      <c r="ER161" s="231">
        <v>49274</v>
      </c>
      <c r="ES161" s="231">
        <v>19821</v>
      </c>
      <c r="ET161" s="231">
        <v>206652</v>
      </c>
      <c r="EU161" s="231">
        <v>22595616</v>
      </c>
      <c r="EV161" s="231">
        <v>275748</v>
      </c>
      <c r="EW161" s="231">
        <v>270865</v>
      </c>
      <c r="EX161" s="231">
        <v>4883</v>
      </c>
      <c r="EY161" s="229">
        <v>1.7999999999999999E-2</v>
      </c>
      <c r="EZ161" s="229">
        <v>0.66759999999999997</v>
      </c>
      <c r="FA161" s="227" t="s">
        <v>555</v>
      </c>
      <c r="FB161" s="161">
        <f t="shared" si="3"/>
        <v>0</v>
      </c>
    </row>
    <row r="162" spans="1:158" ht="17.25" thickBot="1" x14ac:dyDescent="0.3">
      <c r="A162" s="226">
        <v>45889</v>
      </c>
      <c r="B162" s="227" t="s">
        <v>616</v>
      </c>
      <c r="C162" s="227" t="s">
        <v>576</v>
      </c>
      <c r="D162" s="228">
        <v>725</v>
      </c>
      <c r="E162" s="231">
        <v>1248.0999999999999</v>
      </c>
      <c r="F162" s="231">
        <v>1230</v>
      </c>
      <c r="G162" s="228">
        <v>18.100000000000001</v>
      </c>
      <c r="H162" s="229">
        <v>1.47E-2</v>
      </c>
      <c r="I162" s="231">
        <v>1248</v>
      </c>
      <c r="J162" s="231">
        <v>1226.2</v>
      </c>
      <c r="K162" s="228">
        <v>21.8</v>
      </c>
      <c r="L162" s="229">
        <v>1.78E-2</v>
      </c>
      <c r="M162" s="231">
        <v>1248.0999999999999</v>
      </c>
      <c r="N162" s="231">
        <v>1230</v>
      </c>
      <c r="O162" s="228">
        <v>18.100000000000001</v>
      </c>
      <c r="P162" s="229">
        <v>1.47E-2</v>
      </c>
      <c r="Q162" s="231">
        <v>1255</v>
      </c>
      <c r="R162" s="231">
        <v>1235.7</v>
      </c>
      <c r="S162" s="228">
        <v>19.3</v>
      </c>
      <c r="T162" s="229">
        <v>1.5599999999999999E-2</v>
      </c>
      <c r="U162" s="231">
        <v>1260</v>
      </c>
      <c r="V162" s="231">
        <v>1242.7</v>
      </c>
      <c r="W162" s="228">
        <v>17.3</v>
      </c>
      <c r="X162" s="229">
        <v>1.3899999999999999E-2</v>
      </c>
      <c r="Y162" s="228">
        <v>0.1</v>
      </c>
      <c r="Z162" s="228">
        <v>3.8</v>
      </c>
      <c r="AA162" s="228">
        <v>-3.7</v>
      </c>
      <c r="AB162" s="229">
        <v>1E-4</v>
      </c>
      <c r="AC162" s="228">
        <v>0.1</v>
      </c>
      <c r="AD162" s="228">
        <v>3.8</v>
      </c>
      <c r="AE162" s="228">
        <v>-3.7</v>
      </c>
      <c r="AF162" s="229">
        <v>1E-4</v>
      </c>
      <c r="AG162" s="228">
        <v>7</v>
      </c>
      <c r="AH162" s="228">
        <v>9.5</v>
      </c>
      <c r="AI162" s="228">
        <v>-2.5</v>
      </c>
      <c r="AJ162" s="229">
        <v>5.5999999999999999E-3</v>
      </c>
      <c r="AK162" s="228">
        <v>12</v>
      </c>
      <c r="AL162" s="228">
        <v>16.5</v>
      </c>
      <c r="AM162" s="228">
        <v>-4.5</v>
      </c>
      <c r="AN162" s="229">
        <v>9.5999999999999992E-3</v>
      </c>
      <c r="AO162" s="231">
        <v>1241.54</v>
      </c>
      <c r="AP162" s="231">
        <v>1247.71</v>
      </c>
      <c r="AQ162" s="228">
        <v>0</v>
      </c>
      <c r="AR162" s="230">
        <v>9148775</v>
      </c>
      <c r="AS162" s="230">
        <v>14678350</v>
      </c>
      <c r="AT162" s="230">
        <v>-5529575</v>
      </c>
      <c r="AU162" s="229">
        <v>-0.37669999999999998</v>
      </c>
      <c r="AV162" s="230">
        <v>7320325</v>
      </c>
      <c r="AW162" s="230">
        <v>12507700</v>
      </c>
      <c r="AX162" s="230">
        <v>-5187375</v>
      </c>
      <c r="AY162" s="229">
        <v>-0.41470000000000001</v>
      </c>
      <c r="AZ162" s="230">
        <v>1753775</v>
      </c>
      <c r="BA162" s="230">
        <v>2040150</v>
      </c>
      <c r="BB162" s="230">
        <v>-286375</v>
      </c>
      <c r="BC162" s="229">
        <v>-0.1404</v>
      </c>
      <c r="BD162" s="230">
        <v>74675</v>
      </c>
      <c r="BE162" s="230">
        <v>130500</v>
      </c>
      <c r="BF162" s="230">
        <v>-55825</v>
      </c>
      <c r="BG162" s="229">
        <v>-0.42780000000000001</v>
      </c>
      <c r="BH162" s="230">
        <v>53306350</v>
      </c>
      <c r="BI162" s="230">
        <v>73285900</v>
      </c>
      <c r="BJ162" s="230">
        <v>-19979550</v>
      </c>
      <c r="BK162" s="229">
        <v>-0.27260000000000001</v>
      </c>
      <c r="BL162" s="230">
        <v>24613025</v>
      </c>
      <c r="BM162" s="230">
        <v>32836700</v>
      </c>
      <c r="BN162" s="230">
        <v>-8223675</v>
      </c>
      <c r="BO162" s="229">
        <v>-0.25040000000000001</v>
      </c>
      <c r="BP162" s="230">
        <v>87068150</v>
      </c>
      <c r="BQ162" s="230">
        <v>120800950</v>
      </c>
      <c r="BR162" s="230">
        <v>-33732800</v>
      </c>
      <c r="BS162" s="229">
        <v>-0.2792</v>
      </c>
      <c r="BT162" s="230">
        <v>6015835</v>
      </c>
      <c r="BU162" s="230">
        <v>8311212</v>
      </c>
      <c r="BV162" s="230">
        <v>-2295377</v>
      </c>
      <c r="BW162" s="229">
        <v>-0.2762</v>
      </c>
      <c r="BX162" s="230">
        <v>28214100</v>
      </c>
      <c r="BY162" s="230">
        <v>27900900</v>
      </c>
      <c r="BZ162" s="230">
        <v>313200</v>
      </c>
      <c r="CA162" s="229">
        <v>1.12E-2</v>
      </c>
      <c r="CB162" s="230">
        <v>26349400</v>
      </c>
      <c r="CC162" s="230">
        <v>26464675</v>
      </c>
      <c r="CD162" s="230">
        <v>-115275</v>
      </c>
      <c r="CE162" s="229">
        <v>-4.4000000000000003E-3</v>
      </c>
      <c r="CF162" s="230">
        <v>1728400</v>
      </c>
      <c r="CG162" s="230">
        <v>1315150</v>
      </c>
      <c r="CH162" s="230">
        <v>413250</v>
      </c>
      <c r="CI162" s="229">
        <v>0.31419999999999998</v>
      </c>
      <c r="CJ162" s="230">
        <v>136300</v>
      </c>
      <c r="CK162" s="230">
        <v>121075</v>
      </c>
      <c r="CL162" s="230">
        <v>15225</v>
      </c>
      <c r="CM162" s="229">
        <v>0.12570000000000001</v>
      </c>
      <c r="CN162" s="230">
        <v>13148600</v>
      </c>
      <c r="CO162" s="230">
        <v>11708025</v>
      </c>
      <c r="CP162" s="230">
        <v>1440575</v>
      </c>
      <c r="CQ162" s="229">
        <v>0.123</v>
      </c>
      <c r="CR162" s="230">
        <v>11928425</v>
      </c>
      <c r="CS162" s="230">
        <v>11287525</v>
      </c>
      <c r="CT162" s="230">
        <v>640900</v>
      </c>
      <c r="CU162" s="229">
        <v>5.6800000000000003E-2</v>
      </c>
      <c r="CV162" s="230">
        <v>53291125</v>
      </c>
      <c r="CW162" s="230">
        <v>50896450</v>
      </c>
      <c r="CX162" s="230">
        <v>2394675</v>
      </c>
      <c r="CY162" s="229">
        <v>4.7E-2</v>
      </c>
      <c r="CZ162" s="228">
        <v>43.31</v>
      </c>
      <c r="DA162" s="228">
        <v>40.85</v>
      </c>
      <c r="DB162" s="228">
        <v>2.46</v>
      </c>
      <c r="DC162" s="228">
        <v>2.46</v>
      </c>
      <c r="DD162" s="228">
        <v>59.54</v>
      </c>
      <c r="DE162" s="228">
        <v>59.65</v>
      </c>
      <c r="DF162" s="228">
        <v>-16.23</v>
      </c>
      <c r="DG162" s="228">
        <v>-0.11</v>
      </c>
      <c r="DH162" s="228">
        <v>42.43</v>
      </c>
      <c r="DI162" s="228">
        <v>39.56</v>
      </c>
      <c r="DJ162" s="228">
        <v>2.87</v>
      </c>
      <c r="DK162" s="228">
        <v>2.87</v>
      </c>
      <c r="DL162" s="228">
        <v>45.2</v>
      </c>
      <c r="DM162" s="228">
        <v>43.74</v>
      </c>
      <c r="DN162" s="228">
        <v>1.46</v>
      </c>
      <c r="DO162" s="228">
        <v>1.46</v>
      </c>
      <c r="DP162" s="228">
        <v>0.91</v>
      </c>
      <c r="DQ162" s="228">
        <v>0.96</v>
      </c>
      <c r="DR162" s="228">
        <v>-0.05</v>
      </c>
      <c r="DS162" s="229">
        <v>-5.21E-2</v>
      </c>
      <c r="DT162" s="231">
        <v>1200</v>
      </c>
      <c r="DU162" s="231">
        <v>1200</v>
      </c>
      <c r="DV162" s="228">
        <v>0.46</v>
      </c>
      <c r="DW162" s="228">
        <v>0.45</v>
      </c>
      <c r="DX162" s="228">
        <v>0.01</v>
      </c>
      <c r="DY162" s="229">
        <v>2.2200000000000001E-2</v>
      </c>
      <c r="DZ162" s="229">
        <v>6.6100000000000006E-2</v>
      </c>
      <c r="EA162" s="230">
        <v>1436225</v>
      </c>
      <c r="EB162" s="229">
        <v>5.4999999999999997E-3</v>
      </c>
      <c r="EC162" s="229">
        <v>6.6100000000000006E-2</v>
      </c>
      <c r="ED162" s="228">
        <v>6.17</v>
      </c>
      <c r="EE162" s="229">
        <v>5.0000000000000001E-3</v>
      </c>
      <c r="EF162" s="230">
        <v>1541236</v>
      </c>
      <c r="EG162" s="230">
        <v>2257038</v>
      </c>
      <c r="EH162" s="229">
        <v>-0.31709999999999999</v>
      </c>
      <c r="EI162" s="229">
        <v>0.25619999999999998</v>
      </c>
      <c r="EJ162" s="231">
        <v>689705.87</v>
      </c>
      <c r="EK162" s="231">
        <v>296841.84999999998</v>
      </c>
      <c r="EL162" s="231">
        <v>113703.4</v>
      </c>
      <c r="EM162" s="228">
        <v>0</v>
      </c>
      <c r="EN162" s="231">
        <v>1100251.1200000001</v>
      </c>
      <c r="EO162" s="231">
        <v>1483845.99</v>
      </c>
      <c r="EP162" s="231">
        <v>-383594.87</v>
      </c>
      <c r="EQ162" s="229">
        <v>-0.25850000000000001</v>
      </c>
      <c r="ER162" s="231">
        <v>161532</v>
      </c>
      <c r="ES162" s="231">
        <v>133109</v>
      </c>
      <c r="ET162" s="231">
        <v>352276</v>
      </c>
      <c r="EU162" s="231">
        <v>127620510</v>
      </c>
      <c r="EV162" s="231">
        <v>646917</v>
      </c>
      <c r="EW162" s="231">
        <v>608769</v>
      </c>
      <c r="EX162" s="231">
        <v>38148</v>
      </c>
      <c r="EY162" s="229">
        <v>6.2700000000000006E-2</v>
      </c>
      <c r="EZ162" s="229">
        <v>0.41760000000000003</v>
      </c>
      <c r="FA162" s="227" t="s">
        <v>555</v>
      </c>
      <c r="FB162" s="161">
        <f t="shared" ref="FB162:FB194" si="4">BX236-CB236</f>
        <v>0</v>
      </c>
    </row>
    <row r="163" spans="1:158" ht="17.25" thickBot="1" x14ac:dyDescent="0.3">
      <c r="A163" s="226">
        <v>45889</v>
      </c>
      <c r="B163" s="227" t="s">
        <v>221</v>
      </c>
      <c r="C163" s="227" t="s">
        <v>529</v>
      </c>
      <c r="D163" s="228">
        <v>100</v>
      </c>
      <c r="E163" s="231">
        <v>5357.5</v>
      </c>
      <c r="F163" s="231">
        <v>5257</v>
      </c>
      <c r="G163" s="228">
        <v>100.5</v>
      </c>
      <c r="H163" s="229">
        <v>1.9099999999999999E-2</v>
      </c>
      <c r="I163" s="231">
        <v>5345</v>
      </c>
      <c r="J163" s="231">
        <v>5236.5</v>
      </c>
      <c r="K163" s="228">
        <v>108.5</v>
      </c>
      <c r="L163" s="229">
        <v>2.07E-2</v>
      </c>
      <c r="M163" s="231">
        <v>5357.5</v>
      </c>
      <c r="N163" s="231">
        <v>5257</v>
      </c>
      <c r="O163" s="228">
        <v>100.5</v>
      </c>
      <c r="P163" s="229">
        <v>1.9099999999999999E-2</v>
      </c>
      <c r="Q163" s="231">
        <v>5387</v>
      </c>
      <c r="R163" s="231">
        <v>5283</v>
      </c>
      <c r="S163" s="228">
        <v>104</v>
      </c>
      <c r="T163" s="229">
        <v>1.9699999999999999E-2</v>
      </c>
      <c r="U163" s="231">
        <v>5413.5</v>
      </c>
      <c r="V163" s="231">
        <v>5315.5</v>
      </c>
      <c r="W163" s="228">
        <v>98</v>
      </c>
      <c r="X163" s="229">
        <v>1.84E-2</v>
      </c>
      <c r="Y163" s="228">
        <v>12.5</v>
      </c>
      <c r="Z163" s="228">
        <v>20.5</v>
      </c>
      <c r="AA163" s="228">
        <v>-8</v>
      </c>
      <c r="AB163" s="229">
        <v>2.3E-3</v>
      </c>
      <c r="AC163" s="228">
        <v>12.5</v>
      </c>
      <c r="AD163" s="228">
        <v>20.5</v>
      </c>
      <c r="AE163" s="228">
        <v>-8</v>
      </c>
      <c r="AF163" s="229">
        <v>2.3E-3</v>
      </c>
      <c r="AG163" s="228">
        <v>42</v>
      </c>
      <c r="AH163" s="228">
        <v>46.5</v>
      </c>
      <c r="AI163" s="228">
        <v>-4.5</v>
      </c>
      <c r="AJ163" s="229">
        <v>7.9000000000000008E-3</v>
      </c>
      <c r="AK163" s="228">
        <v>68.5</v>
      </c>
      <c r="AL163" s="228">
        <v>79</v>
      </c>
      <c r="AM163" s="228">
        <v>-10.5</v>
      </c>
      <c r="AN163" s="229">
        <v>1.2800000000000001E-2</v>
      </c>
      <c r="AO163" s="231">
        <v>5326.67</v>
      </c>
      <c r="AP163" s="231">
        <v>5341.69</v>
      </c>
      <c r="AQ163" s="228">
        <v>0</v>
      </c>
      <c r="AR163" s="230">
        <v>913500</v>
      </c>
      <c r="AS163" s="230">
        <v>428600</v>
      </c>
      <c r="AT163" s="230">
        <v>484900</v>
      </c>
      <c r="AU163" s="229">
        <v>1.1314</v>
      </c>
      <c r="AV163" s="230">
        <v>745700</v>
      </c>
      <c r="AW163" s="230">
        <v>371100</v>
      </c>
      <c r="AX163" s="230">
        <v>374600</v>
      </c>
      <c r="AY163" s="229">
        <v>1.0094000000000001</v>
      </c>
      <c r="AZ163" s="230">
        <v>158800</v>
      </c>
      <c r="BA163" s="230">
        <v>49200</v>
      </c>
      <c r="BB163" s="230">
        <v>109600</v>
      </c>
      <c r="BC163" s="229">
        <v>2.2275999999999998</v>
      </c>
      <c r="BD163" s="230">
        <v>9000</v>
      </c>
      <c r="BE163" s="230">
        <v>8300</v>
      </c>
      <c r="BF163" s="228">
        <v>700</v>
      </c>
      <c r="BG163" s="229">
        <v>8.43E-2</v>
      </c>
      <c r="BH163" s="230">
        <v>4668100</v>
      </c>
      <c r="BI163" s="230">
        <v>1956100</v>
      </c>
      <c r="BJ163" s="230">
        <v>2712000</v>
      </c>
      <c r="BK163" s="229">
        <v>1.3864000000000001</v>
      </c>
      <c r="BL163" s="230">
        <v>1735900</v>
      </c>
      <c r="BM163" s="230">
        <v>644600</v>
      </c>
      <c r="BN163" s="230">
        <v>1091300</v>
      </c>
      <c r="BO163" s="229">
        <v>1.6930000000000001</v>
      </c>
      <c r="BP163" s="230">
        <v>7317500</v>
      </c>
      <c r="BQ163" s="230">
        <v>3029300</v>
      </c>
      <c r="BR163" s="230">
        <v>4288200</v>
      </c>
      <c r="BS163" s="229">
        <v>1.4156</v>
      </c>
      <c r="BT163" s="230">
        <v>641299</v>
      </c>
      <c r="BU163" s="230">
        <v>457445</v>
      </c>
      <c r="BV163" s="230">
        <v>183854</v>
      </c>
      <c r="BW163" s="229">
        <v>0.40189999999999998</v>
      </c>
      <c r="BX163" s="230">
        <v>3016600</v>
      </c>
      <c r="BY163" s="230">
        <v>2971100</v>
      </c>
      <c r="BZ163" s="230">
        <v>45500</v>
      </c>
      <c r="CA163" s="229">
        <v>1.5299999999999999E-2</v>
      </c>
      <c r="CB163" s="230">
        <v>2748100</v>
      </c>
      <c r="CC163" s="230">
        <v>2775300</v>
      </c>
      <c r="CD163" s="230">
        <v>-27200</v>
      </c>
      <c r="CE163" s="229">
        <v>-9.7999999999999997E-3</v>
      </c>
      <c r="CF163" s="230">
        <v>257800</v>
      </c>
      <c r="CG163" s="230">
        <v>186500</v>
      </c>
      <c r="CH163" s="230">
        <v>71300</v>
      </c>
      <c r="CI163" s="229">
        <v>0.38229999999999997</v>
      </c>
      <c r="CJ163" s="230">
        <v>10700</v>
      </c>
      <c r="CK163" s="230">
        <v>9300</v>
      </c>
      <c r="CL163" s="230">
        <v>1400</v>
      </c>
      <c r="CM163" s="229">
        <v>0.15049999999999999</v>
      </c>
      <c r="CN163" s="230">
        <v>1238800</v>
      </c>
      <c r="CO163" s="230">
        <v>1386800</v>
      </c>
      <c r="CP163" s="230">
        <v>-148000</v>
      </c>
      <c r="CQ163" s="229">
        <v>-0.1067</v>
      </c>
      <c r="CR163" s="230">
        <v>767300</v>
      </c>
      <c r="CS163" s="230">
        <v>788300</v>
      </c>
      <c r="CT163" s="230">
        <v>-21000</v>
      </c>
      <c r="CU163" s="229">
        <v>-2.6599999999999999E-2</v>
      </c>
      <c r="CV163" s="230">
        <v>5022700</v>
      </c>
      <c r="CW163" s="230">
        <v>5146200</v>
      </c>
      <c r="CX163" s="230">
        <v>-123500</v>
      </c>
      <c r="CY163" s="229">
        <v>-2.4E-2</v>
      </c>
      <c r="CZ163" s="228">
        <v>31.79</v>
      </c>
      <c r="DA163" s="228">
        <v>32.18</v>
      </c>
      <c r="DB163" s="228">
        <v>-0.39</v>
      </c>
      <c r="DC163" s="228">
        <v>-0.39</v>
      </c>
      <c r="DD163" s="228">
        <v>42.56</v>
      </c>
      <c r="DE163" s="228">
        <v>42.57</v>
      </c>
      <c r="DF163" s="228">
        <v>-10.77</v>
      </c>
      <c r="DG163" s="228">
        <v>-0.01</v>
      </c>
      <c r="DH163" s="228">
        <v>31.37</v>
      </c>
      <c r="DI163" s="228">
        <v>32.9</v>
      </c>
      <c r="DJ163" s="228">
        <v>-1.53</v>
      </c>
      <c r="DK163" s="228">
        <v>-1.53</v>
      </c>
      <c r="DL163" s="228">
        <v>32.9</v>
      </c>
      <c r="DM163" s="228">
        <v>29.99</v>
      </c>
      <c r="DN163" s="228">
        <v>2.91</v>
      </c>
      <c r="DO163" s="228">
        <v>2.91</v>
      </c>
      <c r="DP163" s="228">
        <v>0.62</v>
      </c>
      <c r="DQ163" s="228">
        <v>0.56999999999999995</v>
      </c>
      <c r="DR163" s="228">
        <v>0.05</v>
      </c>
      <c r="DS163" s="229">
        <v>8.77E-2</v>
      </c>
      <c r="DT163" s="231">
        <v>6000</v>
      </c>
      <c r="DU163" s="231">
        <v>5200</v>
      </c>
      <c r="DV163" s="228">
        <v>0.37</v>
      </c>
      <c r="DW163" s="228">
        <v>0.33</v>
      </c>
      <c r="DX163" s="228">
        <v>0.04</v>
      </c>
      <c r="DY163" s="229">
        <v>0.1212</v>
      </c>
      <c r="DZ163" s="229">
        <v>8.8999999999999996E-2</v>
      </c>
      <c r="EA163" s="230">
        <v>195800</v>
      </c>
      <c r="EB163" s="229">
        <v>5.4999999999999997E-3</v>
      </c>
      <c r="EC163" s="229">
        <v>8.8999999999999996E-2</v>
      </c>
      <c r="ED163" s="228">
        <v>15.02</v>
      </c>
      <c r="EE163" s="229">
        <v>2.8E-3</v>
      </c>
      <c r="EF163" s="230">
        <v>323898</v>
      </c>
      <c r="EG163" s="230">
        <v>323555</v>
      </c>
      <c r="EH163" s="229">
        <v>1.1000000000000001E-3</v>
      </c>
      <c r="EI163" s="229">
        <v>0.50509999999999999</v>
      </c>
      <c r="EJ163" s="231">
        <v>257449.67</v>
      </c>
      <c r="EK163" s="231">
        <v>90433.47</v>
      </c>
      <c r="EL163" s="231">
        <v>48686.05</v>
      </c>
      <c r="EM163" s="228">
        <v>0</v>
      </c>
      <c r="EN163" s="231">
        <v>396569.19</v>
      </c>
      <c r="EO163" s="231">
        <v>164107.43</v>
      </c>
      <c r="EP163" s="231">
        <v>232461.76</v>
      </c>
      <c r="EQ163" s="229">
        <v>1.4165000000000001</v>
      </c>
      <c r="ER163" s="231">
        <v>69250</v>
      </c>
      <c r="ES163" s="231">
        <v>39122</v>
      </c>
      <c r="ET163" s="231">
        <v>161696</v>
      </c>
      <c r="EU163" s="231">
        <v>21535802</v>
      </c>
      <c r="EV163" s="231">
        <v>270068</v>
      </c>
      <c r="EW163" s="231">
        <v>273403</v>
      </c>
      <c r="EX163" s="231">
        <v>-3335</v>
      </c>
      <c r="EY163" s="229">
        <v>-1.2200000000000001E-2</v>
      </c>
      <c r="EZ163" s="229">
        <v>0.23319999999999999</v>
      </c>
      <c r="FA163" s="227" t="s">
        <v>555</v>
      </c>
      <c r="FB163" s="161">
        <f t="shared" si="4"/>
        <v>0</v>
      </c>
    </row>
    <row r="164" spans="1:158" ht="17.25" thickBot="1" x14ac:dyDescent="0.3">
      <c r="A164" s="226">
        <v>45889</v>
      </c>
      <c r="B164" s="227" t="s">
        <v>193</v>
      </c>
      <c r="C164" s="227" t="s">
        <v>272</v>
      </c>
      <c r="D164" s="228">
        <v>1800</v>
      </c>
      <c r="E164" s="228">
        <v>280.55</v>
      </c>
      <c r="F164" s="228">
        <v>283.39999999999998</v>
      </c>
      <c r="G164" s="228">
        <v>-2.85</v>
      </c>
      <c r="H164" s="229">
        <v>-1.01E-2</v>
      </c>
      <c r="I164" s="228">
        <v>280.14999999999998</v>
      </c>
      <c r="J164" s="228">
        <v>282.89999999999998</v>
      </c>
      <c r="K164" s="228">
        <v>-2.75</v>
      </c>
      <c r="L164" s="229">
        <v>-9.7000000000000003E-3</v>
      </c>
      <c r="M164" s="228">
        <v>280.55</v>
      </c>
      <c r="N164" s="228">
        <v>283.39999999999998</v>
      </c>
      <c r="O164" s="228">
        <v>-2.85</v>
      </c>
      <c r="P164" s="229">
        <v>-1.01E-2</v>
      </c>
      <c r="Q164" s="228">
        <v>282.25</v>
      </c>
      <c r="R164" s="228">
        <v>285.14999999999998</v>
      </c>
      <c r="S164" s="228">
        <v>-2.9</v>
      </c>
      <c r="T164" s="229">
        <v>-1.0200000000000001E-2</v>
      </c>
      <c r="U164" s="228">
        <v>283.45</v>
      </c>
      <c r="V164" s="228">
        <v>286.5</v>
      </c>
      <c r="W164" s="228">
        <v>-3.05</v>
      </c>
      <c r="X164" s="229">
        <v>-1.06E-2</v>
      </c>
      <c r="Y164" s="228">
        <v>0.4</v>
      </c>
      <c r="Z164" s="228">
        <v>0.5</v>
      </c>
      <c r="AA164" s="228">
        <v>-0.1</v>
      </c>
      <c r="AB164" s="229">
        <v>1.4E-3</v>
      </c>
      <c r="AC164" s="228">
        <v>0.4</v>
      </c>
      <c r="AD164" s="228">
        <v>0.5</v>
      </c>
      <c r="AE164" s="228">
        <v>-0.1</v>
      </c>
      <c r="AF164" s="229">
        <v>1.4E-3</v>
      </c>
      <c r="AG164" s="228">
        <v>2.1</v>
      </c>
      <c r="AH164" s="228">
        <v>2.25</v>
      </c>
      <c r="AI164" s="228">
        <v>-0.15</v>
      </c>
      <c r="AJ164" s="229">
        <v>7.4999999999999997E-3</v>
      </c>
      <c r="AK164" s="228">
        <v>3.3</v>
      </c>
      <c r="AL164" s="228">
        <v>3.6</v>
      </c>
      <c r="AM164" s="228">
        <v>-0.3</v>
      </c>
      <c r="AN164" s="229">
        <v>1.18E-2</v>
      </c>
      <c r="AO164" s="228">
        <v>280.57</v>
      </c>
      <c r="AP164" s="228">
        <v>282.14999999999998</v>
      </c>
      <c r="AQ164" s="228">
        <v>0</v>
      </c>
      <c r="AR164" s="230">
        <v>3313800</v>
      </c>
      <c r="AS164" s="230">
        <v>5545800</v>
      </c>
      <c r="AT164" s="230">
        <v>-2232000</v>
      </c>
      <c r="AU164" s="229">
        <v>-0.40250000000000002</v>
      </c>
      <c r="AV164" s="230">
        <v>2259000</v>
      </c>
      <c r="AW164" s="230">
        <v>4284000</v>
      </c>
      <c r="AX164" s="230">
        <v>-2025000</v>
      </c>
      <c r="AY164" s="229">
        <v>-0.47270000000000001</v>
      </c>
      <c r="AZ164" s="230">
        <v>1017000</v>
      </c>
      <c r="BA164" s="230">
        <v>1186200</v>
      </c>
      <c r="BB164" s="230">
        <v>-169200</v>
      </c>
      <c r="BC164" s="229">
        <v>-0.1426</v>
      </c>
      <c r="BD164" s="230">
        <v>37800</v>
      </c>
      <c r="BE164" s="230">
        <v>75600</v>
      </c>
      <c r="BF164" s="230">
        <v>-37800</v>
      </c>
      <c r="BG164" s="229">
        <v>-0.5</v>
      </c>
      <c r="BH164" s="230">
        <v>5043600</v>
      </c>
      <c r="BI164" s="230">
        <v>19429200</v>
      </c>
      <c r="BJ164" s="230">
        <v>-14385600</v>
      </c>
      <c r="BK164" s="229">
        <v>-0.74039999999999995</v>
      </c>
      <c r="BL164" s="230">
        <v>6433200</v>
      </c>
      <c r="BM164" s="230">
        <v>11835000</v>
      </c>
      <c r="BN164" s="230">
        <v>-5401800</v>
      </c>
      <c r="BO164" s="229">
        <v>-0.45639999999999997</v>
      </c>
      <c r="BP164" s="230">
        <v>14790600</v>
      </c>
      <c r="BQ164" s="230">
        <v>36810000</v>
      </c>
      <c r="BR164" s="230">
        <v>-22019400</v>
      </c>
      <c r="BS164" s="229">
        <v>-0.59819999999999995</v>
      </c>
      <c r="BT164" s="230">
        <v>1317907</v>
      </c>
      <c r="BU164" s="230">
        <v>2547593</v>
      </c>
      <c r="BV164" s="230">
        <v>-1229686</v>
      </c>
      <c r="BW164" s="229">
        <v>-0.48270000000000002</v>
      </c>
      <c r="BX164" s="230">
        <v>39729600</v>
      </c>
      <c r="BY164" s="230">
        <v>39774600</v>
      </c>
      <c r="BZ164" s="230">
        <v>-45000</v>
      </c>
      <c r="CA164" s="229">
        <v>-1.1000000000000001E-3</v>
      </c>
      <c r="CB164" s="230">
        <v>37467000</v>
      </c>
      <c r="CC164" s="230">
        <v>38044800</v>
      </c>
      <c r="CD164" s="230">
        <v>-577800</v>
      </c>
      <c r="CE164" s="229">
        <v>-1.52E-2</v>
      </c>
      <c r="CF164" s="230">
        <v>2032200</v>
      </c>
      <c r="CG164" s="230">
        <v>1510200</v>
      </c>
      <c r="CH164" s="230">
        <v>522000</v>
      </c>
      <c r="CI164" s="229">
        <v>0.34560000000000002</v>
      </c>
      <c r="CJ164" s="230">
        <v>230400</v>
      </c>
      <c r="CK164" s="230">
        <v>219600</v>
      </c>
      <c r="CL164" s="230">
        <v>10800</v>
      </c>
      <c r="CM164" s="229">
        <v>4.9200000000000001E-2</v>
      </c>
      <c r="CN164" s="230">
        <v>14720400</v>
      </c>
      <c r="CO164" s="230">
        <v>14898600</v>
      </c>
      <c r="CP164" s="230">
        <v>-178200</v>
      </c>
      <c r="CQ164" s="229">
        <v>-1.2E-2</v>
      </c>
      <c r="CR164" s="230">
        <v>16453800</v>
      </c>
      <c r="CS164" s="230">
        <v>15883200</v>
      </c>
      <c r="CT164" s="230">
        <v>570600</v>
      </c>
      <c r="CU164" s="229">
        <v>3.5900000000000001E-2</v>
      </c>
      <c r="CV164" s="230">
        <v>70903800</v>
      </c>
      <c r="CW164" s="230">
        <v>70556400</v>
      </c>
      <c r="CX164" s="230">
        <v>347400</v>
      </c>
      <c r="CY164" s="229">
        <v>4.8999999999999998E-3</v>
      </c>
      <c r="CZ164" s="228">
        <v>29.3</v>
      </c>
      <c r="DA164" s="228">
        <v>30.66</v>
      </c>
      <c r="DB164" s="228">
        <v>-1.36</v>
      </c>
      <c r="DC164" s="228">
        <v>-1.36</v>
      </c>
      <c r="DD164" s="228">
        <v>34.4</v>
      </c>
      <c r="DE164" s="228">
        <v>34.46</v>
      </c>
      <c r="DF164" s="228">
        <v>-5.0999999999999996</v>
      </c>
      <c r="DG164" s="228">
        <v>-0.06</v>
      </c>
      <c r="DH164" s="228">
        <v>28.22</v>
      </c>
      <c r="DI164" s="228">
        <v>29.69</v>
      </c>
      <c r="DJ164" s="228">
        <v>-1.47</v>
      </c>
      <c r="DK164" s="228">
        <v>-1.47</v>
      </c>
      <c r="DL164" s="228">
        <v>30.15</v>
      </c>
      <c r="DM164" s="228">
        <v>32.25</v>
      </c>
      <c r="DN164" s="228">
        <v>-2.1</v>
      </c>
      <c r="DO164" s="228">
        <v>-2.1</v>
      </c>
      <c r="DP164" s="228">
        <v>1.1200000000000001</v>
      </c>
      <c r="DQ164" s="228">
        <v>1.07</v>
      </c>
      <c r="DR164" s="228">
        <v>0.05</v>
      </c>
      <c r="DS164" s="229">
        <v>4.6699999999999998E-2</v>
      </c>
      <c r="DT164" s="228">
        <v>280</v>
      </c>
      <c r="DU164" s="228">
        <v>280</v>
      </c>
      <c r="DV164" s="228">
        <v>1.28</v>
      </c>
      <c r="DW164" s="228">
        <v>0.61</v>
      </c>
      <c r="DX164" s="228">
        <v>0.67</v>
      </c>
      <c r="DY164" s="229">
        <v>1.0984</v>
      </c>
      <c r="DZ164" s="229">
        <v>5.6899999999999999E-2</v>
      </c>
      <c r="EA164" s="230">
        <v>1729800</v>
      </c>
      <c r="EB164" s="229">
        <v>6.1000000000000004E-3</v>
      </c>
      <c r="EC164" s="229">
        <v>5.6899999999999999E-2</v>
      </c>
      <c r="ED164" s="228">
        <v>1.58</v>
      </c>
      <c r="EE164" s="229">
        <v>5.5999999999999999E-3</v>
      </c>
      <c r="EF164" s="230">
        <v>680427</v>
      </c>
      <c r="EG164" s="230">
        <v>978367</v>
      </c>
      <c r="EH164" s="229">
        <v>-0.30449999999999999</v>
      </c>
      <c r="EI164" s="229">
        <v>0.51629999999999998</v>
      </c>
      <c r="EJ164" s="231">
        <v>14685.04</v>
      </c>
      <c r="EK164" s="231">
        <v>17789.599999999999</v>
      </c>
      <c r="EL164" s="231">
        <v>9314.58</v>
      </c>
      <c r="EM164" s="228">
        <v>0</v>
      </c>
      <c r="EN164" s="231">
        <v>41789.22</v>
      </c>
      <c r="EO164" s="231">
        <v>104386.83</v>
      </c>
      <c r="EP164" s="231">
        <v>-62597.61</v>
      </c>
      <c r="EQ164" s="229">
        <v>-0.59970000000000001</v>
      </c>
      <c r="ER164" s="231">
        <v>43692</v>
      </c>
      <c r="ES164" s="231">
        <v>46740</v>
      </c>
      <c r="ET164" s="231">
        <v>111503</v>
      </c>
      <c r="EU164" s="231">
        <v>150000017</v>
      </c>
      <c r="EV164" s="231">
        <v>201934</v>
      </c>
      <c r="EW164" s="231">
        <v>202169</v>
      </c>
      <c r="EX164" s="228">
        <v>-235</v>
      </c>
      <c r="EY164" s="229">
        <v>-1.1999999999999999E-3</v>
      </c>
      <c r="EZ164" s="229">
        <v>0.47270000000000001</v>
      </c>
      <c r="FA164" s="227" t="s">
        <v>568</v>
      </c>
      <c r="FB164" s="161">
        <f t="shared" si="4"/>
        <v>0</v>
      </c>
    </row>
    <row r="165" spans="1:158" ht="17.25" thickBot="1" x14ac:dyDescent="0.3">
      <c r="A165" s="226">
        <v>45889</v>
      </c>
      <c r="B165" s="227" t="s">
        <v>175</v>
      </c>
      <c r="C165" s="227" t="s">
        <v>273</v>
      </c>
      <c r="D165" s="228">
        <v>1300</v>
      </c>
      <c r="E165" s="228">
        <v>404.2</v>
      </c>
      <c r="F165" s="228">
        <v>411.4</v>
      </c>
      <c r="G165" s="228">
        <v>-7.2</v>
      </c>
      <c r="H165" s="229">
        <v>-1.7500000000000002E-2</v>
      </c>
      <c r="I165" s="228">
        <v>403.4</v>
      </c>
      <c r="J165" s="228">
        <v>410</v>
      </c>
      <c r="K165" s="228">
        <v>-6.6</v>
      </c>
      <c r="L165" s="229">
        <v>-1.61E-2</v>
      </c>
      <c r="M165" s="228">
        <v>404.2</v>
      </c>
      <c r="N165" s="228">
        <v>411.4</v>
      </c>
      <c r="O165" s="228">
        <v>-7.2</v>
      </c>
      <c r="P165" s="229">
        <v>-1.7500000000000002E-2</v>
      </c>
      <c r="Q165" s="228">
        <v>406.6</v>
      </c>
      <c r="R165" s="228">
        <v>413.55</v>
      </c>
      <c r="S165" s="228">
        <v>-6.95</v>
      </c>
      <c r="T165" s="229">
        <v>-1.6799999999999999E-2</v>
      </c>
      <c r="U165" s="228">
        <v>408.8</v>
      </c>
      <c r="V165" s="228">
        <v>415.55</v>
      </c>
      <c r="W165" s="228">
        <v>-6.75</v>
      </c>
      <c r="X165" s="229">
        <v>-1.6199999999999999E-2</v>
      </c>
      <c r="Y165" s="228">
        <v>0.8</v>
      </c>
      <c r="Z165" s="228">
        <v>1.4</v>
      </c>
      <c r="AA165" s="228">
        <v>-0.6</v>
      </c>
      <c r="AB165" s="229">
        <v>2E-3</v>
      </c>
      <c r="AC165" s="228">
        <v>0.8</v>
      </c>
      <c r="AD165" s="228">
        <v>1.4</v>
      </c>
      <c r="AE165" s="228">
        <v>-0.6</v>
      </c>
      <c r="AF165" s="229">
        <v>2E-3</v>
      </c>
      <c r="AG165" s="228">
        <v>3.2</v>
      </c>
      <c r="AH165" s="228">
        <v>3.55</v>
      </c>
      <c r="AI165" s="228">
        <v>-0.35</v>
      </c>
      <c r="AJ165" s="229">
        <v>7.9000000000000008E-3</v>
      </c>
      <c r="AK165" s="228">
        <v>5.4</v>
      </c>
      <c r="AL165" s="228">
        <v>5.55</v>
      </c>
      <c r="AM165" s="228">
        <v>-0.15</v>
      </c>
      <c r="AN165" s="229">
        <v>1.34E-2</v>
      </c>
      <c r="AO165" s="228">
        <v>406.77</v>
      </c>
      <c r="AP165" s="228">
        <v>409.16</v>
      </c>
      <c r="AQ165" s="228">
        <v>0</v>
      </c>
      <c r="AR165" s="230">
        <v>14586000</v>
      </c>
      <c r="AS165" s="230">
        <v>7386600</v>
      </c>
      <c r="AT165" s="230">
        <v>7199400</v>
      </c>
      <c r="AU165" s="229">
        <v>0.97470000000000001</v>
      </c>
      <c r="AV165" s="230">
        <v>10647000</v>
      </c>
      <c r="AW165" s="230">
        <v>5795400</v>
      </c>
      <c r="AX165" s="230">
        <v>4851600</v>
      </c>
      <c r="AY165" s="229">
        <v>0.83709999999999996</v>
      </c>
      <c r="AZ165" s="230">
        <v>3686800</v>
      </c>
      <c r="BA165" s="230">
        <v>1491100</v>
      </c>
      <c r="BB165" s="230">
        <v>2195700</v>
      </c>
      <c r="BC165" s="229">
        <v>1.4724999999999999</v>
      </c>
      <c r="BD165" s="230">
        <v>252200</v>
      </c>
      <c r="BE165" s="230">
        <v>100100</v>
      </c>
      <c r="BF165" s="230">
        <v>152100</v>
      </c>
      <c r="BG165" s="229">
        <v>1.5195000000000001</v>
      </c>
      <c r="BH165" s="230">
        <v>32224400</v>
      </c>
      <c r="BI165" s="230">
        <v>24173500</v>
      </c>
      <c r="BJ165" s="230">
        <v>8050900</v>
      </c>
      <c r="BK165" s="229">
        <v>0.33300000000000002</v>
      </c>
      <c r="BL165" s="230">
        <v>17834700</v>
      </c>
      <c r="BM165" s="230">
        <v>12116000</v>
      </c>
      <c r="BN165" s="230">
        <v>5718700</v>
      </c>
      <c r="BO165" s="229">
        <v>0.47199999999999998</v>
      </c>
      <c r="BP165" s="230">
        <v>64645100</v>
      </c>
      <c r="BQ165" s="230">
        <v>43676100</v>
      </c>
      <c r="BR165" s="230">
        <v>20969000</v>
      </c>
      <c r="BS165" s="229">
        <v>0.48010000000000003</v>
      </c>
      <c r="BT165" s="230">
        <v>7775517</v>
      </c>
      <c r="BU165" s="230">
        <v>5435846</v>
      </c>
      <c r="BV165" s="230">
        <v>2339671</v>
      </c>
      <c r="BW165" s="229">
        <v>0.4304</v>
      </c>
      <c r="BX165" s="230">
        <v>55283800</v>
      </c>
      <c r="BY165" s="230">
        <v>55770000</v>
      </c>
      <c r="BZ165" s="230">
        <v>-486200</v>
      </c>
      <c r="CA165" s="229">
        <v>-8.6999999999999994E-3</v>
      </c>
      <c r="CB165" s="230">
        <v>44749900</v>
      </c>
      <c r="CC165" s="230">
        <v>45895200</v>
      </c>
      <c r="CD165" s="230">
        <v>-1145300</v>
      </c>
      <c r="CE165" s="229">
        <v>-2.5000000000000001E-2</v>
      </c>
      <c r="CF165" s="230">
        <v>10091900</v>
      </c>
      <c r="CG165" s="230">
        <v>9623900</v>
      </c>
      <c r="CH165" s="230">
        <v>468000</v>
      </c>
      <c r="CI165" s="229">
        <v>4.8599999999999997E-2</v>
      </c>
      <c r="CJ165" s="230">
        <v>442000</v>
      </c>
      <c r="CK165" s="230">
        <v>250900</v>
      </c>
      <c r="CL165" s="230">
        <v>191100</v>
      </c>
      <c r="CM165" s="229">
        <v>0.76170000000000004</v>
      </c>
      <c r="CN165" s="230">
        <v>26302900</v>
      </c>
      <c r="CO165" s="230">
        <v>21323900</v>
      </c>
      <c r="CP165" s="230">
        <v>4979000</v>
      </c>
      <c r="CQ165" s="229">
        <v>0.23350000000000001</v>
      </c>
      <c r="CR165" s="230">
        <v>20771400</v>
      </c>
      <c r="CS165" s="230">
        <v>18697900</v>
      </c>
      <c r="CT165" s="230">
        <v>2073500</v>
      </c>
      <c r="CU165" s="229">
        <v>0.1109</v>
      </c>
      <c r="CV165" s="230">
        <v>102358100</v>
      </c>
      <c r="CW165" s="230">
        <v>95791800</v>
      </c>
      <c r="CX165" s="230">
        <v>6566300</v>
      </c>
      <c r="CY165" s="229">
        <v>6.8500000000000005E-2</v>
      </c>
      <c r="CZ165" s="228">
        <v>29.6</v>
      </c>
      <c r="DA165" s="228">
        <v>27.35</v>
      </c>
      <c r="DB165" s="228">
        <v>2.25</v>
      </c>
      <c r="DC165" s="228">
        <v>2.25</v>
      </c>
      <c r="DD165" s="228">
        <v>47.9</v>
      </c>
      <c r="DE165" s="228">
        <v>47.96</v>
      </c>
      <c r="DF165" s="228">
        <v>-18.3</v>
      </c>
      <c r="DG165" s="228">
        <v>-0.06</v>
      </c>
      <c r="DH165" s="228">
        <v>30.2</v>
      </c>
      <c r="DI165" s="228">
        <v>27.36</v>
      </c>
      <c r="DJ165" s="228">
        <v>2.84</v>
      </c>
      <c r="DK165" s="228">
        <v>2.84</v>
      </c>
      <c r="DL165" s="228">
        <v>28.51</v>
      </c>
      <c r="DM165" s="228">
        <v>27.34</v>
      </c>
      <c r="DN165" s="228">
        <v>1.17</v>
      </c>
      <c r="DO165" s="228">
        <v>1.17</v>
      </c>
      <c r="DP165" s="228">
        <v>0.79</v>
      </c>
      <c r="DQ165" s="228">
        <v>0.88</v>
      </c>
      <c r="DR165" s="228">
        <v>-0.09</v>
      </c>
      <c r="DS165" s="229">
        <v>-0.1023</v>
      </c>
      <c r="DT165" s="228">
        <v>410</v>
      </c>
      <c r="DU165" s="228">
        <v>410</v>
      </c>
      <c r="DV165" s="228">
        <v>0.55000000000000004</v>
      </c>
      <c r="DW165" s="228">
        <v>0.5</v>
      </c>
      <c r="DX165" s="228">
        <v>0.05</v>
      </c>
      <c r="DY165" s="229">
        <v>0.1</v>
      </c>
      <c r="DZ165" s="229">
        <v>0.1905</v>
      </c>
      <c r="EA165" s="230">
        <v>9874800</v>
      </c>
      <c r="EB165" s="229">
        <v>5.8999999999999999E-3</v>
      </c>
      <c r="EC165" s="229">
        <v>0.1905</v>
      </c>
      <c r="ED165" s="228">
        <v>2.39</v>
      </c>
      <c r="EE165" s="229">
        <v>5.8999999999999999E-3</v>
      </c>
      <c r="EF165" s="230">
        <v>4479173</v>
      </c>
      <c r="EG165" s="230">
        <v>2856137</v>
      </c>
      <c r="EH165" s="229">
        <v>0.56830000000000003</v>
      </c>
      <c r="EI165" s="229">
        <v>0.57609999999999995</v>
      </c>
      <c r="EJ165" s="231">
        <v>135874.19</v>
      </c>
      <c r="EK165" s="231">
        <v>73051.02</v>
      </c>
      <c r="EL165" s="231">
        <v>59429.59</v>
      </c>
      <c r="EM165" s="228">
        <v>0</v>
      </c>
      <c r="EN165" s="231">
        <v>268354.8</v>
      </c>
      <c r="EO165" s="231">
        <v>182889.38</v>
      </c>
      <c r="EP165" s="231">
        <v>85465.42</v>
      </c>
      <c r="EQ165" s="229">
        <v>0.46729999999999999</v>
      </c>
      <c r="ER165" s="231">
        <v>111743</v>
      </c>
      <c r="ES165" s="231">
        <v>84458</v>
      </c>
      <c r="ET165" s="231">
        <v>223720</v>
      </c>
      <c r="EU165" s="231">
        <v>290447407</v>
      </c>
      <c r="EV165" s="231">
        <v>419920</v>
      </c>
      <c r="EW165" s="231">
        <v>397211</v>
      </c>
      <c r="EX165" s="231">
        <v>22709</v>
      </c>
      <c r="EY165" s="229">
        <v>5.7200000000000001E-2</v>
      </c>
      <c r="EZ165" s="229">
        <v>0.35239999999999999</v>
      </c>
      <c r="FA165" s="227" t="s">
        <v>568</v>
      </c>
      <c r="FB165" s="161">
        <f t="shared" si="4"/>
        <v>0</v>
      </c>
    </row>
    <row r="166" spans="1:158" ht="17.25" thickBot="1" x14ac:dyDescent="0.3">
      <c r="A166" s="226">
        <v>45889</v>
      </c>
      <c r="B166" s="227" t="s">
        <v>184</v>
      </c>
      <c r="C166" s="227" t="s">
        <v>682</v>
      </c>
      <c r="D166" s="228">
        <v>700</v>
      </c>
      <c r="E166" s="228">
        <v>536.70000000000005</v>
      </c>
      <c r="F166" s="228">
        <v>542.04999999999995</v>
      </c>
      <c r="G166" s="228">
        <v>-5.35</v>
      </c>
      <c r="H166" s="229">
        <v>-9.9000000000000008E-3</v>
      </c>
      <c r="I166" s="228">
        <v>536.6</v>
      </c>
      <c r="J166" s="228">
        <v>540.29999999999995</v>
      </c>
      <c r="K166" s="228">
        <v>-3.7</v>
      </c>
      <c r="L166" s="229">
        <v>-6.7999999999999996E-3</v>
      </c>
      <c r="M166" s="228">
        <v>536.70000000000005</v>
      </c>
      <c r="N166" s="228">
        <v>542.04999999999995</v>
      </c>
      <c r="O166" s="228">
        <v>-5.35</v>
      </c>
      <c r="P166" s="229">
        <v>-9.9000000000000008E-3</v>
      </c>
      <c r="Q166" s="228">
        <v>539.54999999999995</v>
      </c>
      <c r="R166" s="228">
        <v>544.1</v>
      </c>
      <c r="S166" s="228">
        <v>-4.55</v>
      </c>
      <c r="T166" s="229">
        <v>-8.3999999999999995E-3</v>
      </c>
      <c r="U166" s="228">
        <v>542.54999999999995</v>
      </c>
      <c r="V166" s="228">
        <v>542.35</v>
      </c>
      <c r="W166" s="228">
        <v>0.2</v>
      </c>
      <c r="X166" s="229">
        <v>4.0000000000000002E-4</v>
      </c>
      <c r="Y166" s="228">
        <v>0.1</v>
      </c>
      <c r="Z166" s="228">
        <v>1.75</v>
      </c>
      <c r="AA166" s="228">
        <v>-1.65</v>
      </c>
      <c r="AB166" s="229">
        <v>2.0000000000000001E-4</v>
      </c>
      <c r="AC166" s="228">
        <v>0.1</v>
      </c>
      <c r="AD166" s="228">
        <v>1.75</v>
      </c>
      <c r="AE166" s="228">
        <v>-1.65</v>
      </c>
      <c r="AF166" s="229">
        <v>2.0000000000000001E-4</v>
      </c>
      <c r="AG166" s="228">
        <v>2.95</v>
      </c>
      <c r="AH166" s="228">
        <v>3.8</v>
      </c>
      <c r="AI166" s="228">
        <v>-0.85</v>
      </c>
      <c r="AJ166" s="229">
        <v>5.4999999999999997E-3</v>
      </c>
      <c r="AK166" s="228">
        <v>5.95</v>
      </c>
      <c r="AL166" s="228">
        <v>2.0499999999999998</v>
      </c>
      <c r="AM166" s="228">
        <v>3.9</v>
      </c>
      <c r="AN166" s="229">
        <v>1.11E-2</v>
      </c>
      <c r="AO166" s="228">
        <v>553.01</v>
      </c>
      <c r="AP166" s="228">
        <v>553.11</v>
      </c>
      <c r="AQ166" s="228">
        <v>0</v>
      </c>
      <c r="AR166" s="230">
        <v>17905300</v>
      </c>
      <c r="AS166" s="230">
        <v>713300</v>
      </c>
      <c r="AT166" s="230">
        <v>17192000</v>
      </c>
      <c r="AU166" s="229">
        <v>24.1021</v>
      </c>
      <c r="AV166" s="230">
        <v>14170800</v>
      </c>
      <c r="AW166" s="230">
        <v>632800</v>
      </c>
      <c r="AX166" s="230">
        <v>13538000</v>
      </c>
      <c r="AY166" s="229">
        <v>21.393799999999999</v>
      </c>
      <c r="AZ166" s="230">
        <v>3616900</v>
      </c>
      <c r="BA166" s="230">
        <v>77000</v>
      </c>
      <c r="BB166" s="230">
        <v>3539900</v>
      </c>
      <c r="BC166" s="229">
        <v>45.972700000000003</v>
      </c>
      <c r="BD166" s="230">
        <v>117600</v>
      </c>
      <c r="BE166" s="230">
        <v>3500</v>
      </c>
      <c r="BF166" s="230">
        <v>114100</v>
      </c>
      <c r="BG166" s="229">
        <v>32.6</v>
      </c>
      <c r="BH166" s="230">
        <v>82518800</v>
      </c>
      <c r="BI166" s="230">
        <v>1154300</v>
      </c>
      <c r="BJ166" s="230">
        <v>81364500</v>
      </c>
      <c r="BK166" s="229">
        <v>70.488200000000006</v>
      </c>
      <c r="BL166" s="230">
        <v>33657400</v>
      </c>
      <c r="BM166" s="230">
        <v>475300</v>
      </c>
      <c r="BN166" s="230">
        <v>33182100</v>
      </c>
      <c r="BO166" s="229">
        <v>69.813000000000002</v>
      </c>
      <c r="BP166" s="230">
        <v>134081500</v>
      </c>
      <c r="BQ166" s="230">
        <v>2342900</v>
      </c>
      <c r="BR166" s="230">
        <v>131738600</v>
      </c>
      <c r="BS166" s="229">
        <v>56.228900000000003</v>
      </c>
      <c r="BT166" s="230">
        <v>18010269</v>
      </c>
      <c r="BU166" s="230">
        <v>6707009</v>
      </c>
      <c r="BV166" s="230">
        <v>11303260</v>
      </c>
      <c r="BW166" s="229">
        <v>1.6853</v>
      </c>
      <c r="BX166" s="230">
        <v>13855800</v>
      </c>
      <c r="BY166" s="230">
        <v>11992400</v>
      </c>
      <c r="BZ166" s="230">
        <v>1863400</v>
      </c>
      <c r="CA166" s="229">
        <v>0.15540000000000001</v>
      </c>
      <c r="CB166" s="230">
        <v>10037300</v>
      </c>
      <c r="CC166" s="230">
        <v>9266600</v>
      </c>
      <c r="CD166" s="230">
        <v>770700</v>
      </c>
      <c r="CE166" s="229">
        <v>8.3199999999999996E-2</v>
      </c>
      <c r="CF166" s="230">
        <v>3591000</v>
      </c>
      <c r="CG166" s="230">
        <v>2545900</v>
      </c>
      <c r="CH166" s="230">
        <v>1045100</v>
      </c>
      <c r="CI166" s="229">
        <v>0.41049999999999998</v>
      </c>
      <c r="CJ166" s="230">
        <v>227500</v>
      </c>
      <c r="CK166" s="230">
        <v>179900</v>
      </c>
      <c r="CL166" s="230">
        <v>47600</v>
      </c>
      <c r="CM166" s="229">
        <v>0.2646</v>
      </c>
      <c r="CN166" s="230">
        <v>14520800</v>
      </c>
      <c r="CO166" s="230">
        <v>8893500</v>
      </c>
      <c r="CP166" s="230">
        <v>5627300</v>
      </c>
      <c r="CQ166" s="229">
        <v>0.63270000000000004</v>
      </c>
      <c r="CR166" s="230">
        <v>6678000</v>
      </c>
      <c r="CS166" s="230">
        <v>4055800</v>
      </c>
      <c r="CT166" s="230">
        <v>2622200</v>
      </c>
      <c r="CU166" s="229">
        <v>0.64649999999999996</v>
      </c>
      <c r="CV166" s="230">
        <v>35054600</v>
      </c>
      <c r="CW166" s="230">
        <v>24941700</v>
      </c>
      <c r="CX166" s="230">
        <v>10112900</v>
      </c>
      <c r="CY166" s="229">
        <v>0.40550000000000003</v>
      </c>
      <c r="CZ166" s="228">
        <v>62.29</v>
      </c>
      <c r="DA166" s="228">
        <v>61.9</v>
      </c>
      <c r="DB166" s="228">
        <v>0.39</v>
      </c>
      <c r="DC166" s="228">
        <v>0.39</v>
      </c>
      <c r="DD166" s="228">
        <v>73.930000000000007</v>
      </c>
      <c r="DE166" s="228">
        <v>74.11</v>
      </c>
      <c r="DF166" s="228">
        <v>-11.64</v>
      </c>
      <c r="DG166" s="228">
        <v>-0.18</v>
      </c>
      <c r="DH166" s="228">
        <v>62.91</v>
      </c>
      <c r="DI166" s="228">
        <v>60.07</v>
      </c>
      <c r="DJ166" s="228">
        <v>2.84</v>
      </c>
      <c r="DK166" s="228">
        <v>2.84</v>
      </c>
      <c r="DL166" s="228">
        <v>60.76</v>
      </c>
      <c r="DM166" s="228">
        <v>66.349999999999994</v>
      </c>
      <c r="DN166" s="228">
        <v>-5.59</v>
      </c>
      <c r="DO166" s="228">
        <v>-5.59</v>
      </c>
      <c r="DP166" s="228">
        <v>0.46</v>
      </c>
      <c r="DQ166" s="228">
        <v>0.46</v>
      </c>
      <c r="DR166" s="228">
        <v>0</v>
      </c>
      <c r="DS166" s="229">
        <v>0</v>
      </c>
      <c r="DT166" s="228">
        <v>600</v>
      </c>
      <c r="DU166" s="228">
        <v>540</v>
      </c>
      <c r="DV166" s="228">
        <v>0.41</v>
      </c>
      <c r="DW166" s="228">
        <v>0.41</v>
      </c>
      <c r="DX166" s="228">
        <v>0</v>
      </c>
      <c r="DY166" s="229">
        <v>0</v>
      </c>
      <c r="DZ166" s="229">
        <v>0.27560000000000001</v>
      </c>
      <c r="EA166" s="230">
        <v>2725800</v>
      </c>
      <c r="EB166" s="229">
        <v>5.3E-3</v>
      </c>
      <c r="EC166" s="229">
        <v>0.27560000000000001</v>
      </c>
      <c r="ED166" s="228">
        <v>0.1</v>
      </c>
      <c r="EE166" s="229">
        <v>2.0000000000000001E-4</v>
      </c>
      <c r="EF166" s="230">
        <v>4045591</v>
      </c>
      <c r="EG166" s="230">
        <v>2150806</v>
      </c>
      <c r="EH166" s="229">
        <v>0.88100000000000001</v>
      </c>
      <c r="EI166" s="229">
        <v>0.22459999999999999</v>
      </c>
      <c r="EJ166" s="231">
        <v>495213.78</v>
      </c>
      <c r="EK166" s="231">
        <v>182772.18</v>
      </c>
      <c r="EL166" s="231">
        <v>99024.72</v>
      </c>
      <c r="EM166" s="228">
        <v>0</v>
      </c>
      <c r="EN166" s="231">
        <v>777010.68</v>
      </c>
      <c r="EO166" s="231">
        <v>13364.21</v>
      </c>
      <c r="EP166" s="231">
        <v>763646.47</v>
      </c>
      <c r="EQ166" s="229">
        <v>57.141199999999998</v>
      </c>
      <c r="ER166" s="231">
        <v>91409</v>
      </c>
      <c r="ES166" s="231">
        <v>37229</v>
      </c>
      <c r="ET166" s="231">
        <v>74480</v>
      </c>
      <c r="EU166" s="231">
        <v>31863579</v>
      </c>
      <c r="EV166" s="231">
        <v>203118</v>
      </c>
      <c r="EW166" s="231">
        <v>147578</v>
      </c>
      <c r="EX166" s="231">
        <v>55540</v>
      </c>
      <c r="EY166" s="229">
        <v>0.37630000000000002</v>
      </c>
      <c r="EZ166" s="229">
        <v>1.1001000000000001</v>
      </c>
      <c r="FA166" s="227" t="s">
        <v>567</v>
      </c>
      <c r="FB166" s="161">
        <f t="shared" si="4"/>
        <v>0</v>
      </c>
    </row>
    <row r="167" spans="1:158" ht="17.25" thickBot="1" x14ac:dyDescent="0.3">
      <c r="A167" s="226">
        <v>45889</v>
      </c>
      <c r="B167" s="227" t="s">
        <v>206</v>
      </c>
      <c r="C167" s="227" t="s">
        <v>646</v>
      </c>
      <c r="D167" s="228">
        <v>350</v>
      </c>
      <c r="E167" s="231">
        <v>1563.5</v>
      </c>
      <c r="F167" s="231">
        <v>1505.2</v>
      </c>
      <c r="G167" s="228">
        <v>58.3</v>
      </c>
      <c r="H167" s="229">
        <v>3.8699999999999998E-2</v>
      </c>
      <c r="I167" s="231">
        <v>1563.5</v>
      </c>
      <c r="J167" s="231">
        <v>1503.3</v>
      </c>
      <c r="K167" s="228">
        <v>60.2</v>
      </c>
      <c r="L167" s="229">
        <v>0.04</v>
      </c>
      <c r="M167" s="231">
        <v>1563.5</v>
      </c>
      <c r="N167" s="231">
        <v>1505.2</v>
      </c>
      <c r="O167" s="228">
        <v>58.3</v>
      </c>
      <c r="P167" s="229">
        <v>3.8699999999999998E-2</v>
      </c>
      <c r="Q167" s="231">
        <v>1568.9</v>
      </c>
      <c r="R167" s="231">
        <v>1512.5</v>
      </c>
      <c r="S167" s="228">
        <v>56.4</v>
      </c>
      <c r="T167" s="229">
        <v>3.73E-2</v>
      </c>
      <c r="U167" s="231">
        <v>1561</v>
      </c>
      <c r="V167" s="231">
        <v>1520</v>
      </c>
      <c r="W167" s="228">
        <v>41</v>
      </c>
      <c r="X167" s="229">
        <v>2.7E-2</v>
      </c>
      <c r="Y167" s="228">
        <v>0</v>
      </c>
      <c r="Z167" s="228">
        <v>1.9</v>
      </c>
      <c r="AA167" s="228">
        <v>-1.9</v>
      </c>
      <c r="AB167" s="229">
        <v>0</v>
      </c>
      <c r="AC167" s="228">
        <v>0</v>
      </c>
      <c r="AD167" s="228">
        <v>1.9</v>
      </c>
      <c r="AE167" s="228">
        <v>-1.9</v>
      </c>
      <c r="AF167" s="229">
        <v>0</v>
      </c>
      <c r="AG167" s="228">
        <v>5.4</v>
      </c>
      <c r="AH167" s="228">
        <v>9.1999999999999993</v>
      </c>
      <c r="AI167" s="228">
        <v>-3.8</v>
      </c>
      <c r="AJ167" s="229">
        <v>3.5000000000000001E-3</v>
      </c>
      <c r="AK167" s="228">
        <v>-2.5</v>
      </c>
      <c r="AL167" s="228">
        <v>16.7</v>
      </c>
      <c r="AM167" s="228">
        <v>-19.2</v>
      </c>
      <c r="AN167" s="229">
        <v>-1.6000000000000001E-3</v>
      </c>
      <c r="AO167" s="231">
        <v>1545.75</v>
      </c>
      <c r="AP167" s="231">
        <v>1542.85</v>
      </c>
      <c r="AQ167" s="228">
        <v>0</v>
      </c>
      <c r="AR167" s="230">
        <v>1568000</v>
      </c>
      <c r="AS167" s="230">
        <v>593600</v>
      </c>
      <c r="AT167" s="230">
        <v>974400</v>
      </c>
      <c r="AU167" s="229">
        <v>1.6415</v>
      </c>
      <c r="AV167" s="230">
        <v>1285900</v>
      </c>
      <c r="AW167" s="230">
        <v>515900</v>
      </c>
      <c r="AX167" s="230">
        <v>770000</v>
      </c>
      <c r="AY167" s="229">
        <v>1.4924999999999999</v>
      </c>
      <c r="AZ167" s="230">
        <v>277200</v>
      </c>
      <c r="BA167" s="230">
        <v>76300</v>
      </c>
      <c r="BB167" s="230">
        <v>200900</v>
      </c>
      <c r="BC167" s="229">
        <v>2.633</v>
      </c>
      <c r="BD167" s="230">
        <v>4900</v>
      </c>
      <c r="BE167" s="230">
        <v>1400</v>
      </c>
      <c r="BF167" s="230">
        <v>3500</v>
      </c>
      <c r="BG167" s="229">
        <v>2.5</v>
      </c>
      <c r="BH167" s="230">
        <v>4840850</v>
      </c>
      <c r="BI167" s="230">
        <v>1079400</v>
      </c>
      <c r="BJ167" s="230">
        <v>3761450</v>
      </c>
      <c r="BK167" s="229">
        <v>3.4847999999999999</v>
      </c>
      <c r="BL167" s="230">
        <v>1514800</v>
      </c>
      <c r="BM167" s="230">
        <v>457100</v>
      </c>
      <c r="BN167" s="230">
        <v>1057700</v>
      </c>
      <c r="BO167" s="229">
        <v>2.3138999999999998</v>
      </c>
      <c r="BP167" s="230">
        <v>7923650</v>
      </c>
      <c r="BQ167" s="230">
        <v>2130100</v>
      </c>
      <c r="BR167" s="230">
        <v>5793550</v>
      </c>
      <c r="BS167" s="229">
        <v>2.7198000000000002</v>
      </c>
      <c r="BT167" s="230">
        <v>1099865</v>
      </c>
      <c r="BU167" s="230">
        <v>660822</v>
      </c>
      <c r="BV167" s="230">
        <v>439043</v>
      </c>
      <c r="BW167" s="229">
        <v>0.66439999999999999</v>
      </c>
      <c r="BX167" s="230">
        <v>4403000</v>
      </c>
      <c r="BY167" s="230">
        <v>4419800</v>
      </c>
      <c r="BZ167" s="230">
        <v>-16800</v>
      </c>
      <c r="CA167" s="229">
        <v>-3.8E-3</v>
      </c>
      <c r="CB167" s="230">
        <v>4173400</v>
      </c>
      <c r="CC167" s="230">
        <v>4310600</v>
      </c>
      <c r="CD167" s="230">
        <v>-137200</v>
      </c>
      <c r="CE167" s="229">
        <v>-3.1800000000000002E-2</v>
      </c>
      <c r="CF167" s="230">
        <v>226800</v>
      </c>
      <c r="CG167" s="230">
        <v>106750</v>
      </c>
      <c r="CH167" s="230">
        <v>120050</v>
      </c>
      <c r="CI167" s="229">
        <v>1.1246</v>
      </c>
      <c r="CJ167" s="230">
        <v>2800</v>
      </c>
      <c r="CK167" s="230">
        <v>2450</v>
      </c>
      <c r="CL167" s="228">
        <v>350</v>
      </c>
      <c r="CM167" s="229">
        <v>0.1429</v>
      </c>
      <c r="CN167" s="230">
        <v>884800</v>
      </c>
      <c r="CO167" s="230">
        <v>824600</v>
      </c>
      <c r="CP167" s="230">
        <v>60200</v>
      </c>
      <c r="CQ167" s="229">
        <v>7.2999999999999995E-2</v>
      </c>
      <c r="CR167" s="230">
        <v>570850</v>
      </c>
      <c r="CS167" s="230">
        <v>469000</v>
      </c>
      <c r="CT167" s="230">
        <v>101850</v>
      </c>
      <c r="CU167" s="229">
        <v>0.2172</v>
      </c>
      <c r="CV167" s="230">
        <v>5858650</v>
      </c>
      <c r="CW167" s="230">
        <v>5713400</v>
      </c>
      <c r="CX167" s="230">
        <v>145250</v>
      </c>
      <c r="CY167" s="229">
        <v>2.5399999999999999E-2</v>
      </c>
      <c r="CZ167" s="228">
        <v>29.61</v>
      </c>
      <c r="DA167" s="228">
        <v>30.57</v>
      </c>
      <c r="DB167" s="228">
        <v>-0.96</v>
      </c>
      <c r="DC167" s="228">
        <v>-0.96</v>
      </c>
      <c r="DD167" s="228">
        <v>47.31</v>
      </c>
      <c r="DE167" s="228">
        <v>47.15</v>
      </c>
      <c r="DF167" s="228">
        <v>-17.7</v>
      </c>
      <c r="DG167" s="228">
        <v>0.16</v>
      </c>
      <c r="DH167" s="228">
        <v>28.74</v>
      </c>
      <c r="DI167" s="228">
        <v>29.19</v>
      </c>
      <c r="DJ167" s="228">
        <v>-0.45</v>
      </c>
      <c r="DK167" s="228">
        <v>-0.45</v>
      </c>
      <c r="DL167" s="228">
        <v>32.4</v>
      </c>
      <c r="DM167" s="228">
        <v>33.840000000000003</v>
      </c>
      <c r="DN167" s="228">
        <v>-1.44</v>
      </c>
      <c r="DO167" s="228">
        <v>-1.44</v>
      </c>
      <c r="DP167" s="228">
        <v>0.65</v>
      </c>
      <c r="DQ167" s="228">
        <v>0.56999999999999995</v>
      </c>
      <c r="DR167" s="228">
        <v>0.08</v>
      </c>
      <c r="DS167" s="229">
        <v>0.1404</v>
      </c>
      <c r="DT167" s="231">
        <v>1560</v>
      </c>
      <c r="DU167" s="231">
        <v>1500</v>
      </c>
      <c r="DV167" s="228">
        <v>0.31</v>
      </c>
      <c r="DW167" s="228">
        <v>0.42</v>
      </c>
      <c r="DX167" s="228">
        <v>-0.11</v>
      </c>
      <c r="DY167" s="229">
        <v>-0.26190000000000002</v>
      </c>
      <c r="DZ167" s="229">
        <v>5.21E-2</v>
      </c>
      <c r="EA167" s="230">
        <v>109200</v>
      </c>
      <c r="EB167" s="229">
        <v>3.5000000000000001E-3</v>
      </c>
      <c r="EC167" s="229">
        <v>5.21E-2</v>
      </c>
      <c r="ED167" s="228">
        <v>-2.9</v>
      </c>
      <c r="EE167" s="229">
        <v>-1.9E-3</v>
      </c>
      <c r="EF167" s="230">
        <v>583353</v>
      </c>
      <c r="EG167" s="230">
        <v>425164</v>
      </c>
      <c r="EH167" s="229">
        <v>0.37209999999999999</v>
      </c>
      <c r="EI167" s="229">
        <v>0.53039999999999998</v>
      </c>
      <c r="EJ167" s="231">
        <v>76869.58</v>
      </c>
      <c r="EK167" s="231">
        <v>22399.200000000001</v>
      </c>
      <c r="EL167" s="231">
        <v>24229.15</v>
      </c>
      <c r="EM167" s="228">
        <v>0</v>
      </c>
      <c r="EN167" s="231">
        <v>123497.93</v>
      </c>
      <c r="EO167" s="231">
        <v>32302.78</v>
      </c>
      <c r="EP167" s="231">
        <v>91195.15</v>
      </c>
      <c r="EQ167" s="229">
        <v>2.8231000000000002</v>
      </c>
      <c r="ER167" s="231">
        <v>13875</v>
      </c>
      <c r="ES167" s="231">
        <v>8175</v>
      </c>
      <c r="ET167" s="231">
        <v>68853</v>
      </c>
      <c r="EU167" s="231">
        <v>37710874</v>
      </c>
      <c r="EV167" s="231">
        <v>90904</v>
      </c>
      <c r="EW167" s="231">
        <v>85937</v>
      </c>
      <c r="EX167" s="231">
        <v>4967</v>
      </c>
      <c r="EY167" s="229">
        <v>5.7799999999999997E-2</v>
      </c>
      <c r="EZ167" s="229">
        <v>0.15540000000000001</v>
      </c>
      <c r="FA167" s="227" t="s">
        <v>556</v>
      </c>
      <c r="FB167" s="161">
        <f t="shared" si="4"/>
        <v>0</v>
      </c>
    </row>
    <row r="168" spans="1:158" ht="17.25" thickBot="1" x14ac:dyDescent="0.3">
      <c r="A168" s="226">
        <v>45889</v>
      </c>
      <c r="B168" s="227" t="s">
        <v>168</v>
      </c>
      <c r="C168" s="227" t="s">
        <v>274</v>
      </c>
      <c r="D168" s="228">
        <v>250</v>
      </c>
      <c r="E168" s="231">
        <v>3090.4</v>
      </c>
      <c r="F168" s="231">
        <v>3101.7</v>
      </c>
      <c r="G168" s="228">
        <v>-11.3</v>
      </c>
      <c r="H168" s="229">
        <v>-3.5999999999999999E-3</v>
      </c>
      <c r="I168" s="231">
        <v>3084.6</v>
      </c>
      <c r="J168" s="231">
        <v>3095.2</v>
      </c>
      <c r="K168" s="228">
        <v>-10.6</v>
      </c>
      <c r="L168" s="229">
        <v>-3.3999999999999998E-3</v>
      </c>
      <c r="M168" s="231">
        <v>3090.4</v>
      </c>
      <c r="N168" s="231">
        <v>3101.7</v>
      </c>
      <c r="O168" s="228">
        <v>-11.3</v>
      </c>
      <c r="P168" s="229">
        <v>-3.5999999999999999E-3</v>
      </c>
      <c r="Q168" s="231">
        <v>3110.3</v>
      </c>
      <c r="R168" s="231">
        <v>3120.6</v>
      </c>
      <c r="S168" s="228">
        <v>-10.3</v>
      </c>
      <c r="T168" s="229">
        <v>-3.3E-3</v>
      </c>
      <c r="U168" s="231">
        <v>3126</v>
      </c>
      <c r="V168" s="231">
        <v>3135</v>
      </c>
      <c r="W168" s="228">
        <v>-9</v>
      </c>
      <c r="X168" s="229">
        <v>-2.8999999999999998E-3</v>
      </c>
      <c r="Y168" s="228">
        <v>5.8</v>
      </c>
      <c r="Z168" s="228">
        <v>6.5</v>
      </c>
      <c r="AA168" s="228">
        <v>-0.7</v>
      </c>
      <c r="AB168" s="229">
        <v>1.9E-3</v>
      </c>
      <c r="AC168" s="228">
        <v>5.8</v>
      </c>
      <c r="AD168" s="228">
        <v>6.5</v>
      </c>
      <c r="AE168" s="228">
        <v>-0.7</v>
      </c>
      <c r="AF168" s="229">
        <v>1.9E-3</v>
      </c>
      <c r="AG168" s="228">
        <v>25.7</v>
      </c>
      <c r="AH168" s="228">
        <v>25.4</v>
      </c>
      <c r="AI168" s="228">
        <v>0.3</v>
      </c>
      <c r="AJ168" s="229">
        <v>8.3000000000000001E-3</v>
      </c>
      <c r="AK168" s="228">
        <v>41.4</v>
      </c>
      <c r="AL168" s="228">
        <v>39.799999999999997</v>
      </c>
      <c r="AM168" s="228">
        <v>1.6</v>
      </c>
      <c r="AN168" s="229">
        <v>1.34E-2</v>
      </c>
      <c r="AO168" s="231">
        <v>3098</v>
      </c>
      <c r="AP168" s="231">
        <v>3116.47</v>
      </c>
      <c r="AQ168" s="228">
        <v>0</v>
      </c>
      <c r="AR168" s="230">
        <v>253250</v>
      </c>
      <c r="AS168" s="230">
        <v>396500</v>
      </c>
      <c r="AT168" s="230">
        <v>-143250</v>
      </c>
      <c r="AU168" s="229">
        <v>-0.36130000000000001</v>
      </c>
      <c r="AV168" s="230">
        <v>223250</v>
      </c>
      <c r="AW168" s="230">
        <v>366250</v>
      </c>
      <c r="AX168" s="230">
        <v>-143000</v>
      </c>
      <c r="AY168" s="229">
        <v>-0.39040000000000002</v>
      </c>
      <c r="AZ168" s="230">
        <v>27750</v>
      </c>
      <c r="BA168" s="230">
        <v>29000</v>
      </c>
      <c r="BB168" s="230">
        <v>-1250</v>
      </c>
      <c r="BC168" s="229">
        <v>-4.3099999999999999E-2</v>
      </c>
      <c r="BD168" s="230">
        <v>2250</v>
      </c>
      <c r="BE168" s="230">
        <v>1250</v>
      </c>
      <c r="BF168" s="230">
        <v>1000</v>
      </c>
      <c r="BG168" s="229">
        <v>0.8</v>
      </c>
      <c r="BH168" s="230">
        <v>629000</v>
      </c>
      <c r="BI168" s="230">
        <v>1300500</v>
      </c>
      <c r="BJ168" s="230">
        <v>-671500</v>
      </c>
      <c r="BK168" s="229">
        <v>-0.51629999999999998</v>
      </c>
      <c r="BL168" s="230">
        <v>184250</v>
      </c>
      <c r="BM168" s="230">
        <v>466250</v>
      </c>
      <c r="BN168" s="230">
        <v>-282000</v>
      </c>
      <c r="BO168" s="229">
        <v>-0.6048</v>
      </c>
      <c r="BP168" s="230">
        <v>1066500</v>
      </c>
      <c r="BQ168" s="230">
        <v>2163250</v>
      </c>
      <c r="BR168" s="230">
        <v>-1096750</v>
      </c>
      <c r="BS168" s="229">
        <v>-0.50700000000000001</v>
      </c>
      <c r="BT168" s="230">
        <v>83238</v>
      </c>
      <c r="BU168" s="230">
        <v>295010</v>
      </c>
      <c r="BV168" s="230">
        <v>-211772</v>
      </c>
      <c r="BW168" s="229">
        <v>-0.71779999999999999</v>
      </c>
      <c r="BX168" s="230">
        <v>3916500</v>
      </c>
      <c r="BY168" s="230">
        <v>3911250</v>
      </c>
      <c r="BZ168" s="230">
        <v>5250</v>
      </c>
      <c r="CA168" s="229">
        <v>1.2999999999999999E-3</v>
      </c>
      <c r="CB168" s="230">
        <v>3773000</v>
      </c>
      <c r="CC168" s="230">
        <v>3777250</v>
      </c>
      <c r="CD168" s="230">
        <v>-4250</v>
      </c>
      <c r="CE168" s="229">
        <v>-1.1000000000000001E-3</v>
      </c>
      <c r="CF168" s="230">
        <v>129500</v>
      </c>
      <c r="CG168" s="230">
        <v>119500</v>
      </c>
      <c r="CH168" s="230">
        <v>10000</v>
      </c>
      <c r="CI168" s="229">
        <v>8.3699999999999997E-2</v>
      </c>
      <c r="CJ168" s="230">
        <v>14000</v>
      </c>
      <c r="CK168" s="230">
        <v>14500</v>
      </c>
      <c r="CL168" s="228">
        <v>-500</v>
      </c>
      <c r="CM168" s="229">
        <v>-3.4500000000000003E-2</v>
      </c>
      <c r="CN168" s="230">
        <v>1006750</v>
      </c>
      <c r="CO168" s="230">
        <v>1028500</v>
      </c>
      <c r="CP168" s="230">
        <v>-21750</v>
      </c>
      <c r="CQ168" s="229">
        <v>-2.1100000000000001E-2</v>
      </c>
      <c r="CR168" s="230">
        <v>778000</v>
      </c>
      <c r="CS168" s="230">
        <v>788500</v>
      </c>
      <c r="CT168" s="230">
        <v>-10500</v>
      </c>
      <c r="CU168" s="229">
        <v>-1.3299999999999999E-2</v>
      </c>
      <c r="CV168" s="230">
        <v>5701250</v>
      </c>
      <c r="CW168" s="230">
        <v>5728250</v>
      </c>
      <c r="CX168" s="230">
        <v>-27000</v>
      </c>
      <c r="CY168" s="229">
        <v>-4.7000000000000002E-3</v>
      </c>
      <c r="CZ168" s="228">
        <v>18.88</v>
      </c>
      <c r="DA168" s="228">
        <v>18.7</v>
      </c>
      <c r="DB168" s="228">
        <v>0.18</v>
      </c>
      <c r="DC168" s="228">
        <v>0.18</v>
      </c>
      <c r="DD168" s="228">
        <v>22.93</v>
      </c>
      <c r="DE168" s="228">
        <v>22.98</v>
      </c>
      <c r="DF168" s="228">
        <v>-4.05</v>
      </c>
      <c r="DG168" s="228">
        <v>-0.05</v>
      </c>
      <c r="DH168" s="228">
        <v>18.54</v>
      </c>
      <c r="DI168" s="228">
        <v>18.239999999999998</v>
      </c>
      <c r="DJ168" s="228">
        <v>0.3</v>
      </c>
      <c r="DK168" s="228">
        <v>0.3</v>
      </c>
      <c r="DL168" s="228">
        <v>20.02</v>
      </c>
      <c r="DM168" s="228">
        <v>19.98</v>
      </c>
      <c r="DN168" s="228">
        <v>0.04</v>
      </c>
      <c r="DO168" s="228">
        <v>0.04</v>
      </c>
      <c r="DP168" s="228">
        <v>0.77</v>
      </c>
      <c r="DQ168" s="228">
        <v>0.77</v>
      </c>
      <c r="DR168" s="228">
        <v>0</v>
      </c>
      <c r="DS168" s="229">
        <v>0</v>
      </c>
      <c r="DT168" s="231">
        <v>3100</v>
      </c>
      <c r="DU168" s="231">
        <v>3100</v>
      </c>
      <c r="DV168" s="228">
        <v>0.28999999999999998</v>
      </c>
      <c r="DW168" s="228">
        <v>0.36</v>
      </c>
      <c r="DX168" s="228">
        <v>-7.0000000000000007E-2</v>
      </c>
      <c r="DY168" s="229">
        <v>-0.19439999999999999</v>
      </c>
      <c r="DZ168" s="229">
        <v>3.6600000000000001E-2</v>
      </c>
      <c r="EA168" s="230">
        <v>134000</v>
      </c>
      <c r="EB168" s="229">
        <v>6.4000000000000003E-3</v>
      </c>
      <c r="EC168" s="229">
        <v>3.6600000000000001E-2</v>
      </c>
      <c r="ED168" s="228">
        <v>18.47</v>
      </c>
      <c r="EE168" s="229">
        <v>6.0000000000000001E-3</v>
      </c>
      <c r="EF168" s="230">
        <v>40404</v>
      </c>
      <c r="EG168" s="230">
        <v>202422</v>
      </c>
      <c r="EH168" s="229">
        <v>-0.8004</v>
      </c>
      <c r="EI168" s="229">
        <v>0.4854</v>
      </c>
      <c r="EJ168" s="231">
        <v>19871.37</v>
      </c>
      <c r="EK168" s="231">
        <v>5489.88</v>
      </c>
      <c r="EL168" s="231">
        <v>7851.55</v>
      </c>
      <c r="EM168" s="228">
        <v>0</v>
      </c>
      <c r="EN168" s="231">
        <v>33212.800000000003</v>
      </c>
      <c r="EO168" s="231">
        <v>67555.44</v>
      </c>
      <c r="EP168" s="231">
        <v>-34342.639999999999</v>
      </c>
      <c r="EQ168" s="229">
        <v>-0.50839999999999996</v>
      </c>
      <c r="ER168" s="231">
        <v>31518</v>
      </c>
      <c r="ES168" s="231">
        <v>22895</v>
      </c>
      <c r="ET168" s="231">
        <v>121066</v>
      </c>
      <c r="EU168" s="231">
        <v>31170515</v>
      </c>
      <c r="EV168" s="231">
        <v>175479</v>
      </c>
      <c r="EW168" s="231">
        <v>176760</v>
      </c>
      <c r="EX168" s="231">
        <v>-1281</v>
      </c>
      <c r="EY168" s="229">
        <v>-7.1999999999999998E-3</v>
      </c>
      <c r="EZ168" s="229">
        <v>0.18290000000000001</v>
      </c>
      <c r="FA168" s="227" t="s">
        <v>567</v>
      </c>
      <c r="FB168" s="161">
        <f t="shared" si="4"/>
        <v>0</v>
      </c>
    </row>
    <row r="169" spans="1:158" ht="17.25" thickBot="1" x14ac:dyDescent="0.3">
      <c r="A169" s="226">
        <v>45889</v>
      </c>
      <c r="B169" s="227" t="s">
        <v>498</v>
      </c>
      <c r="C169" s="227" t="s">
        <v>483</v>
      </c>
      <c r="D169" s="228">
        <v>175</v>
      </c>
      <c r="E169" s="231">
        <v>3808.8</v>
      </c>
      <c r="F169" s="231">
        <v>3781.5</v>
      </c>
      <c r="G169" s="228">
        <v>27.3</v>
      </c>
      <c r="H169" s="229">
        <v>7.1999999999999998E-3</v>
      </c>
      <c r="I169" s="231">
        <v>3796.8</v>
      </c>
      <c r="J169" s="231">
        <v>3765</v>
      </c>
      <c r="K169" s="228">
        <v>31.8</v>
      </c>
      <c r="L169" s="229">
        <v>8.3999999999999995E-3</v>
      </c>
      <c r="M169" s="231">
        <v>3808.8</v>
      </c>
      <c r="N169" s="231">
        <v>3781.5</v>
      </c>
      <c r="O169" s="228">
        <v>27.3</v>
      </c>
      <c r="P169" s="229">
        <v>7.1999999999999998E-3</v>
      </c>
      <c r="Q169" s="231">
        <v>3827.9</v>
      </c>
      <c r="R169" s="231">
        <v>3794.5</v>
      </c>
      <c r="S169" s="228">
        <v>33.4</v>
      </c>
      <c r="T169" s="229">
        <v>8.8000000000000005E-3</v>
      </c>
      <c r="U169" s="231">
        <v>3846.5</v>
      </c>
      <c r="V169" s="231">
        <v>3797.4</v>
      </c>
      <c r="W169" s="228">
        <v>49.1</v>
      </c>
      <c r="X169" s="229">
        <v>1.29E-2</v>
      </c>
      <c r="Y169" s="228">
        <v>12</v>
      </c>
      <c r="Z169" s="228">
        <v>16.5</v>
      </c>
      <c r="AA169" s="228">
        <v>-4.5</v>
      </c>
      <c r="AB169" s="229">
        <v>3.2000000000000002E-3</v>
      </c>
      <c r="AC169" s="228">
        <v>12</v>
      </c>
      <c r="AD169" s="228">
        <v>16.5</v>
      </c>
      <c r="AE169" s="228">
        <v>-4.5</v>
      </c>
      <c r="AF169" s="229">
        <v>3.2000000000000002E-3</v>
      </c>
      <c r="AG169" s="228">
        <v>31.1</v>
      </c>
      <c r="AH169" s="228">
        <v>29.5</v>
      </c>
      <c r="AI169" s="228">
        <v>1.6</v>
      </c>
      <c r="AJ169" s="229">
        <v>8.2000000000000007E-3</v>
      </c>
      <c r="AK169" s="228">
        <v>49.7</v>
      </c>
      <c r="AL169" s="228">
        <v>32.4</v>
      </c>
      <c r="AM169" s="228">
        <v>17.3</v>
      </c>
      <c r="AN169" s="229">
        <v>1.3100000000000001E-2</v>
      </c>
      <c r="AO169" s="231">
        <v>3805.29</v>
      </c>
      <c r="AP169" s="231">
        <v>3824.35</v>
      </c>
      <c r="AQ169" s="228">
        <v>0</v>
      </c>
      <c r="AR169" s="230">
        <v>384650</v>
      </c>
      <c r="AS169" s="230">
        <v>246575</v>
      </c>
      <c r="AT169" s="230">
        <v>138075</v>
      </c>
      <c r="AU169" s="229">
        <v>0.56000000000000005</v>
      </c>
      <c r="AV169" s="230">
        <v>310450</v>
      </c>
      <c r="AW169" s="230">
        <v>194775</v>
      </c>
      <c r="AX169" s="230">
        <v>115675</v>
      </c>
      <c r="AY169" s="229">
        <v>0.59389999999999998</v>
      </c>
      <c r="AZ169" s="230">
        <v>72275</v>
      </c>
      <c r="BA169" s="230">
        <v>51625</v>
      </c>
      <c r="BB169" s="230">
        <v>20650</v>
      </c>
      <c r="BC169" s="229">
        <v>0.4</v>
      </c>
      <c r="BD169" s="230">
        <v>1925</v>
      </c>
      <c r="BE169" s="228">
        <v>175</v>
      </c>
      <c r="BF169" s="230">
        <v>1750</v>
      </c>
      <c r="BG169" s="229">
        <v>10</v>
      </c>
      <c r="BH169" s="230">
        <v>1083950</v>
      </c>
      <c r="BI169" s="230">
        <v>765975</v>
      </c>
      <c r="BJ169" s="230">
        <v>317975</v>
      </c>
      <c r="BK169" s="229">
        <v>0.41510000000000002</v>
      </c>
      <c r="BL169" s="230">
        <v>300300</v>
      </c>
      <c r="BM169" s="230">
        <v>354900</v>
      </c>
      <c r="BN169" s="230">
        <v>-54600</v>
      </c>
      <c r="BO169" s="229">
        <v>-0.15379999999999999</v>
      </c>
      <c r="BP169" s="230">
        <v>1768900</v>
      </c>
      <c r="BQ169" s="230">
        <v>1367450</v>
      </c>
      <c r="BR169" s="230">
        <v>401450</v>
      </c>
      <c r="BS169" s="229">
        <v>0.29360000000000003</v>
      </c>
      <c r="BT169" s="230">
        <v>70117</v>
      </c>
      <c r="BU169" s="230">
        <v>148399</v>
      </c>
      <c r="BV169" s="230">
        <v>-78282</v>
      </c>
      <c r="BW169" s="229">
        <v>-0.52749999999999997</v>
      </c>
      <c r="BX169" s="230">
        <v>2060450</v>
      </c>
      <c r="BY169" s="230">
        <v>2048025</v>
      </c>
      <c r="BZ169" s="230">
        <v>12425</v>
      </c>
      <c r="CA169" s="229">
        <v>6.1000000000000004E-3</v>
      </c>
      <c r="CB169" s="230">
        <v>1896650</v>
      </c>
      <c r="CC169" s="230">
        <v>1926925</v>
      </c>
      <c r="CD169" s="230">
        <v>-30275</v>
      </c>
      <c r="CE169" s="229">
        <v>-1.5699999999999999E-2</v>
      </c>
      <c r="CF169" s="230">
        <v>159425</v>
      </c>
      <c r="CG169" s="230">
        <v>117425</v>
      </c>
      <c r="CH169" s="230">
        <v>42000</v>
      </c>
      <c r="CI169" s="229">
        <v>0.35770000000000002</v>
      </c>
      <c r="CJ169" s="230">
        <v>4375</v>
      </c>
      <c r="CK169" s="230">
        <v>3675</v>
      </c>
      <c r="CL169" s="228">
        <v>700</v>
      </c>
      <c r="CM169" s="229">
        <v>0.1905</v>
      </c>
      <c r="CN169" s="230">
        <v>942200</v>
      </c>
      <c r="CO169" s="230">
        <v>1059450</v>
      </c>
      <c r="CP169" s="230">
        <v>-117250</v>
      </c>
      <c r="CQ169" s="229">
        <v>-0.11070000000000001</v>
      </c>
      <c r="CR169" s="230">
        <v>618100</v>
      </c>
      <c r="CS169" s="230">
        <v>667625</v>
      </c>
      <c r="CT169" s="230">
        <v>-49525</v>
      </c>
      <c r="CU169" s="229">
        <v>-7.4200000000000002E-2</v>
      </c>
      <c r="CV169" s="230">
        <v>3620750</v>
      </c>
      <c r="CW169" s="230">
        <v>3775100</v>
      </c>
      <c r="CX169" s="230">
        <v>-154350</v>
      </c>
      <c r="CY169" s="229">
        <v>-4.0899999999999999E-2</v>
      </c>
      <c r="CZ169" s="228">
        <v>26.15</v>
      </c>
      <c r="DA169" s="228">
        <v>28.27</v>
      </c>
      <c r="DB169" s="228">
        <v>-2.12</v>
      </c>
      <c r="DC169" s="228">
        <v>-2.12</v>
      </c>
      <c r="DD169" s="228">
        <v>31.37</v>
      </c>
      <c r="DE169" s="228">
        <v>31.43</v>
      </c>
      <c r="DF169" s="228">
        <v>-5.22</v>
      </c>
      <c r="DG169" s="228">
        <v>-0.06</v>
      </c>
      <c r="DH169" s="228">
        <v>26.3</v>
      </c>
      <c r="DI169" s="228">
        <v>28.7</v>
      </c>
      <c r="DJ169" s="228">
        <v>-2.4</v>
      </c>
      <c r="DK169" s="228">
        <v>-2.4</v>
      </c>
      <c r="DL169" s="228">
        <v>25.62</v>
      </c>
      <c r="DM169" s="228">
        <v>27.36</v>
      </c>
      <c r="DN169" s="228">
        <v>-1.74</v>
      </c>
      <c r="DO169" s="228">
        <v>-1.74</v>
      </c>
      <c r="DP169" s="228">
        <v>0.66</v>
      </c>
      <c r="DQ169" s="228">
        <v>0.63</v>
      </c>
      <c r="DR169" s="228">
        <v>0.03</v>
      </c>
      <c r="DS169" s="229">
        <v>4.7600000000000003E-2</v>
      </c>
      <c r="DT169" s="231">
        <v>4300</v>
      </c>
      <c r="DU169" s="231">
        <v>3600</v>
      </c>
      <c r="DV169" s="228">
        <v>0.28000000000000003</v>
      </c>
      <c r="DW169" s="228">
        <v>0.46</v>
      </c>
      <c r="DX169" s="228">
        <v>-0.18</v>
      </c>
      <c r="DY169" s="229">
        <v>-0.39129999999999998</v>
      </c>
      <c r="DZ169" s="229">
        <v>7.9500000000000001E-2</v>
      </c>
      <c r="EA169" s="230">
        <v>121100</v>
      </c>
      <c r="EB169" s="229">
        <v>5.0000000000000001E-3</v>
      </c>
      <c r="EC169" s="229">
        <v>7.9500000000000001E-2</v>
      </c>
      <c r="ED169" s="228">
        <v>19.059999999999999</v>
      </c>
      <c r="EE169" s="229">
        <v>5.0000000000000001E-3</v>
      </c>
      <c r="EF169" s="230">
        <v>22713</v>
      </c>
      <c r="EG169" s="230">
        <v>90876</v>
      </c>
      <c r="EH169" s="229">
        <v>-0.75009999999999999</v>
      </c>
      <c r="EI169" s="229">
        <v>0.32390000000000002</v>
      </c>
      <c r="EJ169" s="231">
        <v>42500.29</v>
      </c>
      <c r="EK169" s="231">
        <v>11319.35</v>
      </c>
      <c r="EL169" s="231">
        <v>14651.41</v>
      </c>
      <c r="EM169" s="228">
        <v>0</v>
      </c>
      <c r="EN169" s="231">
        <v>68471.05</v>
      </c>
      <c r="EO169" s="231">
        <v>52706.2</v>
      </c>
      <c r="EP169" s="231">
        <v>15764.85</v>
      </c>
      <c r="EQ169" s="229">
        <v>0.29909999999999998</v>
      </c>
      <c r="ER169" s="231">
        <v>38726</v>
      </c>
      <c r="ES169" s="231">
        <v>23394</v>
      </c>
      <c r="ET169" s="231">
        <v>78511</v>
      </c>
      <c r="EU169" s="231">
        <v>16356551</v>
      </c>
      <c r="EV169" s="231">
        <v>140630</v>
      </c>
      <c r="EW169" s="231">
        <v>145962</v>
      </c>
      <c r="EX169" s="231">
        <v>-5332</v>
      </c>
      <c r="EY169" s="229">
        <v>-3.6499999999999998E-2</v>
      </c>
      <c r="EZ169" s="229">
        <v>0.22140000000000001</v>
      </c>
      <c r="FA169" s="227" t="s">
        <v>555</v>
      </c>
      <c r="FB169" s="161">
        <f t="shared" si="4"/>
        <v>0</v>
      </c>
    </row>
    <row r="170" spans="1:158" ht="17.25" thickBot="1" x14ac:dyDescent="0.3">
      <c r="A170" s="226">
        <v>45889</v>
      </c>
      <c r="B170" s="227" t="s">
        <v>172</v>
      </c>
      <c r="C170" s="227" t="s">
        <v>275</v>
      </c>
      <c r="D170" s="228">
        <v>8000</v>
      </c>
      <c r="E170" s="228">
        <v>107.25</v>
      </c>
      <c r="F170" s="228">
        <v>108.14</v>
      </c>
      <c r="G170" s="228">
        <v>-0.89</v>
      </c>
      <c r="H170" s="229">
        <v>-8.2000000000000007E-3</v>
      </c>
      <c r="I170" s="228">
        <v>107.11</v>
      </c>
      <c r="J170" s="228">
        <v>107.9</v>
      </c>
      <c r="K170" s="228">
        <v>-0.79</v>
      </c>
      <c r="L170" s="229">
        <v>-7.3000000000000001E-3</v>
      </c>
      <c r="M170" s="228">
        <v>107.25</v>
      </c>
      <c r="N170" s="228">
        <v>108.14</v>
      </c>
      <c r="O170" s="228">
        <v>-0.89</v>
      </c>
      <c r="P170" s="229">
        <v>-8.2000000000000007E-3</v>
      </c>
      <c r="Q170" s="228">
        <v>107.88</v>
      </c>
      <c r="R170" s="228">
        <v>108.79</v>
      </c>
      <c r="S170" s="228">
        <v>-0.91</v>
      </c>
      <c r="T170" s="229">
        <v>-8.3999999999999995E-3</v>
      </c>
      <c r="U170" s="228">
        <v>108.49</v>
      </c>
      <c r="V170" s="228">
        <v>109.3</v>
      </c>
      <c r="W170" s="228">
        <v>-0.81</v>
      </c>
      <c r="X170" s="229">
        <v>-7.4000000000000003E-3</v>
      </c>
      <c r="Y170" s="228">
        <v>0.14000000000000001</v>
      </c>
      <c r="Z170" s="228">
        <v>0.24</v>
      </c>
      <c r="AA170" s="228">
        <v>-0.1</v>
      </c>
      <c r="AB170" s="229">
        <v>1.2999999999999999E-3</v>
      </c>
      <c r="AC170" s="228">
        <v>0.14000000000000001</v>
      </c>
      <c r="AD170" s="228">
        <v>0.24</v>
      </c>
      <c r="AE170" s="228">
        <v>-0.1</v>
      </c>
      <c r="AF170" s="229">
        <v>1.2999999999999999E-3</v>
      </c>
      <c r="AG170" s="228">
        <v>0.77</v>
      </c>
      <c r="AH170" s="228">
        <v>0.89</v>
      </c>
      <c r="AI170" s="228">
        <v>-0.12</v>
      </c>
      <c r="AJ170" s="229">
        <v>7.1999999999999998E-3</v>
      </c>
      <c r="AK170" s="228">
        <v>1.38</v>
      </c>
      <c r="AL170" s="228">
        <v>1.4</v>
      </c>
      <c r="AM170" s="228">
        <v>-0.02</v>
      </c>
      <c r="AN170" s="229">
        <v>1.29E-2</v>
      </c>
      <c r="AO170" s="228">
        <v>107.6</v>
      </c>
      <c r="AP170" s="228">
        <v>108.2</v>
      </c>
      <c r="AQ170" s="228">
        <v>0</v>
      </c>
      <c r="AR170" s="230">
        <v>36704000</v>
      </c>
      <c r="AS170" s="230">
        <v>41160000</v>
      </c>
      <c r="AT170" s="230">
        <v>-4456000</v>
      </c>
      <c r="AU170" s="229">
        <v>-0.10829999999999999</v>
      </c>
      <c r="AV170" s="230">
        <v>28168000</v>
      </c>
      <c r="AW170" s="230">
        <v>31224000</v>
      </c>
      <c r="AX170" s="230">
        <v>-3056000</v>
      </c>
      <c r="AY170" s="229">
        <v>-9.7900000000000001E-2</v>
      </c>
      <c r="AZ170" s="230">
        <v>8152000</v>
      </c>
      <c r="BA170" s="230">
        <v>9080000</v>
      </c>
      <c r="BB170" s="230">
        <v>-928000</v>
      </c>
      <c r="BC170" s="229">
        <v>-0.1022</v>
      </c>
      <c r="BD170" s="230">
        <v>384000</v>
      </c>
      <c r="BE170" s="230">
        <v>856000</v>
      </c>
      <c r="BF170" s="230">
        <v>-472000</v>
      </c>
      <c r="BG170" s="229">
        <v>-0.5514</v>
      </c>
      <c r="BH170" s="230">
        <v>88264000</v>
      </c>
      <c r="BI170" s="230">
        <v>99048000</v>
      </c>
      <c r="BJ170" s="230">
        <v>-10784000</v>
      </c>
      <c r="BK170" s="229">
        <v>-0.1089</v>
      </c>
      <c r="BL170" s="230">
        <v>51592000</v>
      </c>
      <c r="BM170" s="230">
        <v>57112000</v>
      </c>
      <c r="BN170" s="230">
        <v>-5520000</v>
      </c>
      <c r="BO170" s="229">
        <v>-9.6699999999999994E-2</v>
      </c>
      <c r="BP170" s="230">
        <v>176560000</v>
      </c>
      <c r="BQ170" s="230">
        <v>197320000</v>
      </c>
      <c r="BR170" s="230">
        <v>-20760000</v>
      </c>
      <c r="BS170" s="229">
        <v>-0.1052</v>
      </c>
      <c r="BT170" s="230">
        <v>9092432</v>
      </c>
      <c r="BU170" s="230">
        <v>9221985</v>
      </c>
      <c r="BV170" s="230">
        <v>-129553</v>
      </c>
      <c r="BW170" s="229">
        <v>-1.4E-2</v>
      </c>
      <c r="BX170" s="230">
        <v>266032000</v>
      </c>
      <c r="BY170" s="230">
        <v>259984000</v>
      </c>
      <c r="BZ170" s="230">
        <v>6048000</v>
      </c>
      <c r="CA170" s="229">
        <v>2.3300000000000001E-2</v>
      </c>
      <c r="CB170" s="230">
        <v>238208000</v>
      </c>
      <c r="CC170" s="230">
        <v>237584000</v>
      </c>
      <c r="CD170" s="230">
        <v>624000</v>
      </c>
      <c r="CE170" s="229">
        <v>2.5999999999999999E-3</v>
      </c>
      <c r="CF170" s="230">
        <v>26232000</v>
      </c>
      <c r="CG170" s="230">
        <v>21048000</v>
      </c>
      <c r="CH170" s="230">
        <v>5184000</v>
      </c>
      <c r="CI170" s="229">
        <v>0.24629999999999999</v>
      </c>
      <c r="CJ170" s="230">
        <v>1592000</v>
      </c>
      <c r="CK170" s="230">
        <v>1352000</v>
      </c>
      <c r="CL170" s="230">
        <v>240000</v>
      </c>
      <c r="CM170" s="229">
        <v>0.17749999999999999</v>
      </c>
      <c r="CN170" s="230">
        <v>128280000</v>
      </c>
      <c r="CO170" s="230">
        <v>121944000</v>
      </c>
      <c r="CP170" s="230">
        <v>6336000</v>
      </c>
      <c r="CQ170" s="229">
        <v>5.1999999999999998E-2</v>
      </c>
      <c r="CR170" s="230">
        <v>76824000</v>
      </c>
      <c r="CS170" s="230">
        <v>76584000</v>
      </c>
      <c r="CT170" s="230">
        <v>240000</v>
      </c>
      <c r="CU170" s="229">
        <v>3.0999999999999999E-3</v>
      </c>
      <c r="CV170" s="230">
        <v>471136000</v>
      </c>
      <c r="CW170" s="230">
        <v>458512000</v>
      </c>
      <c r="CX170" s="230">
        <v>12624000</v>
      </c>
      <c r="CY170" s="229">
        <v>2.75E-2</v>
      </c>
      <c r="CZ170" s="228">
        <v>24.89</v>
      </c>
      <c r="DA170" s="228">
        <v>24.45</v>
      </c>
      <c r="DB170" s="228">
        <v>0.44</v>
      </c>
      <c r="DC170" s="228">
        <v>0.44</v>
      </c>
      <c r="DD170" s="228">
        <v>38.9</v>
      </c>
      <c r="DE170" s="228">
        <v>38.979999999999997</v>
      </c>
      <c r="DF170" s="228">
        <v>-14.01</v>
      </c>
      <c r="DG170" s="228">
        <v>-0.08</v>
      </c>
      <c r="DH170" s="228">
        <v>25.4</v>
      </c>
      <c r="DI170" s="228">
        <v>24.39</v>
      </c>
      <c r="DJ170" s="228">
        <v>1.01</v>
      </c>
      <c r="DK170" s="228">
        <v>1.01</v>
      </c>
      <c r="DL170" s="228">
        <v>24.03</v>
      </c>
      <c r="DM170" s="228">
        <v>24.55</v>
      </c>
      <c r="DN170" s="228">
        <v>-0.52</v>
      </c>
      <c r="DO170" s="228">
        <v>-0.52</v>
      </c>
      <c r="DP170" s="228">
        <v>0.6</v>
      </c>
      <c r="DQ170" s="228">
        <v>0.63</v>
      </c>
      <c r="DR170" s="228">
        <v>-0.03</v>
      </c>
      <c r="DS170" s="229">
        <v>-4.7600000000000003E-2</v>
      </c>
      <c r="DT170" s="228">
        <v>110</v>
      </c>
      <c r="DU170" s="228">
        <v>110</v>
      </c>
      <c r="DV170" s="228">
        <v>0.57999999999999996</v>
      </c>
      <c r="DW170" s="228">
        <v>0.57999999999999996</v>
      </c>
      <c r="DX170" s="228">
        <v>0</v>
      </c>
      <c r="DY170" s="229">
        <v>0</v>
      </c>
      <c r="DZ170" s="229">
        <v>0.1046</v>
      </c>
      <c r="EA170" s="230">
        <v>22400000</v>
      </c>
      <c r="EB170" s="229">
        <v>5.8999999999999999E-3</v>
      </c>
      <c r="EC170" s="229">
        <v>0.1046</v>
      </c>
      <c r="ED170" s="228">
        <v>0.6</v>
      </c>
      <c r="EE170" s="229">
        <v>5.5999999999999999E-3</v>
      </c>
      <c r="EF170" s="230">
        <v>3664759</v>
      </c>
      <c r="EG170" s="230">
        <v>3905073</v>
      </c>
      <c r="EH170" s="229">
        <v>-6.1499999999999999E-2</v>
      </c>
      <c r="EI170" s="229">
        <v>0.40310000000000001</v>
      </c>
      <c r="EJ170" s="231">
        <v>97745.31</v>
      </c>
      <c r="EK170" s="231">
        <v>55773.11</v>
      </c>
      <c r="EL170" s="231">
        <v>39547.08</v>
      </c>
      <c r="EM170" s="228">
        <v>0</v>
      </c>
      <c r="EN170" s="231">
        <v>193065.5</v>
      </c>
      <c r="EO170" s="231">
        <v>215101.24</v>
      </c>
      <c r="EP170" s="231">
        <v>-22035.74</v>
      </c>
      <c r="EQ170" s="229">
        <v>-0.1024</v>
      </c>
      <c r="ER170" s="231">
        <v>143766</v>
      </c>
      <c r="ES170" s="231">
        <v>80796</v>
      </c>
      <c r="ET170" s="231">
        <v>285504</v>
      </c>
      <c r="EU170" s="231">
        <v>687763516</v>
      </c>
      <c r="EV170" s="231">
        <v>510066</v>
      </c>
      <c r="EW170" s="231">
        <v>498465</v>
      </c>
      <c r="EX170" s="231">
        <v>11601</v>
      </c>
      <c r="EY170" s="229">
        <v>2.3300000000000001E-2</v>
      </c>
      <c r="EZ170" s="229">
        <v>0.68500000000000005</v>
      </c>
      <c r="FA170" s="227" t="s">
        <v>567</v>
      </c>
      <c r="FB170" s="161">
        <f t="shared" si="4"/>
        <v>0</v>
      </c>
    </row>
    <row r="171" spans="1:158" ht="17.25" thickBot="1" x14ac:dyDescent="0.3">
      <c r="A171" s="226">
        <v>45889</v>
      </c>
      <c r="B171" s="227" t="s">
        <v>175</v>
      </c>
      <c r="C171" s="227" t="s">
        <v>672</v>
      </c>
      <c r="D171" s="228">
        <v>650</v>
      </c>
      <c r="E171" s="228">
        <v>811.85</v>
      </c>
      <c r="F171" s="228">
        <v>820.85</v>
      </c>
      <c r="G171" s="228">
        <v>-9</v>
      </c>
      <c r="H171" s="229">
        <v>-1.0999999999999999E-2</v>
      </c>
      <c r="I171" s="228">
        <v>808.45</v>
      </c>
      <c r="J171" s="228">
        <v>817.7</v>
      </c>
      <c r="K171" s="228">
        <v>-9.25</v>
      </c>
      <c r="L171" s="229">
        <v>-1.1299999999999999E-2</v>
      </c>
      <c r="M171" s="228">
        <v>811.85</v>
      </c>
      <c r="N171" s="228">
        <v>820.85</v>
      </c>
      <c r="O171" s="228">
        <v>-9</v>
      </c>
      <c r="P171" s="229">
        <v>-1.0999999999999999E-2</v>
      </c>
      <c r="Q171" s="228">
        <v>815.6</v>
      </c>
      <c r="R171" s="228">
        <v>825.5</v>
      </c>
      <c r="S171" s="228">
        <v>-9.9</v>
      </c>
      <c r="T171" s="229">
        <v>-1.2E-2</v>
      </c>
      <c r="U171" s="228">
        <v>820.3</v>
      </c>
      <c r="V171" s="228">
        <v>829.3</v>
      </c>
      <c r="W171" s="228">
        <v>-9</v>
      </c>
      <c r="X171" s="229">
        <v>-1.09E-2</v>
      </c>
      <c r="Y171" s="228">
        <v>3.4</v>
      </c>
      <c r="Z171" s="228">
        <v>3.15</v>
      </c>
      <c r="AA171" s="228">
        <v>0.25</v>
      </c>
      <c r="AB171" s="229">
        <v>4.1999999999999997E-3</v>
      </c>
      <c r="AC171" s="228">
        <v>3.4</v>
      </c>
      <c r="AD171" s="228">
        <v>3.15</v>
      </c>
      <c r="AE171" s="228">
        <v>0.25</v>
      </c>
      <c r="AF171" s="229">
        <v>4.1999999999999997E-3</v>
      </c>
      <c r="AG171" s="228">
        <v>7.15</v>
      </c>
      <c r="AH171" s="228">
        <v>7.8</v>
      </c>
      <c r="AI171" s="228">
        <v>-0.65</v>
      </c>
      <c r="AJ171" s="229">
        <v>8.8000000000000005E-3</v>
      </c>
      <c r="AK171" s="228">
        <v>11.85</v>
      </c>
      <c r="AL171" s="228">
        <v>11.6</v>
      </c>
      <c r="AM171" s="228">
        <v>0.25</v>
      </c>
      <c r="AN171" s="229">
        <v>1.47E-2</v>
      </c>
      <c r="AO171" s="228">
        <v>813.11</v>
      </c>
      <c r="AP171" s="228">
        <v>817.2</v>
      </c>
      <c r="AQ171" s="228">
        <v>0</v>
      </c>
      <c r="AR171" s="230">
        <v>3560050</v>
      </c>
      <c r="AS171" s="230">
        <v>11729250</v>
      </c>
      <c r="AT171" s="230">
        <v>-8169200</v>
      </c>
      <c r="AU171" s="229">
        <v>-0.69650000000000001</v>
      </c>
      <c r="AV171" s="230">
        <v>2428400</v>
      </c>
      <c r="AW171" s="230">
        <v>8854300</v>
      </c>
      <c r="AX171" s="230">
        <v>-6425900</v>
      </c>
      <c r="AY171" s="229">
        <v>-0.72570000000000001</v>
      </c>
      <c r="AZ171" s="230">
        <v>1060150</v>
      </c>
      <c r="BA171" s="230">
        <v>2759900</v>
      </c>
      <c r="BB171" s="230">
        <v>-1699750</v>
      </c>
      <c r="BC171" s="229">
        <v>-0.6159</v>
      </c>
      <c r="BD171" s="230">
        <v>71500</v>
      </c>
      <c r="BE171" s="230">
        <v>115050</v>
      </c>
      <c r="BF171" s="230">
        <v>-43550</v>
      </c>
      <c r="BG171" s="229">
        <v>-0.3785</v>
      </c>
      <c r="BH171" s="230">
        <v>10870600</v>
      </c>
      <c r="BI171" s="230">
        <v>40032200</v>
      </c>
      <c r="BJ171" s="230">
        <v>-29161600</v>
      </c>
      <c r="BK171" s="229">
        <v>-0.72850000000000004</v>
      </c>
      <c r="BL171" s="230">
        <v>4119050</v>
      </c>
      <c r="BM171" s="230">
        <v>14085500</v>
      </c>
      <c r="BN171" s="230">
        <v>-9966450</v>
      </c>
      <c r="BO171" s="229">
        <v>-0.70760000000000001</v>
      </c>
      <c r="BP171" s="230">
        <v>18549700</v>
      </c>
      <c r="BQ171" s="230">
        <v>65846950</v>
      </c>
      <c r="BR171" s="230">
        <v>-47297250</v>
      </c>
      <c r="BS171" s="229">
        <v>-0.71830000000000005</v>
      </c>
      <c r="BT171" s="230">
        <v>2828679</v>
      </c>
      <c r="BU171" s="230">
        <v>10472792</v>
      </c>
      <c r="BV171" s="230">
        <v>-7644113</v>
      </c>
      <c r="BW171" s="229">
        <v>-0.72989999999999999</v>
      </c>
      <c r="BX171" s="230">
        <v>16172000</v>
      </c>
      <c r="BY171" s="230">
        <v>15462850</v>
      </c>
      <c r="BZ171" s="230">
        <v>709150</v>
      </c>
      <c r="CA171" s="229">
        <v>4.5900000000000003E-2</v>
      </c>
      <c r="CB171" s="230">
        <v>13752700</v>
      </c>
      <c r="CC171" s="230">
        <v>13571350</v>
      </c>
      <c r="CD171" s="230">
        <v>181350</v>
      </c>
      <c r="CE171" s="229">
        <v>1.34E-2</v>
      </c>
      <c r="CF171" s="230">
        <v>2255500</v>
      </c>
      <c r="CG171" s="230">
        <v>1751100</v>
      </c>
      <c r="CH171" s="230">
        <v>504400</v>
      </c>
      <c r="CI171" s="229">
        <v>0.28799999999999998</v>
      </c>
      <c r="CJ171" s="230">
        <v>163800</v>
      </c>
      <c r="CK171" s="230">
        <v>140400</v>
      </c>
      <c r="CL171" s="230">
        <v>23400</v>
      </c>
      <c r="CM171" s="229">
        <v>0.16669999999999999</v>
      </c>
      <c r="CN171" s="230">
        <v>12051650</v>
      </c>
      <c r="CO171" s="230">
        <v>11313250</v>
      </c>
      <c r="CP171" s="230">
        <v>738400</v>
      </c>
      <c r="CQ171" s="229">
        <v>6.5299999999999997E-2</v>
      </c>
      <c r="CR171" s="230">
        <v>4990050</v>
      </c>
      <c r="CS171" s="230">
        <v>4591600</v>
      </c>
      <c r="CT171" s="230">
        <v>398450</v>
      </c>
      <c r="CU171" s="229">
        <v>8.6800000000000002E-2</v>
      </c>
      <c r="CV171" s="230">
        <v>33213700</v>
      </c>
      <c r="CW171" s="230">
        <v>31367700</v>
      </c>
      <c r="CX171" s="230">
        <v>1846000</v>
      </c>
      <c r="CY171" s="229">
        <v>5.8900000000000001E-2</v>
      </c>
      <c r="CZ171" s="228">
        <v>36.950000000000003</v>
      </c>
      <c r="DA171" s="228">
        <v>38.79</v>
      </c>
      <c r="DB171" s="228">
        <v>-1.84</v>
      </c>
      <c r="DC171" s="228">
        <v>-1.84</v>
      </c>
      <c r="DD171" s="228">
        <v>52.08</v>
      </c>
      <c r="DE171" s="228">
        <v>52.19</v>
      </c>
      <c r="DF171" s="228">
        <v>-15.13</v>
      </c>
      <c r="DG171" s="228">
        <v>-0.11</v>
      </c>
      <c r="DH171" s="228">
        <v>37.96</v>
      </c>
      <c r="DI171" s="228">
        <v>39.049999999999997</v>
      </c>
      <c r="DJ171" s="228">
        <v>-1.0900000000000001</v>
      </c>
      <c r="DK171" s="228">
        <v>-1.0900000000000001</v>
      </c>
      <c r="DL171" s="228">
        <v>34.29</v>
      </c>
      <c r="DM171" s="228">
        <v>38.049999999999997</v>
      </c>
      <c r="DN171" s="228">
        <v>-3.76</v>
      </c>
      <c r="DO171" s="228">
        <v>-3.76</v>
      </c>
      <c r="DP171" s="228">
        <v>0.41</v>
      </c>
      <c r="DQ171" s="228">
        <v>0.41</v>
      </c>
      <c r="DR171" s="228">
        <v>0</v>
      </c>
      <c r="DS171" s="229">
        <v>0</v>
      </c>
      <c r="DT171" s="228">
        <v>900</v>
      </c>
      <c r="DU171" s="228">
        <v>800</v>
      </c>
      <c r="DV171" s="228">
        <v>0.38</v>
      </c>
      <c r="DW171" s="228">
        <v>0.35</v>
      </c>
      <c r="DX171" s="228">
        <v>0.03</v>
      </c>
      <c r="DY171" s="229">
        <v>8.5699999999999998E-2</v>
      </c>
      <c r="DZ171" s="229">
        <v>0.14960000000000001</v>
      </c>
      <c r="EA171" s="230">
        <v>1891500</v>
      </c>
      <c r="EB171" s="229">
        <v>4.5999999999999999E-3</v>
      </c>
      <c r="EC171" s="229">
        <v>0.14960000000000001</v>
      </c>
      <c r="ED171" s="228">
        <v>4.09</v>
      </c>
      <c r="EE171" s="229">
        <v>5.0000000000000001E-3</v>
      </c>
      <c r="EF171" s="230">
        <v>1481726</v>
      </c>
      <c r="EG171" s="230">
        <v>5047369</v>
      </c>
      <c r="EH171" s="229">
        <v>-0.70640000000000003</v>
      </c>
      <c r="EI171" s="229">
        <v>0.52380000000000004</v>
      </c>
      <c r="EJ171" s="231">
        <v>93221.71</v>
      </c>
      <c r="EK171" s="231">
        <v>33537.019999999997</v>
      </c>
      <c r="EL171" s="231">
        <v>28996.05</v>
      </c>
      <c r="EM171" s="228">
        <v>0</v>
      </c>
      <c r="EN171" s="231">
        <v>155754.78</v>
      </c>
      <c r="EO171" s="231">
        <v>555579.49</v>
      </c>
      <c r="EP171" s="231">
        <v>-399824.71</v>
      </c>
      <c r="EQ171" s="229">
        <v>-0.71970000000000001</v>
      </c>
      <c r="ER171" s="231">
        <v>107768</v>
      </c>
      <c r="ES171" s="231">
        <v>41167</v>
      </c>
      <c r="ET171" s="231">
        <v>131391</v>
      </c>
      <c r="EU171" s="231">
        <v>37416542</v>
      </c>
      <c r="EV171" s="231">
        <v>280326</v>
      </c>
      <c r="EW171" s="231">
        <v>266847</v>
      </c>
      <c r="EX171" s="231">
        <v>13479</v>
      </c>
      <c r="EY171" s="229">
        <v>5.0500000000000003E-2</v>
      </c>
      <c r="EZ171" s="229">
        <v>0.88770000000000004</v>
      </c>
      <c r="FA171" s="227" t="s">
        <v>567</v>
      </c>
      <c r="FB171" s="161">
        <f t="shared" si="4"/>
        <v>0</v>
      </c>
    </row>
    <row r="172" spans="1:158" ht="17.25" thickBot="1" x14ac:dyDescent="0.3">
      <c r="A172" s="226">
        <v>45889</v>
      </c>
      <c r="B172" s="227" t="s">
        <v>616</v>
      </c>
      <c r="C172" s="227" t="s">
        <v>574</v>
      </c>
      <c r="D172" s="228">
        <v>350</v>
      </c>
      <c r="E172" s="231">
        <v>1921.4</v>
      </c>
      <c r="F172" s="231">
        <v>1914.6</v>
      </c>
      <c r="G172" s="228">
        <v>6.8</v>
      </c>
      <c r="H172" s="229">
        <v>3.5999999999999999E-3</v>
      </c>
      <c r="I172" s="231">
        <v>1921.8</v>
      </c>
      <c r="J172" s="231">
        <v>1913.9</v>
      </c>
      <c r="K172" s="228">
        <v>7.9</v>
      </c>
      <c r="L172" s="229">
        <v>4.1000000000000003E-3</v>
      </c>
      <c r="M172" s="231">
        <v>1921.4</v>
      </c>
      <c r="N172" s="231">
        <v>1914.6</v>
      </c>
      <c r="O172" s="228">
        <v>6.8</v>
      </c>
      <c r="P172" s="229">
        <v>3.5999999999999999E-3</v>
      </c>
      <c r="Q172" s="231">
        <v>1931.2</v>
      </c>
      <c r="R172" s="231">
        <v>1923.3</v>
      </c>
      <c r="S172" s="228">
        <v>7.9</v>
      </c>
      <c r="T172" s="229">
        <v>4.1000000000000003E-3</v>
      </c>
      <c r="U172" s="231">
        <v>1939.2</v>
      </c>
      <c r="V172" s="231">
        <v>1927.5</v>
      </c>
      <c r="W172" s="228">
        <v>11.7</v>
      </c>
      <c r="X172" s="229">
        <v>6.1000000000000004E-3</v>
      </c>
      <c r="Y172" s="228">
        <v>-0.4</v>
      </c>
      <c r="Z172" s="228">
        <v>0.7</v>
      </c>
      <c r="AA172" s="228">
        <v>-1.1000000000000001</v>
      </c>
      <c r="AB172" s="229">
        <v>-2.0000000000000001E-4</v>
      </c>
      <c r="AC172" s="228">
        <v>-0.4</v>
      </c>
      <c r="AD172" s="228">
        <v>0.7</v>
      </c>
      <c r="AE172" s="228">
        <v>-1.1000000000000001</v>
      </c>
      <c r="AF172" s="229">
        <v>-2.0000000000000001E-4</v>
      </c>
      <c r="AG172" s="228">
        <v>9.4</v>
      </c>
      <c r="AH172" s="228">
        <v>9.4</v>
      </c>
      <c r="AI172" s="228">
        <v>0</v>
      </c>
      <c r="AJ172" s="229">
        <v>4.8999999999999998E-3</v>
      </c>
      <c r="AK172" s="228">
        <v>17.399999999999999</v>
      </c>
      <c r="AL172" s="228">
        <v>13.6</v>
      </c>
      <c r="AM172" s="228">
        <v>3.8</v>
      </c>
      <c r="AN172" s="229">
        <v>9.1000000000000004E-3</v>
      </c>
      <c r="AO172" s="231">
        <v>1920.89</v>
      </c>
      <c r="AP172" s="231">
        <v>1932.76</v>
      </c>
      <c r="AQ172" s="228">
        <v>0</v>
      </c>
      <c r="AR172" s="230">
        <v>1033900</v>
      </c>
      <c r="AS172" s="230">
        <v>1145900</v>
      </c>
      <c r="AT172" s="230">
        <v>-112000</v>
      </c>
      <c r="AU172" s="229">
        <v>-9.7699999999999995E-2</v>
      </c>
      <c r="AV172" s="230">
        <v>836150</v>
      </c>
      <c r="AW172" s="230">
        <v>1038100</v>
      </c>
      <c r="AX172" s="230">
        <v>-201950</v>
      </c>
      <c r="AY172" s="229">
        <v>-0.19450000000000001</v>
      </c>
      <c r="AZ172" s="230">
        <v>192150</v>
      </c>
      <c r="BA172" s="230">
        <v>101150</v>
      </c>
      <c r="BB172" s="230">
        <v>91000</v>
      </c>
      <c r="BC172" s="229">
        <v>0.89970000000000006</v>
      </c>
      <c r="BD172" s="230">
        <v>5600</v>
      </c>
      <c r="BE172" s="230">
        <v>6650</v>
      </c>
      <c r="BF172" s="230">
        <v>-1050</v>
      </c>
      <c r="BG172" s="229">
        <v>-0.15790000000000001</v>
      </c>
      <c r="BH172" s="230">
        <v>2292150</v>
      </c>
      <c r="BI172" s="230">
        <v>2576000</v>
      </c>
      <c r="BJ172" s="230">
        <v>-283850</v>
      </c>
      <c r="BK172" s="229">
        <v>-0.11020000000000001</v>
      </c>
      <c r="BL172" s="230">
        <v>787150</v>
      </c>
      <c r="BM172" s="230">
        <v>872550</v>
      </c>
      <c r="BN172" s="230">
        <v>-85400</v>
      </c>
      <c r="BO172" s="229">
        <v>-9.7900000000000001E-2</v>
      </c>
      <c r="BP172" s="230">
        <v>4113200</v>
      </c>
      <c r="BQ172" s="230">
        <v>4594450</v>
      </c>
      <c r="BR172" s="230">
        <v>-481250</v>
      </c>
      <c r="BS172" s="229">
        <v>-0.1047</v>
      </c>
      <c r="BT172" s="230">
        <v>574242</v>
      </c>
      <c r="BU172" s="230">
        <v>661879</v>
      </c>
      <c r="BV172" s="230">
        <v>-87637</v>
      </c>
      <c r="BW172" s="229">
        <v>-0.13239999999999999</v>
      </c>
      <c r="BX172" s="230">
        <v>7505750</v>
      </c>
      <c r="BY172" s="230">
        <v>7597450</v>
      </c>
      <c r="BZ172" s="230">
        <v>-91700</v>
      </c>
      <c r="CA172" s="229">
        <v>-1.21E-2</v>
      </c>
      <c r="CB172" s="230">
        <v>6988450</v>
      </c>
      <c r="CC172" s="230">
        <v>7167300</v>
      </c>
      <c r="CD172" s="230">
        <v>-178850</v>
      </c>
      <c r="CE172" s="229">
        <v>-2.5000000000000001E-2</v>
      </c>
      <c r="CF172" s="230">
        <v>499100</v>
      </c>
      <c r="CG172" s="230">
        <v>412300</v>
      </c>
      <c r="CH172" s="230">
        <v>86800</v>
      </c>
      <c r="CI172" s="229">
        <v>0.21049999999999999</v>
      </c>
      <c r="CJ172" s="230">
        <v>18200</v>
      </c>
      <c r="CK172" s="230">
        <v>17850</v>
      </c>
      <c r="CL172" s="228">
        <v>350</v>
      </c>
      <c r="CM172" s="229">
        <v>1.9599999999999999E-2</v>
      </c>
      <c r="CN172" s="230">
        <v>977900</v>
      </c>
      <c r="CO172" s="230">
        <v>974050</v>
      </c>
      <c r="CP172" s="230">
        <v>3850</v>
      </c>
      <c r="CQ172" s="229">
        <v>4.0000000000000001E-3</v>
      </c>
      <c r="CR172" s="230">
        <v>861000</v>
      </c>
      <c r="CS172" s="230">
        <v>855750</v>
      </c>
      <c r="CT172" s="230">
        <v>5250</v>
      </c>
      <c r="CU172" s="229">
        <v>6.1000000000000004E-3</v>
      </c>
      <c r="CV172" s="230">
        <v>9344650</v>
      </c>
      <c r="CW172" s="230">
        <v>9427250</v>
      </c>
      <c r="CX172" s="230">
        <v>-82600</v>
      </c>
      <c r="CY172" s="229">
        <v>-8.8000000000000005E-3</v>
      </c>
      <c r="CZ172" s="228">
        <v>33.67</v>
      </c>
      <c r="DA172" s="228">
        <v>35.94</v>
      </c>
      <c r="DB172" s="228">
        <v>-2.27</v>
      </c>
      <c r="DC172" s="228">
        <v>-2.27</v>
      </c>
      <c r="DD172" s="228">
        <v>50.33</v>
      </c>
      <c r="DE172" s="228">
        <v>50.45</v>
      </c>
      <c r="DF172" s="228">
        <v>-16.66</v>
      </c>
      <c r="DG172" s="228">
        <v>-0.12</v>
      </c>
      <c r="DH172" s="228">
        <v>33.01</v>
      </c>
      <c r="DI172" s="228">
        <v>35.32</v>
      </c>
      <c r="DJ172" s="228">
        <v>-2.31</v>
      </c>
      <c r="DK172" s="228">
        <v>-2.31</v>
      </c>
      <c r="DL172" s="228">
        <v>35.6</v>
      </c>
      <c r="DM172" s="228">
        <v>37.78</v>
      </c>
      <c r="DN172" s="228">
        <v>-2.1800000000000002</v>
      </c>
      <c r="DO172" s="228">
        <v>-2.1800000000000002</v>
      </c>
      <c r="DP172" s="228">
        <v>0.88</v>
      </c>
      <c r="DQ172" s="228">
        <v>0.88</v>
      </c>
      <c r="DR172" s="228">
        <v>0</v>
      </c>
      <c r="DS172" s="229">
        <v>0</v>
      </c>
      <c r="DT172" s="231">
        <v>1950</v>
      </c>
      <c r="DU172" s="231">
        <v>1700</v>
      </c>
      <c r="DV172" s="228">
        <v>0.34</v>
      </c>
      <c r="DW172" s="228">
        <v>0.34</v>
      </c>
      <c r="DX172" s="228">
        <v>0</v>
      </c>
      <c r="DY172" s="229">
        <v>0</v>
      </c>
      <c r="DZ172" s="229">
        <v>6.8900000000000003E-2</v>
      </c>
      <c r="EA172" s="230">
        <v>430150</v>
      </c>
      <c r="EB172" s="229">
        <v>5.1000000000000004E-3</v>
      </c>
      <c r="EC172" s="229">
        <v>6.8900000000000003E-2</v>
      </c>
      <c r="ED172" s="228">
        <v>11.87</v>
      </c>
      <c r="EE172" s="229">
        <v>6.1999999999999998E-3</v>
      </c>
      <c r="EF172" s="230">
        <v>293310</v>
      </c>
      <c r="EG172" s="230">
        <v>312843</v>
      </c>
      <c r="EH172" s="229">
        <v>-6.2399999999999997E-2</v>
      </c>
      <c r="EI172" s="229">
        <v>0.51080000000000003</v>
      </c>
      <c r="EJ172" s="231">
        <v>45474.54</v>
      </c>
      <c r="EK172" s="231">
        <v>14684.1</v>
      </c>
      <c r="EL172" s="231">
        <v>19883.72</v>
      </c>
      <c r="EM172" s="228">
        <v>0</v>
      </c>
      <c r="EN172" s="231">
        <v>80042.36</v>
      </c>
      <c r="EO172" s="231">
        <v>88694.35</v>
      </c>
      <c r="EP172" s="231">
        <v>-8651.99</v>
      </c>
      <c r="EQ172" s="229">
        <v>-9.7500000000000003E-2</v>
      </c>
      <c r="ER172" s="231">
        <v>18939</v>
      </c>
      <c r="ES172" s="231">
        <v>14980</v>
      </c>
      <c r="ET172" s="231">
        <v>144268</v>
      </c>
      <c r="EU172" s="231">
        <v>91593795</v>
      </c>
      <c r="EV172" s="231">
        <v>178186</v>
      </c>
      <c r="EW172" s="231">
        <v>179212</v>
      </c>
      <c r="EX172" s="231">
        <v>-1026</v>
      </c>
      <c r="EY172" s="229">
        <v>-5.7000000000000002E-3</v>
      </c>
      <c r="EZ172" s="229">
        <v>0.10199999999999999</v>
      </c>
      <c r="FA172" s="227" t="s">
        <v>556</v>
      </c>
      <c r="FB172" s="161">
        <f t="shared" si="4"/>
        <v>0</v>
      </c>
    </row>
    <row r="173" spans="1:158" ht="17.25" thickBot="1" x14ac:dyDescent="0.3">
      <c r="A173" s="226">
        <v>45889</v>
      </c>
      <c r="B173" s="227" t="s">
        <v>184</v>
      </c>
      <c r="C173" s="227" t="s">
        <v>519</v>
      </c>
      <c r="D173" s="228">
        <v>125</v>
      </c>
      <c r="E173" s="231">
        <v>7166.5</v>
      </c>
      <c r="F173" s="231">
        <v>7132</v>
      </c>
      <c r="G173" s="228">
        <v>34.5</v>
      </c>
      <c r="H173" s="229">
        <v>4.7999999999999996E-3</v>
      </c>
      <c r="I173" s="231">
        <v>7158</v>
      </c>
      <c r="J173" s="231">
        <v>7117</v>
      </c>
      <c r="K173" s="228">
        <v>41</v>
      </c>
      <c r="L173" s="229">
        <v>5.7999999999999996E-3</v>
      </c>
      <c r="M173" s="231">
        <v>7166.5</v>
      </c>
      <c r="N173" s="231">
        <v>7132</v>
      </c>
      <c r="O173" s="228">
        <v>34.5</v>
      </c>
      <c r="P173" s="229">
        <v>4.7999999999999996E-3</v>
      </c>
      <c r="Q173" s="231">
        <v>7210</v>
      </c>
      <c r="R173" s="231">
        <v>7170</v>
      </c>
      <c r="S173" s="228">
        <v>40</v>
      </c>
      <c r="T173" s="229">
        <v>5.5999999999999999E-3</v>
      </c>
      <c r="U173" s="231">
        <v>7230.5</v>
      </c>
      <c r="V173" s="231">
        <v>7204.5</v>
      </c>
      <c r="W173" s="228">
        <v>26</v>
      </c>
      <c r="X173" s="229">
        <v>3.5999999999999999E-3</v>
      </c>
      <c r="Y173" s="228">
        <v>8.5</v>
      </c>
      <c r="Z173" s="228">
        <v>15</v>
      </c>
      <c r="AA173" s="228">
        <v>-6.5</v>
      </c>
      <c r="AB173" s="229">
        <v>1.1999999999999999E-3</v>
      </c>
      <c r="AC173" s="228">
        <v>8.5</v>
      </c>
      <c r="AD173" s="228">
        <v>15</v>
      </c>
      <c r="AE173" s="228">
        <v>-6.5</v>
      </c>
      <c r="AF173" s="229">
        <v>1.1999999999999999E-3</v>
      </c>
      <c r="AG173" s="228">
        <v>52</v>
      </c>
      <c r="AH173" s="228">
        <v>53</v>
      </c>
      <c r="AI173" s="228">
        <v>-1</v>
      </c>
      <c r="AJ173" s="229">
        <v>7.3000000000000001E-3</v>
      </c>
      <c r="AK173" s="228">
        <v>72.5</v>
      </c>
      <c r="AL173" s="228">
        <v>87.5</v>
      </c>
      <c r="AM173" s="228">
        <v>-15</v>
      </c>
      <c r="AN173" s="229">
        <v>1.01E-2</v>
      </c>
      <c r="AO173" s="231">
        <v>7179.16</v>
      </c>
      <c r="AP173" s="231">
        <v>7218.01</v>
      </c>
      <c r="AQ173" s="228">
        <v>0</v>
      </c>
      <c r="AR173" s="230">
        <v>368625</v>
      </c>
      <c r="AS173" s="230">
        <v>266375</v>
      </c>
      <c r="AT173" s="230">
        <v>102250</v>
      </c>
      <c r="AU173" s="229">
        <v>0.38390000000000002</v>
      </c>
      <c r="AV173" s="230">
        <v>317250</v>
      </c>
      <c r="AW173" s="230">
        <v>236875</v>
      </c>
      <c r="AX173" s="230">
        <v>80375</v>
      </c>
      <c r="AY173" s="229">
        <v>0.33929999999999999</v>
      </c>
      <c r="AZ173" s="230">
        <v>48250</v>
      </c>
      <c r="BA173" s="230">
        <v>28250</v>
      </c>
      <c r="BB173" s="230">
        <v>20000</v>
      </c>
      <c r="BC173" s="229">
        <v>0.70799999999999996</v>
      </c>
      <c r="BD173" s="230">
        <v>3125</v>
      </c>
      <c r="BE173" s="230">
        <v>1250</v>
      </c>
      <c r="BF173" s="230">
        <v>1875</v>
      </c>
      <c r="BG173" s="229">
        <v>1.5</v>
      </c>
      <c r="BH173" s="230">
        <v>2225625</v>
      </c>
      <c r="BI173" s="230">
        <v>1139000</v>
      </c>
      <c r="BJ173" s="230">
        <v>1086625</v>
      </c>
      <c r="BK173" s="229">
        <v>0.95399999999999996</v>
      </c>
      <c r="BL173" s="230">
        <v>836500</v>
      </c>
      <c r="BM173" s="230">
        <v>594000</v>
      </c>
      <c r="BN173" s="230">
        <v>242500</v>
      </c>
      <c r="BO173" s="229">
        <v>0.40820000000000001</v>
      </c>
      <c r="BP173" s="230">
        <v>3430750</v>
      </c>
      <c r="BQ173" s="230">
        <v>1999375</v>
      </c>
      <c r="BR173" s="230">
        <v>1431375</v>
      </c>
      <c r="BS173" s="229">
        <v>0.71589999999999998</v>
      </c>
      <c r="BT173" s="230">
        <v>223176</v>
      </c>
      <c r="BU173" s="230">
        <v>192640</v>
      </c>
      <c r="BV173" s="230">
        <v>30536</v>
      </c>
      <c r="BW173" s="229">
        <v>0.1585</v>
      </c>
      <c r="BX173" s="230">
        <v>1679625</v>
      </c>
      <c r="BY173" s="230">
        <v>1710750</v>
      </c>
      <c r="BZ173" s="230">
        <v>-31125</v>
      </c>
      <c r="CA173" s="229">
        <v>-1.8200000000000001E-2</v>
      </c>
      <c r="CB173" s="230">
        <v>1596375</v>
      </c>
      <c r="CC173" s="230">
        <v>1628375</v>
      </c>
      <c r="CD173" s="230">
        <v>-32000</v>
      </c>
      <c r="CE173" s="229">
        <v>-1.9699999999999999E-2</v>
      </c>
      <c r="CF173" s="230">
        <v>74750</v>
      </c>
      <c r="CG173" s="230">
        <v>73500</v>
      </c>
      <c r="CH173" s="230">
        <v>1250</v>
      </c>
      <c r="CI173" s="229">
        <v>1.7000000000000001E-2</v>
      </c>
      <c r="CJ173" s="230">
        <v>8500</v>
      </c>
      <c r="CK173" s="230">
        <v>8875</v>
      </c>
      <c r="CL173" s="228">
        <v>-375</v>
      </c>
      <c r="CM173" s="229">
        <v>-4.2299999999999997E-2</v>
      </c>
      <c r="CN173" s="230">
        <v>853750</v>
      </c>
      <c r="CO173" s="230">
        <v>851375</v>
      </c>
      <c r="CP173" s="230">
        <v>2375</v>
      </c>
      <c r="CQ173" s="229">
        <v>2.8E-3</v>
      </c>
      <c r="CR173" s="230">
        <v>671500</v>
      </c>
      <c r="CS173" s="230">
        <v>634875</v>
      </c>
      <c r="CT173" s="230">
        <v>36625</v>
      </c>
      <c r="CU173" s="229">
        <v>5.7700000000000001E-2</v>
      </c>
      <c r="CV173" s="230">
        <v>3204875</v>
      </c>
      <c r="CW173" s="230">
        <v>3197000</v>
      </c>
      <c r="CX173" s="230">
        <v>7875</v>
      </c>
      <c r="CY173" s="229">
        <v>2.5000000000000001E-3</v>
      </c>
      <c r="CZ173" s="228">
        <v>25.68</v>
      </c>
      <c r="DA173" s="228">
        <v>27.31</v>
      </c>
      <c r="DB173" s="228">
        <v>-1.63</v>
      </c>
      <c r="DC173" s="228">
        <v>-1.63</v>
      </c>
      <c r="DD173" s="228">
        <v>44.09</v>
      </c>
      <c r="DE173" s="228">
        <v>44.19</v>
      </c>
      <c r="DF173" s="228">
        <v>-18.41</v>
      </c>
      <c r="DG173" s="228">
        <v>-0.1</v>
      </c>
      <c r="DH173" s="228">
        <v>25.08</v>
      </c>
      <c r="DI173" s="228">
        <v>26.33</v>
      </c>
      <c r="DJ173" s="228">
        <v>-1.25</v>
      </c>
      <c r="DK173" s="228">
        <v>-1.25</v>
      </c>
      <c r="DL173" s="228">
        <v>27.28</v>
      </c>
      <c r="DM173" s="228">
        <v>29.19</v>
      </c>
      <c r="DN173" s="228">
        <v>-1.91</v>
      </c>
      <c r="DO173" s="228">
        <v>-1.91</v>
      </c>
      <c r="DP173" s="228">
        <v>0.79</v>
      </c>
      <c r="DQ173" s="228">
        <v>0.75</v>
      </c>
      <c r="DR173" s="228">
        <v>0.04</v>
      </c>
      <c r="DS173" s="229">
        <v>5.33E-2</v>
      </c>
      <c r="DT173" s="231">
        <v>7200</v>
      </c>
      <c r="DU173" s="231">
        <v>7000</v>
      </c>
      <c r="DV173" s="228">
        <v>0.38</v>
      </c>
      <c r="DW173" s="228">
        <v>0.52</v>
      </c>
      <c r="DX173" s="228">
        <v>-0.14000000000000001</v>
      </c>
      <c r="DY173" s="229">
        <v>-0.26919999999999999</v>
      </c>
      <c r="DZ173" s="229">
        <v>4.9599999999999998E-2</v>
      </c>
      <c r="EA173" s="230">
        <v>82375</v>
      </c>
      <c r="EB173" s="229">
        <v>6.1000000000000004E-3</v>
      </c>
      <c r="EC173" s="229">
        <v>4.9599999999999998E-2</v>
      </c>
      <c r="ED173" s="228">
        <v>38.85</v>
      </c>
      <c r="EE173" s="229">
        <v>5.4000000000000003E-3</v>
      </c>
      <c r="EF173" s="230">
        <v>99214</v>
      </c>
      <c r="EG173" s="230">
        <v>100793</v>
      </c>
      <c r="EH173" s="229">
        <v>-1.5699999999999999E-2</v>
      </c>
      <c r="EI173" s="229">
        <v>0.4446</v>
      </c>
      <c r="EJ173" s="231">
        <v>163139.51</v>
      </c>
      <c r="EK173" s="231">
        <v>58719.61</v>
      </c>
      <c r="EL173" s="231">
        <v>26485.34</v>
      </c>
      <c r="EM173" s="228">
        <v>0</v>
      </c>
      <c r="EN173" s="231">
        <v>248344.46</v>
      </c>
      <c r="EO173" s="231">
        <v>143038.68</v>
      </c>
      <c r="EP173" s="231">
        <v>105305.78</v>
      </c>
      <c r="EQ173" s="229">
        <v>0.73619999999999997</v>
      </c>
      <c r="ER173" s="231">
        <v>60593</v>
      </c>
      <c r="ES173" s="231">
        <v>45139</v>
      </c>
      <c r="ET173" s="231">
        <v>120408</v>
      </c>
      <c r="EU173" s="231">
        <v>11134251</v>
      </c>
      <c r="EV173" s="231">
        <v>226140</v>
      </c>
      <c r="EW173" s="231">
        <v>224609</v>
      </c>
      <c r="EX173" s="231">
        <v>1531</v>
      </c>
      <c r="EY173" s="229">
        <v>6.7999999999999996E-3</v>
      </c>
      <c r="EZ173" s="229">
        <v>0.2878</v>
      </c>
      <c r="FA173" s="227" t="s">
        <v>556</v>
      </c>
      <c r="FB173" s="161">
        <f t="shared" si="4"/>
        <v>0</v>
      </c>
    </row>
    <row r="174" spans="1:158" ht="17.25" thickBot="1" x14ac:dyDescent="0.3">
      <c r="A174" s="226">
        <v>45889</v>
      </c>
      <c r="B174" s="227" t="s">
        <v>175</v>
      </c>
      <c r="C174" s="227" t="s">
        <v>597</v>
      </c>
      <c r="D174" s="228">
        <v>1700</v>
      </c>
      <c r="E174" s="228">
        <v>464.8</v>
      </c>
      <c r="F174" s="228">
        <v>471.35</v>
      </c>
      <c r="G174" s="228">
        <v>-6.55</v>
      </c>
      <c r="H174" s="229">
        <v>-1.3899999999999999E-2</v>
      </c>
      <c r="I174" s="228">
        <v>462.8</v>
      </c>
      <c r="J174" s="228">
        <v>469.75</v>
      </c>
      <c r="K174" s="228">
        <v>-6.95</v>
      </c>
      <c r="L174" s="229">
        <v>-1.4800000000000001E-2</v>
      </c>
      <c r="M174" s="228">
        <v>464.8</v>
      </c>
      <c r="N174" s="228">
        <v>471.35</v>
      </c>
      <c r="O174" s="228">
        <v>-6.55</v>
      </c>
      <c r="P174" s="229">
        <v>-1.3899999999999999E-2</v>
      </c>
      <c r="Q174" s="228">
        <v>0</v>
      </c>
      <c r="R174" s="228">
        <v>0</v>
      </c>
      <c r="S174" s="228">
        <v>0</v>
      </c>
      <c r="T174" s="229">
        <v>0</v>
      </c>
      <c r="U174" s="228">
        <v>0</v>
      </c>
      <c r="V174" s="228">
        <v>0</v>
      </c>
      <c r="W174" s="228">
        <v>0</v>
      </c>
      <c r="X174" s="229">
        <v>0</v>
      </c>
      <c r="Y174" s="228">
        <v>2</v>
      </c>
      <c r="Z174" s="228">
        <v>1.6</v>
      </c>
      <c r="AA174" s="228">
        <v>0.4</v>
      </c>
      <c r="AB174" s="229">
        <v>4.3E-3</v>
      </c>
      <c r="AC174" s="228">
        <v>2</v>
      </c>
      <c r="AD174" s="228">
        <v>1.6</v>
      </c>
      <c r="AE174" s="228">
        <v>0.4</v>
      </c>
      <c r="AF174" s="229">
        <v>4.3E-3</v>
      </c>
      <c r="AG174" s="228">
        <v>0</v>
      </c>
      <c r="AH174" s="228">
        <v>0</v>
      </c>
      <c r="AI174" s="228">
        <v>0</v>
      </c>
      <c r="AJ174" s="229">
        <v>0</v>
      </c>
      <c r="AK174" s="228">
        <v>0</v>
      </c>
      <c r="AL174" s="228">
        <v>0</v>
      </c>
      <c r="AM174" s="228">
        <v>0</v>
      </c>
      <c r="AN174" s="229">
        <v>0</v>
      </c>
      <c r="AO174" s="228">
        <v>466.59</v>
      </c>
      <c r="AP174" s="228">
        <v>0</v>
      </c>
      <c r="AQ174" s="228">
        <v>0</v>
      </c>
      <c r="AR174" s="230">
        <v>778600</v>
      </c>
      <c r="AS174" s="230">
        <v>1395700</v>
      </c>
      <c r="AT174" s="230">
        <v>-617100</v>
      </c>
      <c r="AU174" s="229">
        <v>-0.44209999999999999</v>
      </c>
      <c r="AV174" s="230">
        <v>778600</v>
      </c>
      <c r="AW174" s="230">
        <v>1395700</v>
      </c>
      <c r="AX174" s="230">
        <v>-617100</v>
      </c>
      <c r="AY174" s="229">
        <v>-0.44209999999999999</v>
      </c>
      <c r="AZ174" s="228">
        <v>0</v>
      </c>
      <c r="BA174" s="228">
        <v>0</v>
      </c>
      <c r="BB174" s="228">
        <v>0</v>
      </c>
      <c r="BC174" s="229">
        <v>0</v>
      </c>
      <c r="BD174" s="228">
        <v>0</v>
      </c>
      <c r="BE174" s="228">
        <v>0</v>
      </c>
      <c r="BF174" s="228">
        <v>0</v>
      </c>
      <c r="BG174" s="229">
        <v>0</v>
      </c>
      <c r="BH174" s="230">
        <v>1416100</v>
      </c>
      <c r="BI174" s="230">
        <v>2072300</v>
      </c>
      <c r="BJ174" s="230">
        <v>-656200</v>
      </c>
      <c r="BK174" s="229">
        <v>-0.31669999999999998</v>
      </c>
      <c r="BL174" s="230">
        <v>1001300</v>
      </c>
      <c r="BM174" s="230">
        <v>953700</v>
      </c>
      <c r="BN174" s="230">
        <v>47600</v>
      </c>
      <c r="BO174" s="229">
        <v>4.99E-2</v>
      </c>
      <c r="BP174" s="230">
        <v>3196000</v>
      </c>
      <c r="BQ174" s="230">
        <v>4421700</v>
      </c>
      <c r="BR174" s="230">
        <v>-1225700</v>
      </c>
      <c r="BS174" s="229">
        <v>-0.2772</v>
      </c>
      <c r="BT174" s="230">
        <v>503408</v>
      </c>
      <c r="BU174" s="230">
        <v>789600</v>
      </c>
      <c r="BV174" s="230">
        <v>-286192</v>
      </c>
      <c r="BW174" s="229">
        <v>-0.36249999999999999</v>
      </c>
      <c r="BX174" s="230">
        <v>9190200</v>
      </c>
      <c r="BY174" s="230">
        <v>9270100</v>
      </c>
      <c r="BZ174" s="230">
        <v>-79900</v>
      </c>
      <c r="CA174" s="229">
        <v>-8.6E-3</v>
      </c>
      <c r="CB174" s="230">
        <v>9190200</v>
      </c>
      <c r="CC174" s="230">
        <v>9270100</v>
      </c>
      <c r="CD174" s="230">
        <v>-79900</v>
      </c>
      <c r="CE174" s="229">
        <v>-8.6E-3</v>
      </c>
      <c r="CF174" s="228">
        <v>0</v>
      </c>
      <c r="CG174" s="228">
        <v>0</v>
      </c>
      <c r="CH174" s="228">
        <v>0</v>
      </c>
      <c r="CI174" s="229">
        <v>0</v>
      </c>
      <c r="CJ174" s="228">
        <v>0</v>
      </c>
      <c r="CK174" s="228">
        <v>0</v>
      </c>
      <c r="CL174" s="228">
        <v>0</v>
      </c>
      <c r="CM174" s="229">
        <v>0</v>
      </c>
      <c r="CN174" s="230">
        <v>2714900</v>
      </c>
      <c r="CO174" s="230">
        <v>2716600</v>
      </c>
      <c r="CP174" s="230">
        <v>-1700</v>
      </c>
      <c r="CQ174" s="229">
        <v>-5.9999999999999995E-4</v>
      </c>
      <c r="CR174" s="230">
        <v>2225300</v>
      </c>
      <c r="CS174" s="230">
        <v>2296700</v>
      </c>
      <c r="CT174" s="230">
        <v>-71400</v>
      </c>
      <c r="CU174" s="229">
        <v>-3.1099999999999999E-2</v>
      </c>
      <c r="CV174" s="230">
        <v>14130400</v>
      </c>
      <c r="CW174" s="230">
        <v>14283400</v>
      </c>
      <c r="CX174" s="230">
        <v>-153000</v>
      </c>
      <c r="CY174" s="229">
        <v>-1.0699999999999999E-2</v>
      </c>
      <c r="CZ174" s="228">
        <v>31.34</v>
      </c>
      <c r="DA174" s="228">
        <v>30.21</v>
      </c>
      <c r="DB174" s="228">
        <v>1.1299999999999999</v>
      </c>
      <c r="DC174" s="228">
        <v>1.1299999999999999</v>
      </c>
      <c r="DD174" s="228">
        <v>44.22</v>
      </c>
      <c r="DE174" s="228">
        <v>44.29</v>
      </c>
      <c r="DF174" s="228">
        <v>-12.88</v>
      </c>
      <c r="DG174" s="228">
        <v>-7.0000000000000007E-2</v>
      </c>
      <c r="DH174" s="228">
        <v>30</v>
      </c>
      <c r="DI174" s="228">
        <v>29.24</v>
      </c>
      <c r="DJ174" s="228">
        <v>0.76</v>
      </c>
      <c r="DK174" s="228">
        <v>0.76</v>
      </c>
      <c r="DL174" s="228">
        <v>33.229999999999997</v>
      </c>
      <c r="DM174" s="228">
        <v>32.31</v>
      </c>
      <c r="DN174" s="228">
        <v>0.92</v>
      </c>
      <c r="DO174" s="228">
        <v>0.92</v>
      </c>
      <c r="DP174" s="228">
        <v>0.82</v>
      </c>
      <c r="DQ174" s="228">
        <v>0.85</v>
      </c>
      <c r="DR174" s="228">
        <v>-0.03</v>
      </c>
      <c r="DS174" s="229">
        <v>-3.5299999999999998E-2</v>
      </c>
      <c r="DT174" s="228">
        <v>470</v>
      </c>
      <c r="DU174" s="228">
        <v>470</v>
      </c>
      <c r="DV174" s="228">
        <v>0.71</v>
      </c>
      <c r="DW174" s="228">
        <v>0.46</v>
      </c>
      <c r="DX174" s="228">
        <v>0.25</v>
      </c>
      <c r="DY174" s="229">
        <v>0.54349999999999998</v>
      </c>
      <c r="DZ174" s="229">
        <v>0</v>
      </c>
      <c r="EA174" s="228">
        <v>0</v>
      </c>
      <c r="EB174" s="229">
        <v>0</v>
      </c>
      <c r="EC174" s="229">
        <v>0</v>
      </c>
      <c r="ED174" s="228">
        <v>0</v>
      </c>
      <c r="EE174" s="229">
        <v>0</v>
      </c>
      <c r="EF174" s="230">
        <v>254279</v>
      </c>
      <c r="EG174" s="230">
        <v>314492</v>
      </c>
      <c r="EH174" s="229">
        <v>-0.1915</v>
      </c>
      <c r="EI174" s="229">
        <v>0.50509999999999999</v>
      </c>
      <c r="EJ174" s="231">
        <v>6828.2</v>
      </c>
      <c r="EK174" s="231">
        <v>4464.8</v>
      </c>
      <c r="EL174" s="231">
        <v>3632.85</v>
      </c>
      <c r="EM174" s="228">
        <v>0</v>
      </c>
      <c r="EN174" s="231">
        <v>14925.85</v>
      </c>
      <c r="EO174" s="231">
        <v>20934.21</v>
      </c>
      <c r="EP174" s="231">
        <v>-6008.36</v>
      </c>
      <c r="EQ174" s="229">
        <v>-0.28699999999999998</v>
      </c>
      <c r="ER174" s="231">
        <v>12575</v>
      </c>
      <c r="ES174" s="231">
        <v>9424</v>
      </c>
      <c r="ET174" s="231">
        <v>42716</v>
      </c>
      <c r="EU174" s="231">
        <v>57468540</v>
      </c>
      <c r="EV174" s="231">
        <v>64715</v>
      </c>
      <c r="EW174" s="231">
        <v>66000</v>
      </c>
      <c r="EX174" s="231">
        <v>-1285</v>
      </c>
      <c r="EY174" s="229">
        <v>-1.95E-2</v>
      </c>
      <c r="EZ174" s="229">
        <v>0.24590000000000001</v>
      </c>
      <c r="FA174" s="227" t="s">
        <v>568</v>
      </c>
      <c r="FB174" s="161">
        <f t="shared" si="4"/>
        <v>0</v>
      </c>
    </row>
    <row r="175" spans="1:158" ht="17.25" thickBot="1" x14ac:dyDescent="0.3">
      <c r="A175" s="226">
        <v>45889</v>
      </c>
      <c r="B175" s="227" t="s">
        <v>161</v>
      </c>
      <c r="C175" s="227" t="s">
        <v>276</v>
      </c>
      <c r="D175" s="228">
        <v>1900</v>
      </c>
      <c r="E175" s="228">
        <v>288.60000000000002</v>
      </c>
      <c r="F175" s="228">
        <v>288.45</v>
      </c>
      <c r="G175" s="228">
        <v>0.15</v>
      </c>
      <c r="H175" s="229">
        <v>5.0000000000000001E-4</v>
      </c>
      <c r="I175" s="228">
        <v>288.39999999999998</v>
      </c>
      <c r="J175" s="228">
        <v>288</v>
      </c>
      <c r="K175" s="228">
        <v>0.4</v>
      </c>
      <c r="L175" s="229">
        <v>1.4E-3</v>
      </c>
      <c r="M175" s="228">
        <v>288.60000000000002</v>
      </c>
      <c r="N175" s="228">
        <v>288.45</v>
      </c>
      <c r="O175" s="228">
        <v>0.15</v>
      </c>
      <c r="P175" s="229">
        <v>5.0000000000000001E-4</v>
      </c>
      <c r="Q175" s="228">
        <v>290.3</v>
      </c>
      <c r="R175" s="228">
        <v>290.10000000000002</v>
      </c>
      <c r="S175" s="228">
        <v>0.2</v>
      </c>
      <c r="T175" s="229">
        <v>6.9999999999999999E-4</v>
      </c>
      <c r="U175" s="228">
        <v>291.45</v>
      </c>
      <c r="V175" s="228">
        <v>291.8</v>
      </c>
      <c r="W175" s="228">
        <v>-0.35</v>
      </c>
      <c r="X175" s="229">
        <v>-1.1999999999999999E-3</v>
      </c>
      <c r="Y175" s="228">
        <v>0.2</v>
      </c>
      <c r="Z175" s="228">
        <v>0.45</v>
      </c>
      <c r="AA175" s="228">
        <v>-0.25</v>
      </c>
      <c r="AB175" s="229">
        <v>6.9999999999999999E-4</v>
      </c>
      <c r="AC175" s="228">
        <v>0.2</v>
      </c>
      <c r="AD175" s="228">
        <v>0.45</v>
      </c>
      <c r="AE175" s="228">
        <v>-0.25</v>
      </c>
      <c r="AF175" s="229">
        <v>6.9999999999999999E-4</v>
      </c>
      <c r="AG175" s="228">
        <v>1.9</v>
      </c>
      <c r="AH175" s="228">
        <v>2.1</v>
      </c>
      <c r="AI175" s="228">
        <v>-0.2</v>
      </c>
      <c r="AJ175" s="229">
        <v>6.6E-3</v>
      </c>
      <c r="AK175" s="228">
        <v>3.05</v>
      </c>
      <c r="AL175" s="228">
        <v>3.8</v>
      </c>
      <c r="AM175" s="228">
        <v>-0.75</v>
      </c>
      <c r="AN175" s="229">
        <v>1.06E-2</v>
      </c>
      <c r="AO175" s="228">
        <v>288.25</v>
      </c>
      <c r="AP175" s="228">
        <v>290.2</v>
      </c>
      <c r="AQ175" s="228">
        <v>0</v>
      </c>
      <c r="AR175" s="230">
        <v>5378900</v>
      </c>
      <c r="AS175" s="230">
        <v>4957100</v>
      </c>
      <c r="AT175" s="230">
        <v>421800</v>
      </c>
      <c r="AU175" s="229">
        <v>8.5099999999999995E-2</v>
      </c>
      <c r="AV175" s="230">
        <v>3921600</v>
      </c>
      <c r="AW175" s="230">
        <v>4265500</v>
      </c>
      <c r="AX175" s="230">
        <v>-343900</v>
      </c>
      <c r="AY175" s="229">
        <v>-8.0600000000000005E-2</v>
      </c>
      <c r="AZ175" s="230">
        <v>1316700</v>
      </c>
      <c r="BA175" s="230">
        <v>566200</v>
      </c>
      <c r="BB175" s="230">
        <v>750500</v>
      </c>
      <c r="BC175" s="229">
        <v>1.3254999999999999</v>
      </c>
      <c r="BD175" s="230">
        <v>140600</v>
      </c>
      <c r="BE175" s="230">
        <v>125400</v>
      </c>
      <c r="BF175" s="230">
        <v>15200</v>
      </c>
      <c r="BG175" s="229">
        <v>0.1212</v>
      </c>
      <c r="BH175" s="230">
        <v>10934500</v>
      </c>
      <c r="BI175" s="230">
        <v>13927000</v>
      </c>
      <c r="BJ175" s="230">
        <v>-2992500</v>
      </c>
      <c r="BK175" s="229">
        <v>-0.21490000000000001</v>
      </c>
      <c r="BL175" s="230">
        <v>4178100</v>
      </c>
      <c r="BM175" s="230">
        <v>6252900</v>
      </c>
      <c r="BN175" s="230">
        <v>-2074800</v>
      </c>
      <c r="BO175" s="229">
        <v>-0.33179999999999998</v>
      </c>
      <c r="BP175" s="230">
        <v>20491500</v>
      </c>
      <c r="BQ175" s="230">
        <v>25137000</v>
      </c>
      <c r="BR175" s="230">
        <v>-4645500</v>
      </c>
      <c r="BS175" s="229">
        <v>-0.18479999999999999</v>
      </c>
      <c r="BT175" s="230">
        <v>3208939</v>
      </c>
      <c r="BU175" s="230">
        <v>7439962</v>
      </c>
      <c r="BV175" s="230">
        <v>-4231023</v>
      </c>
      <c r="BW175" s="229">
        <v>-0.56869999999999998</v>
      </c>
      <c r="BX175" s="230">
        <v>74611100</v>
      </c>
      <c r="BY175" s="230">
        <v>74679500</v>
      </c>
      <c r="BZ175" s="230">
        <v>-68400</v>
      </c>
      <c r="CA175" s="229">
        <v>-8.9999999999999998E-4</v>
      </c>
      <c r="CB175" s="230">
        <v>69939000</v>
      </c>
      <c r="CC175" s="230">
        <v>70995400</v>
      </c>
      <c r="CD175" s="230">
        <v>-1056400</v>
      </c>
      <c r="CE175" s="229">
        <v>-1.49E-2</v>
      </c>
      <c r="CF175" s="230">
        <v>4446000</v>
      </c>
      <c r="CG175" s="230">
        <v>3486500</v>
      </c>
      <c r="CH175" s="230">
        <v>959500</v>
      </c>
      <c r="CI175" s="229">
        <v>0.2752</v>
      </c>
      <c r="CJ175" s="230">
        <v>226100</v>
      </c>
      <c r="CK175" s="230">
        <v>197600</v>
      </c>
      <c r="CL175" s="230">
        <v>28500</v>
      </c>
      <c r="CM175" s="229">
        <v>0.14419999999999999</v>
      </c>
      <c r="CN175" s="230">
        <v>21635300</v>
      </c>
      <c r="CO175" s="230">
        <v>21703700</v>
      </c>
      <c r="CP175" s="230">
        <v>-68400</v>
      </c>
      <c r="CQ175" s="229">
        <v>-3.2000000000000002E-3</v>
      </c>
      <c r="CR175" s="230">
        <v>11248000</v>
      </c>
      <c r="CS175" s="230">
        <v>10888900</v>
      </c>
      <c r="CT175" s="230">
        <v>359100</v>
      </c>
      <c r="CU175" s="229">
        <v>3.3000000000000002E-2</v>
      </c>
      <c r="CV175" s="230">
        <v>107494400</v>
      </c>
      <c r="CW175" s="230">
        <v>107272100</v>
      </c>
      <c r="CX175" s="230">
        <v>222300</v>
      </c>
      <c r="CY175" s="229">
        <v>2.0999999999999999E-3</v>
      </c>
      <c r="CZ175" s="228">
        <v>18.079999999999998</v>
      </c>
      <c r="DA175" s="228">
        <v>18.72</v>
      </c>
      <c r="DB175" s="228">
        <v>-0.64</v>
      </c>
      <c r="DC175" s="228">
        <v>-0.64</v>
      </c>
      <c r="DD175" s="228">
        <v>30.58</v>
      </c>
      <c r="DE175" s="228">
        <v>30.65</v>
      </c>
      <c r="DF175" s="228">
        <v>-12.5</v>
      </c>
      <c r="DG175" s="228">
        <v>-7.0000000000000007E-2</v>
      </c>
      <c r="DH175" s="228">
        <v>18.3</v>
      </c>
      <c r="DI175" s="228">
        <v>18.899999999999999</v>
      </c>
      <c r="DJ175" s="228">
        <v>-0.6</v>
      </c>
      <c r="DK175" s="228">
        <v>-0.6</v>
      </c>
      <c r="DL175" s="228">
        <v>17.510000000000002</v>
      </c>
      <c r="DM175" s="228">
        <v>18.309999999999999</v>
      </c>
      <c r="DN175" s="228">
        <v>-0.8</v>
      </c>
      <c r="DO175" s="228">
        <v>-0.8</v>
      </c>
      <c r="DP175" s="228">
        <v>0.52</v>
      </c>
      <c r="DQ175" s="228">
        <v>0.5</v>
      </c>
      <c r="DR175" s="228">
        <v>0.02</v>
      </c>
      <c r="DS175" s="229">
        <v>0.04</v>
      </c>
      <c r="DT175" s="228">
        <v>300</v>
      </c>
      <c r="DU175" s="228">
        <v>280</v>
      </c>
      <c r="DV175" s="228">
        <v>0.38</v>
      </c>
      <c r="DW175" s="228">
        <v>0.45</v>
      </c>
      <c r="DX175" s="228">
        <v>-7.0000000000000007E-2</v>
      </c>
      <c r="DY175" s="229">
        <v>-0.15559999999999999</v>
      </c>
      <c r="DZ175" s="229">
        <v>6.2600000000000003E-2</v>
      </c>
      <c r="EA175" s="230">
        <v>3684100</v>
      </c>
      <c r="EB175" s="229">
        <v>5.8999999999999999E-3</v>
      </c>
      <c r="EC175" s="229">
        <v>6.2600000000000003E-2</v>
      </c>
      <c r="ED175" s="228">
        <v>1.95</v>
      </c>
      <c r="EE175" s="229">
        <v>6.7999999999999996E-3</v>
      </c>
      <c r="EF175" s="230">
        <v>1812195</v>
      </c>
      <c r="EG175" s="230">
        <v>5560406</v>
      </c>
      <c r="EH175" s="229">
        <v>-0.67410000000000003</v>
      </c>
      <c r="EI175" s="229">
        <v>0.56469999999999998</v>
      </c>
      <c r="EJ175" s="231">
        <v>32273.65</v>
      </c>
      <c r="EK175" s="231">
        <v>12032.14</v>
      </c>
      <c r="EL175" s="231">
        <v>15534.39</v>
      </c>
      <c r="EM175" s="228">
        <v>0</v>
      </c>
      <c r="EN175" s="231">
        <v>59840.18</v>
      </c>
      <c r="EO175" s="231">
        <v>73801.98</v>
      </c>
      <c r="EP175" s="231">
        <v>-13961.8</v>
      </c>
      <c r="EQ175" s="229">
        <v>-0.18920000000000001</v>
      </c>
      <c r="ER175" s="231">
        <v>64821</v>
      </c>
      <c r="ES175" s="231">
        <v>32634</v>
      </c>
      <c r="ET175" s="231">
        <v>215410</v>
      </c>
      <c r="EU175" s="231">
        <v>905143907</v>
      </c>
      <c r="EV175" s="231">
        <v>312865</v>
      </c>
      <c r="EW175" s="231">
        <v>312154</v>
      </c>
      <c r="EX175" s="228">
        <v>711</v>
      </c>
      <c r="EY175" s="229">
        <v>2.3E-3</v>
      </c>
      <c r="EZ175" s="229">
        <v>0.1188</v>
      </c>
      <c r="FA175" s="227" t="s">
        <v>556</v>
      </c>
      <c r="FB175" s="161">
        <f t="shared" si="4"/>
        <v>0</v>
      </c>
    </row>
    <row r="176" spans="1:158" ht="17.25" thickBot="1" x14ac:dyDescent="0.3">
      <c r="A176" s="226">
        <v>45889</v>
      </c>
      <c r="B176" s="227" t="s">
        <v>170</v>
      </c>
      <c r="C176" s="227" t="s">
        <v>680</v>
      </c>
      <c r="D176" s="228">
        <v>2500</v>
      </c>
      <c r="E176" s="228">
        <v>192.09</v>
      </c>
      <c r="F176" s="228">
        <v>195.1</v>
      </c>
      <c r="G176" s="228">
        <v>-3.01</v>
      </c>
      <c r="H176" s="229">
        <v>-1.54E-2</v>
      </c>
      <c r="I176" s="228">
        <v>191.79</v>
      </c>
      <c r="J176" s="228">
        <v>194.21</v>
      </c>
      <c r="K176" s="228">
        <v>-2.42</v>
      </c>
      <c r="L176" s="229">
        <v>-1.2500000000000001E-2</v>
      </c>
      <c r="M176" s="228">
        <v>192.09</v>
      </c>
      <c r="N176" s="228">
        <v>195.1</v>
      </c>
      <c r="O176" s="228">
        <v>-3.01</v>
      </c>
      <c r="P176" s="229">
        <v>-1.54E-2</v>
      </c>
      <c r="Q176" s="228">
        <v>193.29</v>
      </c>
      <c r="R176" s="228">
        <v>195.94</v>
      </c>
      <c r="S176" s="228">
        <v>-2.65</v>
      </c>
      <c r="T176" s="229">
        <v>-1.35E-2</v>
      </c>
      <c r="U176" s="228">
        <v>194.32</v>
      </c>
      <c r="V176" s="228">
        <v>197.94</v>
      </c>
      <c r="W176" s="228">
        <v>-3.62</v>
      </c>
      <c r="X176" s="229">
        <v>-1.83E-2</v>
      </c>
      <c r="Y176" s="228">
        <v>0.3</v>
      </c>
      <c r="Z176" s="228">
        <v>0.89</v>
      </c>
      <c r="AA176" s="228">
        <v>-0.59</v>
      </c>
      <c r="AB176" s="229">
        <v>1.6000000000000001E-3</v>
      </c>
      <c r="AC176" s="228">
        <v>0.3</v>
      </c>
      <c r="AD176" s="228">
        <v>0.89</v>
      </c>
      <c r="AE176" s="228">
        <v>-0.59</v>
      </c>
      <c r="AF176" s="229">
        <v>1.6000000000000001E-3</v>
      </c>
      <c r="AG176" s="228">
        <v>1.5</v>
      </c>
      <c r="AH176" s="228">
        <v>1.73</v>
      </c>
      <c r="AI176" s="228">
        <v>-0.23</v>
      </c>
      <c r="AJ176" s="229">
        <v>7.7999999999999996E-3</v>
      </c>
      <c r="AK176" s="228">
        <v>2.5299999999999998</v>
      </c>
      <c r="AL176" s="228">
        <v>3.73</v>
      </c>
      <c r="AM176" s="228">
        <v>-1.2</v>
      </c>
      <c r="AN176" s="229">
        <v>1.32E-2</v>
      </c>
      <c r="AO176" s="228">
        <v>192.68</v>
      </c>
      <c r="AP176" s="228">
        <v>193.82</v>
      </c>
      <c r="AQ176" s="228">
        <v>0</v>
      </c>
      <c r="AR176" s="230">
        <v>2602500</v>
      </c>
      <c r="AS176" s="230">
        <v>2915000</v>
      </c>
      <c r="AT176" s="230">
        <v>-312500</v>
      </c>
      <c r="AU176" s="229">
        <v>-0.1072</v>
      </c>
      <c r="AV176" s="230">
        <v>2120000</v>
      </c>
      <c r="AW176" s="230">
        <v>2402500</v>
      </c>
      <c r="AX176" s="230">
        <v>-282500</v>
      </c>
      <c r="AY176" s="229">
        <v>-0.1176</v>
      </c>
      <c r="AZ176" s="230">
        <v>447500</v>
      </c>
      <c r="BA176" s="230">
        <v>497500</v>
      </c>
      <c r="BB176" s="230">
        <v>-50000</v>
      </c>
      <c r="BC176" s="229">
        <v>-0.10050000000000001</v>
      </c>
      <c r="BD176" s="230">
        <v>35000</v>
      </c>
      <c r="BE176" s="230">
        <v>15000</v>
      </c>
      <c r="BF176" s="230">
        <v>20000</v>
      </c>
      <c r="BG176" s="229">
        <v>1.3332999999999999</v>
      </c>
      <c r="BH176" s="230">
        <v>4352500</v>
      </c>
      <c r="BI176" s="230">
        <v>7102500</v>
      </c>
      <c r="BJ176" s="230">
        <v>-2750000</v>
      </c>
      <c r="BK176" s="229">
        <v>-0.38719999999999999</v>
      </c>
      <c r="BL176" s="230">
        <v>2472500</v>
      </c>
      <c r="BM176" s="230">
        <v>2412500</v>
      </c>
      <c r="BN176" s="230">
        <v>60000</v>
      </c>
      <c r="BO176" s="229">
        <v>2.4899999999999999E-2</v>
      </c>
      <c r="BP176" s="230">
        <v>9427500</v>
      </c>
      <c r="BQ176" s="230">
        <v>12430000</v>
      </c>
      <c r="BR176" s="230">
        <v>-3002500</v>
      </c>
      <c r="BS176" s="229">
        <v>-0.24160000000000001</v>
      </c>
      <c r="BT176" s="230">
        <v>1825052</v>
      </c>
      <c r="BU176" s="230">
        <v>2018424</v>
      </c>
      <c r="BV176" s="230">
        <v>-193372</v>
      </c>
      <c r="BW176" s="229">
        <v>-9.5799999999999996E-2</v>
      </c>
      <c r="BX176" s="230">
        <v>12890000</v>
      </c>
      <c r="BY176" s="230">
        <v>12837500</v>
      </c>
      <c r="BZ176" s="230">
        <v>52500</v>
      </c>
      <c r="CA176" s="229">
        <v>4.1000000000000003E-3</v>
      </c>
      <c r="CB176" s="230">
        <v>11667500</v>
      </c>
      <c r="CC176" s="230">
        <v>11800000</v>
      </c>
      <c r="CD176" s="230">
        <v>-132500</v>
      </c>
      <c r="CE176" s="229">
        <v>-1.12E-2</v>
      </c>
      <c r="CF176" s="230">
        <v>1095000</v>
      </c>
      <c r="CG176" s="230">
        <v>930000</v>
      </c>
      <c r="CH176" s="230">
        <v>165000</v>
      </c>
      <c r="CI176" s="229">
        <v>0.1774</v>
      </c>
      <c r="CJ176" s="230">
        <v>127500</v>
      </c>
      <c r="CK176" s="230">
        <v>107500</v>
      </c>
      <c r="CL176" s="230">
        <v>20000</v>
      </c>
      <c r="CM176" s="229">
        <v>0.186</v>
      </c>
      <c r="CN176" s="230">
        <v>7577500</v>
      </c>
      <c r="CO176" s="230">
        <v>7645000</v>
      </c>
      <c r="CP176" s="230">
        <v>-67500</v>
      </c>
      <c r="CQ176" s="229">
        <v>-8.8000000000000005E-3</v>
      </c>
      <c r="CR176" s="230">
        <v>4577500</v>
      </c>
      <c r="CS176" s="230">
        <v>4425000</v>
      </c>
      <c r="CT176" s="230">
        <v>152500</v>
      </c>
      <c r="CU176" s="229">
        <v>3.4500000000000003E-2</v>
      </c>
      <c r="CV176" s="230">
        <v>25045000</v>
      </c>
      <c r="CW176" s="230">
        <v>24907500</v>
      </c>
      <c r="CX176" s="230">
        <v>137500</v>
      </c>
      <c r="CY176" s="229">
        <v>5.4999999999999997E-3</v>
      </c>
      <c r="CZ176" s="228">
        <v>36.79</v>
      </c>
      <c r="DA176" s="228">
        <v>36.25</v>
      </c>
      <c r="DB176" s="228">
        <v>0.54</v>
      </c>
      <c r="DC176" s="228">
        <v>0.54</v>
      </c>
      <c r="DD176" s="228">
        <v>48.61</v>
      </c>
      <c r="DE176" s="228">
        <v>48.68</v>
      </c>
      <c r="DF176" s="228">
        <v>-11.82</v>
      </c>
      <c r="DG176" s="228">
        <v>-7.0000000000000007E-2</v>
      </c>
      <c r="DH176" s="228">
        <v>38.25</v>
      </c>
      <c r="DI176" s="228">
        <v>36.08</v>
      </c>
      <c r="DJ176" s="228">
        <v>2.17</v>
      </c>
      <c r="DK176" s="228">
        <v>2.17</v>
      </c>
      <c r="DL176" s="228">
        <v>34.21</v>
      </c>
      <c r="DM176" s="228">
        <v>36.75</v>
      </c>
      <c r="DN176" s="228">
        <v>-2.54</v>
      </c>
      <c r="DO176" s="228">
        <v>-2.54</v>
      </c>
      <c r="DP176" s="228">
        <v>0.6</v>
      </c>
      <c r="DQ176" s="228">
        <v>0.57999999999999996</v>
      </c>
      <c r="DR176" s="228">
        <v>0.02</v>
      </c>
      <c r="DS176" s="229">
        <v>3.4500000000000003E-2</v>
      </c>
      <c r="DT176" s="228">
        <v>200</v>
      </c>
      <c r="DU176" s="228">
        <v>190</v>
      </c>
      <c r="DV176" s="228">
        <v>0.56999999999999995</v>
      </c>
      <c r="DW176" s="228">
        <v>0.34</v>
      </c>
      <c r="DX176" s="228">
        <v>0.23</v>
      </c>
      <c r="DY176" s="229">
        <v>0.67649999999999999</v>
      </c>
      <c r="DZ176" s="229">
        <v>9.4799999999999995E-2</v>
      </c>
      <c r="EA176" s="230">
        <v>1037500</v>
      </c>
      <c r="EB176" s="229">
        <v>6.1999999999999998E-3</v>
      </c>
      <c r="EC176" s="229">
        <v>9.4799999999999995E-2</v>
      </c>
      <c r="ED176" s="228">
        <v>1.1399999999999999</v>
      </c>
      <c r="EE176" s="229">
        <v>5.8999999999999999E-3</v>
      </c>
      <c r="EF176" s="230">
        <v>846713</v>
      </c>
      <c r="EG176" s="230">
        <v>959866</v>
      </c>
      <c r="EH176" s="229">
        <v>-0.1179</v>
      </c>
      <c r="EI176" s="229">
        <v>0.46389999999999998</v>
      </c>
      <c r="EJ176" s="231">
        <v>8820.7199999999993</v>
      </c>
      <c r="EK176" s="231">
        <v>4868.63</v>
      </c>
      <c r="EL176" s="231">
        <v>5020.2700000000004</v>
      </c>
      <c r="EM176" s="228">
        <v>0</v>
      </c>
      <c r="EN176" s="231">
        <v>18709.62</v>
      </c>
      <c r="EO176" s="231">
        <v>24772.12</v>
      </c>
      <c r="EP176" s="231">
        <v>-6062.5</v>
      </c>
      <c r="EQ176" s="229">
        <v>-0.2447</v>
      </c>
      <c r="ER176" s="231">
        <v>15692</v>
      </c>
      <c r="ES176" s="231">
        <v>8748</v>
      </c>
      <c r="ET176" s="231">
        <v>24776</v>
      </c>
      <c r="EU176" s="231">
        <v>171670855</v>
      </c>
      <c r="EV176" s="231">
        <v>49216</v>
      </c>
      <c r="EW176" s="231">
        <v>49455</v>
      </c>
      <c r="EX176" s="228">
        <v>-239</v>
      </c>
      <c r="EY176" s="229">
        <v>-4.7999999999999996E-3</v>
      </c>
      <c r="EZ176" s="229">
        <v>0.1459</v>
      </c>
      <c r="FA176" s="227" t="s">
        <v>567</v>
      </c>
      <c r="FB176" s="161">
        <f t="shared" si="4"/>
        <v>0</v>
      </c>
    </row>
    <row r="177" spans="1:158" ht="17.25" thickBot="1" x14ac:dyDescent="0.3">
      <c r="A177" s="226">
        <v>45889</v>
      </c>
      <c r="B177" s="227" t="s">
        <v>206</v>
      </c>
      <c r="C177" s="227" t="s">
        <v>606</v>
      </c>
      <c r="D177" s="228">
        <v>450</v>
      </c>
      <c r="E177" s="231">
        <v>1632.7</v>
      </c>
      <c r="F177" s="231">
        <v>1637.6</v>
      </c>
      <c r="G177" s="228">
        <v>-4.9000000000000004</v>
      </c>
      <c r="H177" s="229">
        <v>-3.0000000000000001E-3</v>
      </c>
      <c r="I177" s="231">
        <v>1626.6</v>
      </c>
      <c r="J177" s="231">
        <v>1636.4</v>
      </c>
      <c r="K177" s="228">
        <v>-9.8000000000000007</v>
      </c>
      <c r="L177" s="229">
        <v>-6.0000000000000001E-3</v>
      </c>
      <c r="M177" s="231">
        <v>1632.7</v>
      </c>
      <c r="N177" s="231">
        <v>1637.6</v>
      </c>
      <c r="O177" s="228">
        <v>-4.9000000000000004</v>
      </c>
      <c r="P177" s="229">
        <v>-3.0000000000000001E-3</v>
      </c>
      <c r="Q177" s="231">
        <v>1639.5</v>
      </c>
      <c r="R177" s="231">
        <v>1646.8</v>
      </c>
      <c r="S177" s="228">
        <v>-7.3</v>
      </c>
      <c r="T177" s="229">
        <v>-4.4000000000000003E-3</v>
      </c>
      <c r="U177" s="231">
        <v>1646</v>
      </c>
      <c r="V177" s="231">
        <v>1651.6</v>
      </c>
      <c r="W177" s="228">
        <v>-5.6</v>
      </c>
      <c r="X177" s="229">
        <v>-3.3999999999999998E-3</v>
      </c>
      <c r="Y177" s="228">
        <v>6.1</v>
      </c>
      <c r="Z177" s="228">
        <v>1.2</v>
      </c>
      <c r="AA177" s="228">
        <v>4.9000000000000004</v>
      </c>
      <c r="AB177" s="229">
        <v>3.8E-3</v>
      </c>
      <c r="AC177" s="228">
        <v>6.1</v>
      </c>
      <c r="AD177" s="228">
        <v>1.2</v>
      </c>
      <c r="AE177" s="228">
        <v>4.9000000000000004</v>
      </c>
      <c r="AF177" s="229">
        <v>3.8E-3</v>
      </c>
      <c r="AG177" s="228">
        <v>12.9</v>
      </c>
      <c r="AH177" s="228">
        <v>10.4</v>
      </c>
      <c r="AI177" s="228">
        <v>2.5</v>
      </c>
      <c r="AJ177" s="229">
        <v>7.9000000000000008E-3</v>
      </c>
      <c r="AK177" s="228">
        <v>19.399999999999999</v>
      </c>
      <c r="AL177" s="228">
        <v>15.2</v>
      </c>
      <c r="AM177" s="228">
        <v>4.2</v>
      </c>
      <c r="AN177" s="229">
        <v>1.1900000000000001E-2</v>
      </c>
      <c r="AO177" s="231">
        <v>1628.57</v>
      </c>
      <c r="AP177" s="231">
        <v>1636.58</v>
      </c>
      <c r="AQ177" s="228">
        <v>0</v>
      </c>
      <c r="AR177" s="230">
        <v>879750</v>
      </c>
      <c r="AS177" s="230">
        <v>828000</v>
      </c>
      <c r="AT177" s="230">
        <v>51750</v>
      </c>
      <c r="AU177" s="229">
        <v>6.25E-2</v>
      </c>
      <c r="AV177" s="230">
        <v>720450</v>
      </c>
      <c r="AW177" s="230">
        <v>770400</v>
      </c>
      <c r="AX177" s="230">
        <v>-49950</v>
      </c>
      <c r="AY177" s="229">
        <v>-6.4799999999999996E-2</v>
      </c>
      <c r="AZ177" s="230">
        <v>158400</v>
      </c>
      <c r="BA177" s="230">
        <v>56700</v>
      </c>
      <c r="BB177" s="230">
        <v>101700</v>
      </c>
      <c r="BC177" s="229">
        <v>1.7937000000000001</v>
      </c>
      <c r="BD177" s="228">
        <v>900</v>
      </c>
      <c r="BE177" s="228">
        <v>900</v>
      </c>
      <c r="BF177" s="228">
        <v>0</v>
      </c>
      <c r="BG177" s="229">
        <v>0</v>
      </c>
      <c r="BH177" s="230">
        <v>1404900</v>
      </c>
      <c r="BI177" s="230">
        <v>1636650</v>
      </c>
      <c r="BJ177" s="230">
        <v>-231750</v>
      </c>
      <c r="BK177" s="229">
        <v>-0.1416</v>
      </c>
      <c r="BL177" s="230">
        <v>394200</v>
      </c>
      <c r="BM177" s="230">
        <v>1535400</v>
      </c>
      <c r="BN177" s="230">
        <v>-1141200</v>
      </c>
      <c r="BO177" s="229">
        <v>-0.74329999999999996</v>
      </c>
      <c r="BP177" s="230">
        <v>2678850</v>
      </c>
      <c r="BQ177" s="230">
        <v>4000050</v>
      </c>
      <c r="BR177" s="230">
        <v>-1321200</v>
      </c>
      <c r="BS177" s="229">
        <v>-0.33029999999999998</v>
      </c>
      <c r="BT177" s="230">
        <v>632458</v>
      </c>
      <c r="BU177" s="230">
        <v>258061</v>
      </c>
      <c r="BV177" s="230">
        <v>374397</v>
      </c>
      <c r="BW177" s="229">
        <v>1.4508000000000001</v>
      </c>
      <c r="BX177" s="230">
        <v>5215950</v>
      </c>
      <c r="BY177" s="230">
        <v>5094450</v>
      </c>
      <c r="BZ177" s="230">
        <v>121500</v>
      </c>
      <c r="CA177" s="229">
        <v>2.3800000000000002E-2</v>
      </c>
      <c r="CB177" s="230">
        <v>5026950</v>
      </c>
      <c r="CC177" s="230">
        <v>4971150</v>
      </c>
      <c r="CD177" s="230">
        <v>55800</v>
      </c>
      <c r="CE177" s="229">
        <v>1.12E-2</v>
      </c>
      <c r="CF177" s="230">
        <v>185400</v>
      </c>
      <c r="CG177" s="230">
        <v>119700</v>
      </c>
      <c r="CH177" s="230">
        <v>65700</v>
      </c>
      <c r="CI177" s="229">
        <v>0.54890000000000005</v>
      </c>
      <c r="CJ177" s="230">
        <v>3600</v>
      </c>
      <c r="CK177" s="230">
        <v>3600</v>
      </c>
      <c r="CL177" s="228">
        <v>0</v>
      </c>
      <c r="CM177" s="229">
        <v>0</v>
      </c>
      <c r="CN177" s="230">
        <v>2083050</v>
      </c>
      <c r="CO177" s="230">
        <v>2066400</v>
      </c>
      <c r="CP177" s="230">
        <v>16650</v>
      </c>
      <c r="CQ177" s="229">
        <v>8.0999999999999996E-3</v>
      </c>
      <c r="CR177" s="230">
        <v>916200</v>
      </c>
      <c r="CS177" s="230">
        <v>933750</v>
      </c>
      <c r="CT177" s="230">
        <v>-17550</v>
      </c>
      <c r="CU177" s="229">
        <v>-1.8800000000000001E-2</v>
      </c>
      <c r="CV177" s="230">
        <v>8215200</v>
      </c>
      <c r="CW177" s="230">
        <v>8094600</v>
      </c>
      <c r="CX177" s="230">
        <v>120600</v>
      </c>
      <c r="CY177" s="229">
        <v>1.49E-2</v>
      </c>
      <c r="CZ177" s="228">
        <v>33.82</v>
      </c>
      <c r="DA177" s="228">
        <v>33.5</v>
      </c>
      <c r="DB177" s="228">
        <v>0.32</v>
      </c>
      <c r="DC177" s="228">
        <v>0.32</v>
      </c>
      <c r="DD177" s="228">
        <v>49.75</v>
      </c>
      <c r="DE177" s="228">
        <v>49.87</v>
      </c>
      <c r="DF177" s="228">
        <v>-15.93</v>
      </c>
      <c r="DG177" s="228">
        <v>-0.12</v>
      </c>
      <c r="DH177" s="228">
        <v>33.630000000000003</v>
      </c>
      <c r="DI177" s="228">
        <v>34.299999999999997</v>
      </c>
      <c r="DJ177" s="228">
        <v>-0.67</v>
      </c>
      <c r="DK177" s="228">
        <v>-0.67</v>
      </c>
      <c r="DL177" s="228">
        <v>34.51</v>
      </c>
      <c r="DM177" s="228">
        <v>32.65</v>
      </c>
      <c r="DN177" s="228">
        <v>1.86</v>
      </c>
      <c r="DO177" s="228">
        <v>1.86</v>
      </c>
      <c r="DP177" s="228">
        <v>0.44</v>
      </c>
      <c r="DQ177" s="228">
        <v>0.45</v>
      </c>
      <c r="DR177" s="228">
        <v>-0.01</v>
      </c>
      <c r="DS177" s="229">
        <v>-2.2200000000000001E-2</v>
      </c>
      <c r="DT177" s="231">
        <v>1800</v>
      </c>
      <c r="DU177" s="231">
        <v>1600</v>
      </c>
      <c r="DV177" s="228">
        <v>0.28000000000000003</v>
      </c>
      <c r="DW177" s="228">
        <v>0.94</v>
      </c>
      <c r="DX177" s="228">
        <v>-0.66</v>
      </c>
      <c r="DY177" s="229">
        <v>-0.70209999999999995</v>
      </c>
      <c r="DZ177" s="229">
        <v>3.6200000000000003E-2</v>
      </c>
      <c r="EA177" s="230">
        <v>123300</v>
      </c>
      <c r="EB177" s="229">
        <v>4.1999999999999997E-3</v>
      </c>
      <c r="EC177" s="229">
        <v>3.6200000000000003E-2</v>
      </c>
      <c r="ED177" s="228">
        <v>8.01</v>
      </c>
      <c r="EE177" s="229">
        <v>4.8999999999999998E-3</v>
      </c>
      <c r="EF177" s="230">
        <v>385154</v>
      </c>
      <c r="EG177" s="230">
        <v>81656</v>
      </c>
      <c r="EH177" s="229">
        <v>3.7168000000000001</v>
      </c>
      <c r="EI177" s="229">
        <v>0.60899999999999999</v>
      </c>
      <c r="EJ177" s="231">
        <v>23891.01</v>
      </c>
      <c r="EK177" s="231">
        <v>6255.04</v>
      </c>
      <c r="EL177" s="231">
        <v>14340.2</v>
      </c>
      <c r="EM177" s="228">
        <v>0</v>
      </c>
      <c r="EN177" s="231">
        <v>44486.25</v>
      </c>
      <c r="EO177" s="231">
        <v>66391.740000000005</v>
      </c>
      <c r="EP177" s="231">
        <v>-21905.49</v>
      </c>
      <c r="EQ177" s="229">
        <v>-0.32990000000000003</v>
      </c>
      <c r="ER177" s="231">
        <v>36988</v>
      </c>
      <c r="ES177" s="231">
        <v>14536</v>
      </c>
      <c r="ET177" s="231">
        <v>85174</v>
      </c>
      <c r="EU177" s="231">
        <v>33646046</v>
      </c>
      <c r="EV177" s="231">
        <v>136698</v>
      </c>
      <c r="EW177" s="231">
        <v>134938</v>
      </c>
      <c r="EX177" s="231">
        <v>1760</v>
      </c>
      <c r="EY177" s="229">
        <v>1.2999999999999999E-2</v>
      </c>
      <c r="EZ177" s="229">
        <v>0.2442</v>
      </c>
      <c r="FA177" s="227" t="s">
        <v>567</v>
      </c>
      <c r="FB177" s="161">
        <f t="shared" si="4"/>
        <v>0</v>
      </c>
    </row>
    <row r="178" spans="1:158" ht="17.25" thickBot="1" x14ac:dyDescent="0.3">
      <c r="A178" s="226">
        <v>45889</v>
      </c>
      <c r="B178" s="227" t="s">
        <v>172</v>
      </c>
      <c r="C178" s="227" t="s">
        <v>279</v>
      </c>
      <c r="D178" s="228">
        <v>3175</v>
      </c>
      <c r="E178" s="228">
        <v>256.85000000000002</v>
      </c>
      <c r="F178" s="228">
        <v>261.95</v>
      </c>
      <c r="G178" s="228">
        <v>-5.0999999999999996</v>
      </c>
      <c r="H178" s="229">
        <v>-1.95E-2</v>
      </c>
      <c r="I178" s="228">
        <v>256.60000000000002</v>
      </c>
      <c r="J178" s="228">
        <v>261.75</v>
      </c>
      <c r="K178" s="228">
        <v>-5.15</v>
      </c>
      <c r="L178" s="229">
        <v>-1.9699999999999999E-2</v>
      </c>
      <c r="M178" s="228">
        <v>256.85000000000002</v>
      </c>
      <c r="N178" s="228">
        <v>261.95</v>
      </c>
      <c r="O178" s="228">
        <v>-5.0999999999999996</v>
      </c>
      <c r="P178" s="229">
        <v>-1.95E-2</v>
      </c>
      <c r="Q178" s="228">
        <v>256.35000000000002</v>
      </c>
      <c r="R178" s="228">
        <v>262.60000000000002</v>
      </c>
      <c r="S178" s="228">
        <v>-6.25</v>
      </c>
      <c r="T178" s="229">
        <v>-2.3800000000000002E-2</v>
      </c>
      <c r="U178" s="228">
        <v>256.45</v>
      </c>
      <c r="V178" s="228">
        <v>256.45</v>
      </c>
      <c r="W178" s="228">
        <v>0</v>
      </c>
      <c r="X178" s="229">
        <v>0</v>
      </c>
      <c r="Y178" s="228">
        <v>0.25</v>
      </c>
      <c r="Z178" s="228">
        <v>0.2</v>
      </c>
      <c r="AA178" s="228">
        <v>0.05</v>
      </c>
      <c r="AB178" s="229">
        <v>1E-3</v>
      </c>
      <c r="AC178" s="228">
        <v>0.25</v>
      </c>
      <c r="AD178" s="228">
        <v>0.2</v>
      </c>
      <c r="AE178" s="228">
        <v>0.05</v>
      </c>
      <c r="AF178" s="229">
        <v>1E-3</v>
      </c>
      <c r="AG178" s="228">
        <v>-0.25</v>
      </c>
      <c r="AH178" s="228">
        <v>0.85</v>
      </c>
      <c r="AI178" s="228">
        <v>-1.1000000000000001</v>
      </c>
      <c r="AJ178" s="229">
        <v>-1E-3</v>
      </c>
      <c r="AK178" s="228">
        <v>-0.15</v>
      </c>
      <c r="AL178" s="228">
        <v>-5.3</v>
      </c>
      <c r="AM178" s="228">
        <v>5.15</v>
      </c>
      <c r="AN178" s="229">
        <v>-5.9999999999999995E-4</v>
      </c>
      <c r="AO178" s="228">
        <v>257.17</v>
      </c>
      <c r="AP178" s="228">
        <v>258.70999999999998</v>
      </c>
      <c r="AQ178" s="228">
        <v>0</v>
      </c>
      <c r="AR178" s="230">
        <v>993775</v>
      </c>
      <c r="AS178" s="230">
        <v>1063625</v>
      </c>
      <c r="AT178" s="230">
        <v>-69850</v>
      </c>
      <c r="AU178" s="229">
        <v>-6.5699999999999995E-2</v>
      </c>
      <c r="AV178" s="230">
        <v>923925</v>
      </c>
      <c r="AW178" s="230">
        <v>892175</v>
      </c>
      <c r="AX178" s="230">
        <v>31750</v>
      </c>
      <c r="AY178" s="229">
        <v>3.56E-2</v>
      </c>
      <c r="AZ178" s="230">
        <v>69850</v>
      </c>
      <c r="BA178" s="230">
        <v>171450</v>
      </c>
      <c r="BB178" s="230">
        <v>-101600</v>
      </c>
      <c r="BC178" s="229">
        <v>-0.59260000000000002</v>
      </c>
      <c r="BD178" s="228">
        <v>0</v>
      </c>
      <c r="BE178" s="228">
        <v>0</v>
      </c>
      <c r="BF178" s="228">
        <v>0</v>
      </c>
      <c r="BG178" s="229">
        <v>0</v>
      </c>
      <c r="BH178" s="230">
        <v>438150</v>
      </c>
      <c r="BI178" s="230">
        <v>336550</v>
      </c>
      <c r="BJ178" s="230">
        <v>101600</v>
      </c>
      <c r="BK178" s="229">
        <v>0.3019</v>
      </c>
      <c r="BL178" s="230">
        <v>79375</v>
      </c>
      <c r="BM178" s="230">
        <v>88900</v>
      </c>
      <c r="BN178" s="230">
        <v>-9525</v>
      </c>
      <c r="BO178" s="229">
        <v>-0.1071</v>
      </c>
      <c r="BP178" s="230">
        <v>1511300</v>
      </c>
      <c r="BQ178" s="230">
        <v>1489075</v>
      </c>
      <c r="BR178" s="230">
        <v>22225</v>
      </c>
      <c r="BS178" s="229">
        <v>1.49E-2</v>
      </c>
      <c r="BT178" s="230">
        <v>3851864</v>
      </c>
      <c r="BU178" s="230">
        <v>4878376</v>
      </c>
      <c r="BV178" s="230">
        <v>-1026512</v>
      </c>
      <c r="BW178" s="229">
        <v>-0.2104</v>
      </c>
      <c r="BX178" s="230">
        <v>90195400</v>
      </c>
      <c r="BY178" s="230">
        <v>91189175</v>
      </c>
      <c r="BZ178" s="230">
        <v>-993775</v>
      </c>
      <c r="CA178" s="229">
        <v>-1.09E-2</v>
      </c>
      <c r="CB178" s="230">
        <v>84889975</v>
      </c>
      <c r="CC178" s="230">
        <v>85813900</v>
      </c>
      <c r="CD178" s="230">
        <v>-923925</v>
      </c>
      <c r="CE178" s="229">
        <v>-1.0800000000000001E-2</v>
      </c>
      <c r="CF178" s="230">
        <v>5184775</v>
      </c>
      <c r="CG178" s="230">
        <v>5254625</v>
      </c>
      <c r="CH178" s="230">
        <v>-69850</v>
      </c>
      <c r="CI178" s="229">
        <v>-1.3299999999999999E-2</v>
      </c>
      <c r="CJ178" s="230">
        <v>120650</v>
      </c>
      <c r="CK178" s="230">
        <v>120650</v>
      </c>
      <c r="CL178" s="228">
        <v>0</v>
      </c>
      <c r="CM178" s="229">
        <v>0</v>
      </c>
      <c r="CN178" s="230">
        <v>18719800</v>
      </c>
      <c r="CO178" s="230">
        <v>19157950</v>
      </c>
      <c r="CP178" s="230">
        <v>-438150</v>
      </c>
      <c r="CQ178" s="229">
        <v>-2.29E-2</v>
      </c>
      <c r="CR178" s="230">
        <v>10255250</v>
      </c>
      <c r="CS178" s="230">
        <v>10334625</v>
      </c>
      <c r="CT178" s="230">
        <v>-79375</v>
      </c>
      <c r="CU178" s="229">
        <v>-7.7000000000000002E-3</v>
      </c>
      <c r="CV178" s="230">
        <v>119170450</v>
      </c>
      <c r="CW178" s="230">
        <v>120681750</v>
      </c>
      <c r="CX178" s="230">
        <v>-1511300</v>
      </c>
      <c r="CY178" s="229">
        <v>-1.2500000000000001E-2</v>
      </c>
      <c r="CZ178" s="228">
        <v>57.21</v>
      </c>
      <c r="DA178" s="228">
        <v>47.7</v>
      </c>
      <c r="DB178" s="228">
        <v>9.51</v>
      </c>
      <c r="DC178" s="228">
        <v>9.51</v>
      </c>
      <c r="DD178" s="228">
        <v>49.6</v>
      </c>
      <c r="DE178" s="228">
        <v>49.65</v>
      </c>
      <c r="DF178" s="228">
        <v>7.61</v>
      </c>
      <c r="DG178" s="228">
        <v>-0.05</v>
      </c>
      <c r="DH178" s="228">
        <v>57.87</v>
      </c>
      <c r="DI178" s="228">
        <v>47.67</v>
      </c>
      <c r="DJ178" s="228">
        <v>10.199999999999999</v>
      </c>
      <c r="DK178" s="228">
        <v>10.199999999999999</v>
      </c>
      <c r="DL178" s="228">
        <v>53.54</v>
      </c>
      <c r="DM178" s="228">
        <v>47.78</v>
      </c>
      <c r="DN178" s="228">
        <v>5.76</v>
      </c>
      <c r="DO178" s="228">
        <v>5.76</v>
      </c>
      <c r="DP178" s="228">
        <v>0.55000000000000004</v>
      </c>
      <c r="DQ178" s="228">
        <v>0.54</v>
      </c>
      <c r="DR178" s="228">
        <v>0.01</v>
      </c>
      <c r="DS178" s="229">
        <v>1.8499999999999999E-2</v>
      </c>
      <c r="DT178" s="228">
        <v>300</v>
      </c>
      <c r="DU178" s="228">
        <v>260</v>
      </c>
      <c r="DV178" s="228">
        <v>0.18</v>
      </c>
      <c r="DW178" s="228">
        <v>0.26</v>
      </c>
      <c r="DX178" s="228">
        <v>-0.08</v>
      </c>
      <c r="DY178" s="229">
        <v>-0.30769999999999997</v>
      </c>
      <c r="DZ178" s="229">
        <v>5.8799999999999998E-2</v>
      </c>
      <c r="EA178" s="230">
        <v>5375275</v>
      </c>
      <c r="EB178" s="229">
        <v>-1.9E-3</v>
      </c>
      <c r="EC178" s="229">
        <v>5.8799999999999998E-2</v>
      </c>
      <c r="ED178" s="228">
        <v>1.54</v>
      </c>
      <c r="EE178" s="229">
        <v>6.0000000000000001E-3</v>
      </c>
      <c r="EF178" s="230">
        <v>1479795</v>
      </c>
      <c r="EG178" s="230">
        <v>1986224</v>
      </c>
      <c r="EH178" s="229">
        <v>-0.255</v>
      </c>
      <c r="EI178" s="229">
        <v>0.38419999999999999</v>
      </c>
      <c r="EJ178" s="231">
        <v>1270.05</v>
      </c>
      <c r="EK178" s="228">
        <v>208</v>
      </c>
      <c r="EL178" s="231">
        <v>2556.7399999999998</v>
      </c>
      <c r="EM178" s="228">
        <v>0</v>
      </c>
      <c r="EN178" s="231">
        <v>4034.79</v>
      </c>
      <c r="EO178" s="231">
        <v>3929.02</v>
      </c>
      <c r="EP178" s="228">
        <v>105.77</v>
      </c>
      <c r="EQ178" s="229">
        <v>2.69E-2</v>
      </c>
      <c r="ER178" s="231">
        <v>51963</v>
      </c>
      <c r="ES178" s="231">
        <v>26150</v>
      </c>
      <c r="ET178" s="231">
        <v>231640</v>
      </c>
      <c r="EU178" s="231">
        <v>121801958</v>
      </c>
      <c r="EV178" s="231">
        <v>309754</v>
      </c>
      <c r="EW178" s="231">
        <v>318476</v>
      </c>
      <c r="EX178" s="231">
        <v>-8722</v>
      </c>
      <c r="EY178" s="229">
        <v>-2.7400000000000001E-2</v>
      </c>
      <c r="EZ178" s="229">
        <v>0.97840000000000005</v>
      </c>
      <c r="FA178" s="227" t="s">
        <v>568</v>
      </c>
      <c r="FB178" s="161">
        <f t="shared" si="4"/>
        <v>0</v>
      </c>
    </row>
    <row r="179" spans="1:158" ht="17.25" thickBot="1" x14ac:dyDescent="0.3">
      <c r="A179" s="226">
        <v>45889</v>
      </c>
      <c r="B179" s="227" t="s">
        <v>175</v>
      </c>
      <c r="C179" s="227" t="s">
        <v>280</v>
      </c>
      <c r="D179" s="228">
        <v>1275</v>
      </c>
      <c r="E179" s="228">
        <v>381.9</v>
      </c>
      <c r="F179" s="228">
        <v>382.95</v>
      </c>
      <c r="G179" s="228">
        <v>-1.05</v>
      </c>
      <c r="H179" s="229">
        <v>-2.7000000000000001E-3</v>
      </c>
      <c r="I179" s="228">
        <v>380.85</v>
      </c>
      <c r="J179" s="228">
        <v>382.3</v>
      </c>
      <c r="K179" s="228">
        <v>-1.45</v>
      </c>
      <c r="L179" s="229">
        <v>-3.8E-3</v>
      </c>
      <c r="M179" s="228">
        <v>381.9</v>
      </c>
      <c r="N179" s="228">
        <v>382.95</v>
      </c>
      <c r="O179" s="228">
        <v>-1.05</v>
      </c>
      <c r="P179" s="229">
        <v>-2.7000000000000001E-3</v>
      </c>
      <c r="Q179" s="228">
        <v>384.15</v>
      </c>
      <c r="R179" s="228">
        <v>385.2</v>
      </c>
      <c r="S179" s="228">
        <v>-1.05</v>
      </c>
      <c r="T179" s="229">
        <v>-2.7000000000000001E-3</v>
      </c>
      <c r="U179" s="228">
        <v>386.05</v>
      </c>
      <c r="V179" s="228">
        <v>387.1</v>
      </c>
      <c r="W179" s="228">
        <v>-1.05</v>
      </c>
      <c r="X179" s="229">
        <v>-2.7000000000000001E-3</v>
      </c>
      <c r="Y179" s="228">
        <v>1.05</v>
      </c>
      <c r="Z179" s="228">
        <v>0.65</v>
      </c>
      <c r="AA179" s="228">
        <v>0.4</v>
      </c>
      <c r="AB179" s="229">
        <v>2.8E-3</v>
      </c>
      <c r="AC179" s="228">
        <v>1.05</v>
      </c>
      <c r="AD179" s="228">
        <v>0.65</v>
      </c>
      <c r="AE179" s="228">
        <v>0.4</v>
      </c>
      <c r="AF179" s="229">
        <v>2.8E-3</v>
      </c>
      <c r="AG179" s="228">
        <v>3.3</v>
      </c>
      <c r="AH179" s="228">
        <v>2.9</v>
      </c>
      <c r="AI179" s="228">
        <v>0.4</v>
      </c>
      <c r="AJ179" s="229">
        <v>8.6999999999999994E-3</v>
      </c>
      <c r="AK179" s="228">
        <v>5.2</v>
      </c>
      <c r="AL179" s="228">
        <v>4.8</v>
      </c>
      <c r="AM179" s="228">
        <v>0.4</v>
      </c>
      <c r="AN179" s="229">
        <v>1.37E-2</v>
      </c>
      <c r="AO179" s="228">
        <v>382.1</v>
      </c>
      <c r="AP179" s="228">
        <v>384.36</v>
      </c>
      <c r="AQ179" s="228">
        <v>0</v>
      </c>
      <c r="AR179" s="230">
        <v>8194425</v>
      </c>
      <c r="AS179" s="230">
        <v>8181675</v>
      </c>
      <c r="AT179" s="230">
        <v>12750</v>
      </c>
      <c r="AU179" s="229">
        <v>1.6000000000000001E-3</v>
      </c>
      <c r="AV179" s="230">
        <v>5696700</v>
      </c>
      <c r="AW179" s="230">
        <v>6265350</v>
      </c>
      <c r="AX179" s="230">
        <v>-568650</v>
      </c>
      <c r="AY179" s="229">
        <v>-9.0800000000000006E-2</v>
      </c>
      <c r="AZ179" s="230">
        <v>2380425</v>
      </c>
      <c r="BA179" s="230">
        <v>1727625</v>
      </c>
      <c r="BB179" s="230">
        <v>652800</v>
      </c>
      <c r="BC179" s="229">
        <v>0.37790000000000001</v>
      </c>
      <c r="BD179" s="230">
        <v>117300</v>
      </c>
      <c r="BE179" s="230">
        <v>188700</v>
      </c>
      <c r="BF179" s="230">
        <v>-71400</v>
      </c>
      <c r="BG179" s="229">
        <v>-0.37840000000000001</v>
      </c>
      <c r="BH179" s="230">
        <v>15766650</v>
      </c>
      <c r="BI179" s="230">
        <v>20856450</v>
      </c>
      <c r="BJ179" s="230">
        <v>-5089800</v>
      </c>
      <c r="BK179" s="229">
        <v>-0.24399999999999999</v>
      </c>
      <c r="BL179" s="230">
        <v>6802125</v>
      </c>
      <c r="BM179" s="230">
        <v>7259850</v>
      </c>
      <c r="BN179" s="230">
        <v>-457725</v>
      </c>
      <c r="BO179" s="229">
        <v>-6.3E-2</v>
      </c>
      <c r="BP179" s="230">
        <v>30763200</v>
      </c>
      <c r="BQ179" s="230">
        <v>36297975</v>
      </c>
      <c r="BR179" s="230">
        <v>-5534775</v>
      </c>
      <c r="BS179" s="229">
        <v>-0.1525</v>
      </c>
      <c r="BT179" s="230">
        <v>3163046</v>
      </c>
      <c r="BU179" s="230">
        <v>3747070</v>
      </c>
      <c r="BV179" s="230">
        <v>-584024</v>
      </c>
      <c r="BW179" s="229">
        <v>-0.15590000000000001</v>
      </c>
      <c r="BX179" s="230">
        <v>88064250</v>
      </c>
      <c r="BY179" s="230">
        <v>87792675</v>
      </c>
      <c r="BZ179" s="230">
        <v>271575</v>
      </c>
      <c r="CA179" s="229">
        <v>3.0999999999999999E-3</v>
      </c>
      <c r="CB179" s="230">
        <v>80896200</v>
      </c>
      <c r="CC179" s="230">
        <v>82263000</v>
      </c>
      <c r="CD179" s="230">
        <v>-1366800</v>
      </c>
      <c r="CE179" s="229">
        <v>-1.66E-2</v>
      </c>
      <c r="CF179" s="230">
        <v>6665700</v>
      </c>
      <c r="CG179" s="230">
        <v>5084700</v>
      </c>
      <c r="CH179" s="230">
        <v>1581000</v>
      </c>
      <c r="CI179" s="229">
        <v>0.31090000000000001</v>
      </c>
      <c r="CJ179" s="230">
        <v>502350</v>
      </c>
      <c r="CK179" s="230">
        <v>444975</v>
      </c>
      <c r="CL179" s="230">
        <v>57375</v>
      </c>
      <c r="CM179" s="229">
        <v>0.12889999999999999</v>
      </c>
      <c r="CN179" s="230">
        <v>32452575</v>
      </c>
      <c r="CO179" s="230">
        <v>32159325</v>
      </c>
      <c r="CP179" s="230">
        <v>293250</v>
      </c>
      <c r="CQ179" s="229">
        <v>9.1000000000000004E-3</v>
      </c>
      <c r="CR179" s="230">
        <v>20934225</v>
      </c>
      <c r="CS179" s="230">
        <v>20698350</v>
      </c>
      <c r="CT179" s="230">
        <v>235875</v>
      </c>
      <c r="CU179" s="229">
        <v>1.14E-2</v>
      </c>
      <c r="CV179" s="230">
        <v>141451050</v>
      </c>
      <c r="CW179" s="230">
        <v>140650350</v>
      </c>
      <c r="CX179" s="230">
        <v>800700</v>
      </c>
      <c r="CY179" s="229">
        <v>5.7000000000000002E-3</v>
      </c>
      <c r="CZ179" s="228">
        <v>26.72</v>
      </c>
      <c r="DA179" s="228">
        <v>27.26</v>
      </c>
      <c r="DB179" s="228">
        <v>-0.54</v>
      </c>
      <c r="DC179" s="228">
        <v>-0.54</v>
      </c>
      <c r="DD179" s="228">
        <v>48.46</v>
      </c>
      <c r="DE179" s="228">
        <v>48.58</v>
      </c>
      <c r="DF179" s="228">
        <v>-21.74</v>
      </c>
      <c r="DG179" s="228">
        <v>-0.12</v>
      </c>
      <c r="DH179" s="228">
        <v>27.06</v>
      </c>
      <c r="DI179" s="228">
        <v>27.57</v>
      </c>
      <c r="DJ179" s="228">
        <v>-0.51</v>
      </c>
      <c r="DK179" s="228">
        <v>-0.51</v>
      </c>
      <c r="DL179" s="228">
        <v>25.93</v>
      </c>
      <c r="DM179" s="228">
        <v>26.36</v>
      </c>
      <c r="DN179" s="228">
        <v>-0.43</v>
      </c>
      <c r="DO179" s="228">
        <v>-0.43</v>
      </c>
      <c r="DP179" s="228">
        <v>0.65</v>
      </c>
      <c r="DQ179" s="228">
        <v>0.64</v>
      </c>
      <c r="DR179" s="228">
        <v>0.01</v>
      </c>
      <c r="DS179" s="229">
        <v>1.5599999999999999E-2</v>
      </c>
      <c r="DT179" s="228">
        <v>400</v>
      </c>
      <c r="DU179" s="228">
        <v>380</v>
      </c>
      <c r="DV179" s="228">
        <v>0.43</v>
      </c>
      <c r="DW179" s="228">
        <v>0.35</v>
      </c>
      <c r="DX179" s="228">
        <v>0.08</v>
      </c>
      <c r="DY179" s="229">
        <v>0.2286</v>
      </c>
      <c r="DZ179" s="229">
        <v>8.14E-2</v>
      </c>
      <c r="EA179" s="230">
        <v>5529675</v>
      </c>
      <c r="EB179" s="229">
        <v>5.8999999999999999E-3</v>
      </c>
      <c r="EC179" s="229">
        <v>8.14E-2</v>
      </c>
      <c r="ED179" s="228">
        <v>2.2599999999999998</v>
      </c>
      <c r="EE179" s="229">
        <v>5.8999999999999999E-3</v>
      </c>
      <c r="EF179" s="230">
        <v>1716410</v>
      </c>
      <c r="EG179" s="230">
        <v>1823521</v>
      </c>
      <c r="EH179" s="229">
        <v>-5.8700000000000002E-2</v>
      </c>
      <c r="EI179" s="229">
        <v>0.54259999999999997</v>
      </c>
      <c r="EJ179" s="231">
        <v>62621.49</v>
      </c>
      <c r="EK179" s="231">
        <v>26088.080000000002</v>
      </c>
      <c r="EL179" s="231">
        <v>31369.39</v>
      </c>
      <c r="EM179" s="228">
        <v>0</v>
      </c>
      <c r="EN179" s="231">
        <v>120078.96</v>
      </c>
      <c r="EO179" s="231">
        <v>142134.47</v>
      </c>
      <c r="EP179" s="231">
        <v>-22055.51</v>
      </c>
      <c r="EQ179" s="229">
        <v>-0.1552</v>
      </c>
      <c r="ER179" s="231">
        <v>130572</v>
      </c>
      <c r="ES179" s="231">
        <v>80809</v>
      </c>
      <c r="ET179" s="231">
        <v>336488</v>
      </c>
      <c r="EU179" s="231">
        <v>249446067</v>
      </c>
      <c r="EV179" s="231">
        <v>547869</v>
      </c>
      <c r="EW179" s="231">
        <v>545782</v>
      </c>
      <c r="EX179" s="231">
        <v>2087</v>
      </c>
      <c r="EY179" s="229">
        <v>3.8E-3</v>
      </c>
      <c r="EZ179" s="229">
        <v>0.56710000000000005</v>
      </c>
      <c r="FA179" s="227" t="s">
        <v>567</v>
      </c>
      <c r="FB179" s="161">
        <f t="shared" si="4"/>
        <v>0</v>
      </c>
    </row>
    <row r="180" spans="1:158" ht="17.25" thickBot="1" x14ac:dyDescent="0.3">
      <c r="A180" s="226">
        <v>45889</v>
      </c>
      <c r="B180" s="227" t="s">
        <v>193</v>
      </c>
      <c r="C180" s="227" t="s">
        <v>281</v>
      </c>
      <c r="D180" s="228">
        <v>500</v>
      </c>
      <c r="E180" s="231">
        <v>1415.5</v>
      </c>
      <c r="F180" s="231">
        <v>1421.2</v>
      </c>
      <c r="G180" s="228">
        <v>-5.7</v>
      </c>
      <c r="H180" s="229">
        <v>-4.0000000000000001E-3</v>
      </c>
      <c r="I180" s="231">
        <v>1413</v>
      </c>
      <c r="J180" s="231">
        <v>1420.1</v>
      </c>
      <c r="K180" s="228">
        <v>-7.1</v>
      </c>
      <c r="L180" s="229">
        <v>-5.0000000000000001E-3</v>
      </c>
      <c r="M180" s="231">
        <v>1415.5</v>
      </c>
      <c r="N180" s="231">
        <v>1421.2</v>
      </c>
      <c r="O180" s="228">
        <v>-5.7</v>
      </c>
      <c r="P180" s="229">
        <v>-4.0000000000000001E-3</v>
      </c>
      <c r="Q180" s="231">
        <v>1423.9</v>
      </c>
      <c r="R180" s="231">
        <v>1429.5</v>
      </c>
      <c r="S180" s="228">
        <v>-5.6</v>
      </c>
      <c r="T180" s="229">
        <v>-3.8999999999999998E-3</v>
      </c>
      <c r="U180" s="231">
        <v>1430.4</v>
      </c>
      <c r="V180" s="231">
        <v>1436.5</v>
      </c>
      <c r="W180" s="228">
        <v>-6.1</v>
      </c>
      <c r="X180" s="229">
        <v>-4.1999999999999997E-3</v>
      </c>
      <c r="Y180" s="228">
        <v>2.5</v>
      </c>
      <c r="Z180" s="228">
        <v>1.1000000000000001</v>
      </c>
      <c r="AA180" s="228">
        <v>1.4</v>
      </c>
      <c r="AB180" s="229">
        <v>1.8E-3</v>
      </c>
      <c r="AC180" s="228">
        <v>2.5</v>
      </c>
      <c r="AD180" s="228">
        <v>1.1000000000000001</v>
      </c>
      <c r="AE180" s="228">
        <v>1.4</v>
      </c>
      <c r="AF180" s="229">
        <v>1.8E-3</v>
      </c>
      <c r="AG180" s="228">
        <v>10.9</v>
      </c>
      <c r="AH180" s="228">
        <v>9.4</v>
      </c>
      <c r="AI180" s="228">
        <v>1.5</v>
      </c>
      <c r="AJ180" s="229">
        <v>7.7000000000000002E-3</v>
      </c>
      <c r="AK180" s="228">
        <v>17.399999999999999</v>
      </c>
      <c r="AL180" s="228">
        <v>16.399999999999999</v>
      </c>
      <c r="AM180" s="228">
        <v>1</v>
      </c>
      <c r="AN180" s="229">
        <v>1.23E-2</v>
      </c>
      <c r="AO180" s="231">
        <v>1418.82</v>
      </c>
      <c r="AP180" s="231">
        <v>1426.83</v>
      </c>
      <c r="AQ180" s="228">
        <v>0</v>
      </c>
      <c r="AR180" s="230">
        <v>15315000</v>
      </c>
      <c r="AS180" s="230">
        <v>25985500</v>
      </c>
      <c r="AT180" s="230">
        <v>-10670500</v>
      </c>
      <c r="AU180" s="229">
        <v>-0.41060000000000002</v>
      </c>
      <c r="AV180" s="230">
        <v>11678000</v>
      </c>
      <c r="AW180" s="230">
        <v>21663500</v>
      </c>
      <c r="AX180" s="230">
        <v>-9985500</v>
      </c>
      <c r="AY180" s="229">
        <v>-0.46089999999999998</v>
      </c>
      <c r="AZ180" s="230">
        <v>3320500</v>
      </c>
      <c r="BA180" s="230">
        <v>3914500</v>
      </c>
      <c r="BB180" s="230">
        <v>-594000</v>
      </c>
      <c r="BC180" s="229">
        <v>-0.1517</v>
      </c>
      <c r="BD180" s="230">
        <v>316500</v>
      </c>
      <c r="BE180" s="230">
        <v>407500</v>
      </c>
      <c r="BF180" s="230">
        <v>-91000</v>
      </c>
      <c r="BG180" s="229">
        <v>-0.2233</v>
      </c>
      <c r="BH180" s="230">
        <v>97591500</v>
      </c>
      <c r="BI180" s="230">
        <v>199288500</v>
      </c>
      <c r="BJ180" s="230">
        <v>-101697000</v>
      </c>
      <c r="BK180" s="229">
        <v>-0.51029999999999998</v>
      </c>
      <c r="BL180" s="230">
        <v>48970000</v>
      </c>
      <c r="BM180" s="230">
        <v>96097000</v>
      </c>
      <c r="BN180" s="230">
        <v>-47127000</v>
      </c>
      <c r="BO180" s="229">
        <v>-0.4904</v>
      </c>
      <c r="BP180" s="230">
        <v>161876500</v>
      </c>
      <c r="BQ180" s="230">
        <v>321371000</v>
      </c>
      <c r="BR180" s="230">
        <v>-159494500</v>
      </c>
      <c r="BS180" s="229">
        <v>-0.49630000000000002</v>
      </c>
      <c r="BT180" s="230">
        <v>9155528</v>
      </c>
      <c r="BU180" s="230">
        <v>15703164</v>
      </c>
      <c r="BV180" s="230">
        <v>-6547636</v>
      </c>
      <c r="BW180" s="229">
        <v>-0.41699999999999998</v>
      </c>
      <c r="BX180" s="230">
        <v>122806500</v>
      </c>
      <c r="BY180" s="230">
        <v>123791500</v>
      </c>
      <c r="BZ180" s="230">
        <v>-985000</v>
      </c>
      <c r="CA180" s="229">
        <v>-8.0000000000000002E-3</v>
      </c>
      <c r="CB180" s="230">
        <v>96165500</v>
      </c>
      <c r="CC180" s="230">
        <v>99588000</v>
      </c>
      <c r="CD180" s="230">
        <v>-3422500</v>
      </c>
      <c r="CE180" s="229">
        <v>-3.44E-2</v>
      </c>
      <c r="CF180" s="230">
        <v>21631500</v>
      </c>
      <c r="CG180" s="230">
        <v>19371500</v>
      </c>
      <c r="CH180" s="230">
        <v>2260000</v>
      </c>
      <c r="CI180" s="229">
        <v>0.1167</v>
      </c>
      <c r="CJ180" s="230">
        <v>5009500</v>
      </c>
      <c r="CK180" s="230">
        <v>4832000</v>
      </c>
      <c r="CL180" s="230">
        <v>177500</v>
      </c>
      <c r="CM180" s="229">
        <v>3.6700000000000003E-2</v>
      </c>
      <c r="CN180" s="230">
        <v>62328500</v>
      </c>
      <c r="CO180" s="230">
        <v>57564000</v>
      </c>
      <c r="CP180" s="230">
        <v>4764500</v>
      </c>
      <c r="CQ180" s="229">
        <v>8.2799999999999999E-2</v>
      </c>
      <c r="CR180" s="230">
        <v>39536000</v>
      </c>
      <c r="CS180" s="230">
        <v>40346000</v>
      </c>
      <c r="CT180" s="230">
        <v>-810000</v>
      </c>
      <c r="CU180" s="229">
        <v>-2.01E-2</v>
      </c>
      <c r="CV180" s="230">
        <v>224671000</v>
      </c>
      <c r="CW180" s="230">
        <v>221701500</v>
      </c>
      <c r="CX180" s="230">
        <v>2969500</v>
      </c>
      <c r="CY180" s="229">
        <v>1.34E-2</v>
      </c>
      <c r="CZ180" s="228">
        <v>20.45</v>
      </c>
      <c r="DA180" s="228">
        <v>20.49</v>
      </c>
      <c r="DB180" s="228">
        <v>-0.04</v>
      </c>
      <c r="DC180" s="228">
        <v>-0.04</v>
      </c>
      <c r="DD180" s="228">
        <v>25.8</v>
      </c>
      <c r="DE180" s="228">
        <v>25.85</v>
      </c>
      <c r="DF180" s="228">
        <v>-5.35</v>
      </c>
      <c r="DG180" s="228">
        <v>-0.05</v>
      </c>
      <c r="DH180" s="228">
        <v>20.63</v>
      </c>
      <c r="DI180" s="228">
        <v>20.13</v>
      </c>
      <c r="DJ180" s="228">
        <v>0.5</v>
      </c>
      <c r="DK180" s="228">
        <v>0.5</v>
      </c>
      <c r="DL180" s="228">
        <v>20.09</v>
      </c>
      <c r="DM180" s="228">
        <v>21.23</v>
      </c>
      <c r="DN180" s="228">
        <v>-1.1399999999999999</v>
      </c>
      <c r="DO180" s="228">
        <v>-1.1399999999999999</v>
      </c>
      <c r="DP180" s="228">
        <v>0.63</v>
      </c>
      <c r="DQ180" s="228">
        <v>0.7</v>
      </c>
      <c r="DR180" s="228">
        <v>-7.0000000000000007E-2</v>
      </c>
      <c r="DS180" s="229">
        <v>-0.1</v>
      </c>
      <c r="DT180" s="231">
        <v>1500</v>
      </c>
      <c r="DU180" s="231">
        <v>1400</v>
      </c>
      <c r="DV180" s="228">
        <v>0.5</v>
      </c>
      <c r="DW180" s="228">
        <v>0.48</v>
      </c>
      <c r="DX180" s="228">
        <v>0.02</v>
      </c>
      <c r="DY180" s="229">
        <v>4.1700000000000001E-2</v>
      </c>
      <c r="DZ180" s="229">
        <v>0.21690000000000001</v>
      </c>
      <c r="EA180" s="230">
        <v>24203500</v>
      </c>
      <c r="EB180" s="229">
        <v>5.8999999999999999E-3</v>
      </c>
      <c r="EC180" s="229">
        <v>0.21690000000000001</v>
      </c>
      <c r="ED180" s="228">
        <v>8.01</v>
      </c>
      <c r="EE180" s="229">
        <v>5.5999999999999999E-3</v>
      </c>
      <c r="EF180" s="230">
        <v>5842309</v>
      </c>
      <c r="EG180" s="230">
        <v>8448070</v>
      </c>
      <c r="EH180" s="229">
        <v>-0.30840000000000001</v>
      </c>
      <c r="EI180" s="229">
        <v>0.6381</v>
      </c>
      <c r="EJ180" s="231">
        <v>1423076.48</v>
      </c>
      <c r="EK180" s="231">
        <v>687909.53</v>
      </c>
      <c r="EL180" s="231">
        <v>217604.44</v>
      </c>
      <c r="EM180" s="228">
        <v>0</v>
      </c>
      <c r="EN180" s="231">
        <v>2328590.4500000002</v>
      </c>
      <c r="EO180" s="231">
        <v>4593605.22</v>
      </c>
      <c r="EP180" s="231">
        <v>-2265014.77</v>
      </c>
      <c r="EQ180" s="229">
        <v>-0.49309999999999998</v>
      </c>
      <c r="ER180" s="231">
        <v>908658</v>
      </c>
      <c r="ES180" s="231">
        <v>548468</v>
      </c>
      <c r="ET180" s="231">
        <v>1740889</v>
      </c>
      <c r="EU180" s="231">
        <v>1325402121</v>
      </c>
      <c r="EV180" s="231">
        <v>3198015</v>
      </c>
      <c r="EW180" s="231">
        <v>3159858</v>
      </c>
      <c r="EX180" s="231">
        <v>38157</v>
      </c>
      <c r="EY180" s="229">
        <v>1.21E-2</v>
      </c>
      <c r="EZ180" s="229">
        <v>0.16950000000000001</v>
      </c>
      <c r="FA180" s="227" t="s">
        <v>568</v>
      </c>
      <c r="FB180" s="161">
        <f t="shared" si="4"/>
        <v>0</v>
      </c>
    </row>
    <row r="181" spans="1:158" ht="17.25" thickBot="1" x14ac:dyDescent="0.3">
      <c r="A181" s="226">
        <v>45889</v>
      </c>
      <c r="B181" s="227" t="s">
        <v>215</v>
      </c>
      <c r="C181" s="227" t="s">
        <v>677</v>
      </c>
      <c r="D181" s="228">
        <v>1375</v>
      </c>
      <c r="E181" s="228">
        <v>325.05</v>
      </c>
      <c r="F181" s="228">
        <v>325.75</v>
      </c>
      <c r="G181" s="228">
        <v>-0.7</v>
      </c>
      <c r="H181" s="229">
        <v>-2.0999999999999999E-3</v>
      </c>
      <c r="I181" s="228">
        <v>330.8</v>
      </c>
      <c r="J181" s="228">
        <v>327.75</v>
      </c>
      <c r="K181" s="228">
        <v>3.05</v>
      </c>
      <c r="L181" s="229">
        <v>9.2999999999999992E-3</v>
      </c>
      <c r="M181" s="228">
        <v>325.05</v>
      </c>
      <c r="N181" s="228">
        <v>325.75</v>
      </c>
      <c r="O181" s="228">
        <v>-0.7</v>
      </c>
      <c r="P181" s="229">
        <v>-2.0999999999999999E-3</v>
      </c>
      <c r="Q181" s="228">
        <v>321.85000000000002</v>
      </c>
      <c r="R181" s="228">
        <v>323.55</v>
      </c>
      <c r="S181" s="228">
        <v>-1.7</v>
      </c>
      <c r="T181" s="229">
        <v>-5.3E-3</v>
      </c>
      <c r="U181" s="228">
        <v>320.60000000000002</v>
      </c>
      <c r="V181" s="228">
        <v>322.45</v>
      </c>
      <c r="W181" s="228">
        <v>-1.85</v>
      </c>
      <c r="X181" s="229">
        <v>-5.7000000000000002E-3</v>
      </c>
      <c r="Y181" s="228">
        <v>-5.75</v>
      </c>
      <c r="Z181" s="228">
        <v>-2</v>
      </c>
      <c r="AA181" s="228">
        <v>-3.75</v>
      </c>
      <c r="AB181" s="229">
        <v>-1.7399999999999999E-2</v>
      </c>
      <c r="AC181" s="228">
        <v>-5.75</v>
      </c>
      <c r="AD181" s="228">
        <v>-2</v>
      </c>
      <c r="AE181" s="228">
        <v>-3.75</v>
      </c>
      <c r="AF181" s="229">
        <v>-1.7399999999999999E-2</v>
      </c>
      <c r="AG181" s="228">
        <v>-8.9499999999999993</v>
      </c>
      <c r="AH181" s="228">
        <v>-4.2</v>
      </c>
      <c r="AI181" s="228">
        <v>-4.75</v>
      </c>
      <c r="AJ181" s="229">
        <v>-2.7099999999999999E-2</v>
      </c>
      <c r="AK181" s="228">
        <v>-10.199999999999999</v>
      </c>
      <c r="AL181" s="228">
        <v>-5.3</v>
      </c>
      <c r="AM181" s="228">
        <v>-4.9000000000000004</v>
      </c>
      <c r="AN181" s="229">
        <v>-3.0800000000000001E-2</v>
      </c>
      <c r="AO181" s="228">
        <v>326.08999999999997</v>
      </c>
      <c r="AP181" s="228">
        <v>323.04000000000002</v>
      </c>
      <c r="AQ181" s="228">
        <v>0</v>
      </c>
      <c r="AR181" s="230">
        <v>7000125</v>
      </c>
      <c r="AS181" s="230">
        <v>5044875</v>
      </c>
      <c r="AT181" s="230">
        <v>1955250</v>
      </c>
      <c r="AU181" s="229">
        <v>0.3876</v>
      </c>
      <c r="AV181" s="230">
        <v>4284500</v>
      </c>
      <c r="AW181" s="230">
        <v>3572250</v>
      </c>
      <c r="AX181" s="230">
        <v>712250</v>
      </c>
      <c r="AY181" s="229">
        <v>0.19939999999999999</v>
      </c>
      <c r="AZ181" s="230">
        <v>2572625</v>
      </c>
      <c r="BA181" s="230">
        <v>1348875</v>
      </c>
      <c r="BB181" s="230">
        <v>1223750</v>
      </c>
      <c r="BC181" s="229">
        <v>0.90720000000000001</v>
      </c>
      <c r="BD181" s="230">
        <v>143000</v>
      </c>
      <c r="BE181" s="230">
        <v>123750</v>
      </c>
      <c r="BF181" s="230">
        <v>19250</v>
      </c>
      <c r="BG181" s="229">
        <v>0.15559999999999999</v>
      </c>
      <c r="BH181" s="230">
        <v>8765625</v>
      </c>
      <c r="BI181" s="230">
        <v>7194000</v>
      </c>
      <c r="BJ181" s="230">
        <v>1571625</v>
      </c>
      <c r="BK181" s="229">
        <v>0.2185</v>
      </c>
      <c r="BL181" s="230">
        <v>3558500</v>
      </c>
      <c r="BM181" s="230">
        <v>2668875</v>
      </c>
      <c r="BN181" s="230">
        <v>889625</v>
      </c>
      <c r="BO181" s="229">
        <v>0.33329999999999999</v>
      </c>
      <c r="BP181" s="230">
        <v>19324250</v>
      </c>
      <c r="BQ181" s="230">
        <v>14907750</v>
      </c>
      <c r="BR181" s="230">
        <v>4416500</v>
      </c>
      <c r="BS181" s="229">
        <v>0.29630000000000001</v>
      </c>
      <c r="BT181" s="230">
        <v>4559518</v>
      </c>
      <c r="BU181" s="230">
        <v>3924277</v>
      </c>
      <c r="BV181" s="230">
        <v>635241</v>
      </c>
      <c r="BW181" s="229">
        <v>0.16189999999999999</v>
      </c>
      <c r="BX181" s="230">
        <v>23798500</v>
      </c>
      <c r="BY181" s="230">
        <v>21510500</v>
      </c>
      <c r="BZ181" s="230">
        <v>2288000</v>
      </c>
      <c r="CA181" s="229">
        <v>0.10639999999999999</v>
      </c>
      <c r="CB181" s="230">
        <v>18478625</v>
      </c>
      <c r="CC181" s="230">
        <v>17604125</v>
      </c>
      <c r="CD181" s="230">
        <v>874500</v>
      </c>
      <c r="CE181" s="229">
        <v>4.9700000000000001E-2</v>
      </c>
      <c r="CF181" s="230">
        <v>4775375</v>
      </c>
      <c r="CG181" s="230">
        <v>3437500</v>
      </c>
      <c r="CH181" s="230">
        <v>1337875</v>
      </c>
      <c r="CI181" s="229">
        <v>0.38919999999999999</v>
      </c>
      <c r="CJ181" s="230">
        <v>544500</v>
      </c>
      <c r="CK181" s="230">
        <v>468875</v>
      </c>
      <c r="CL181" s="230">
        <v>75625</v>
      </c>
      <c r="CM181" s="229">
        <v>0.1613</v>
      </c>
      <c r="CN181" s="230">
        <v>8618500</v>
      </c>
      <c r="CO181" s="230">
        <v>8262375</v>
      </c>
      <c r="CP181" s="230">
        <v>356125</v>
      </c>
      <c r="CQ181" s="229">
        <v>4.3099999999999999E-2</v>
      </c>
      <c r="CR181" s="230">
        <v>5208500</v>
      </c>
      <c r="CS181" s="230">
        <v>4919750</v>
      </c>
      <c r="CT181" s="230">
        <v>288750</v>
      </c>
      <c r="CU181" s="229">
        <v>5.8700000000000002E-2</v>
      </c>
      <c r="CV181" s="230">
        <v>37625500</v>
      </c>
      <c r="CW181" s="230">
        <v>34692625</v>
      </c>
      <c r="CX181" s="230">
        <v>2932875</v>
      </c>
      <c r="CY181" s="229">
        <v>8.4500000000000006E-2</v>
      </c>
      <c r="CZ181" s="228">
        <v>39.14</v>
      </c>
      <c r="DA181" s="228">
        <v>38.26</v>
      </c>
      <c r="DB181" s="228">
        <v>0.88</v>
      </c>
      <c r="DC181" s="228">
        <v>0.88</v>
      </c>
      <c r="DD181" s="228">
        <v>60.97</v>
      </c>
      <c r="DE181" s="228">
        <v>61.12</v>
      </c>
      <c r="DF181" s="228">
        <v>-21.83</v>
      </c>
      <c r="DG181" s="228">
        <v>-0.15</v>
      </c>
      <c r="DH181" s="228">
        <v>39.729999999999997</v>
      </c>
      <c r="DI181" s="228">
        <v>38.61</v>
      </c>
      <c r="DJ181" s="228">
        <v>1.1200000000000001</v>
      </c>
      <c r="DK181" s="228">
        <v>1.1200000000000001</v>
      </c>
      <c r="DL181" s="228">
        <v>37.700000000000003</v>
      </c>
      <c r="DM181" s="228">
        <v>37.32</v>
      </c>
      <c r="DN181" s="228">
        <v>0.38</v>
      </c>
      <c r="DO181" s="228">
        <v>0.38</v>
      </c>
      <c r="DP181" s="228">
        <v>0.6</v>
      </c>
      <c r="DQ181" s="228">
        <v>0.6</v>
      </c>
      <c r="DR181" s="228">
        <v>0</v>
      </c>
      <c r="DS181" s="229">
        <v>0</v>
      </c>
      <c r="DT181" s="228">
        <v>350</v>
      </c>
      <c r="DU181" s="228">
        <v>300</v>
      </c>
      <c r="DV181" s="228">
        <v>0.41</v>
      </c>
      <c r="DW181" s="228">
        <v>0.37</v>
      </c>
      <c r="DX181" s="228">
        <v>0.04</v>
      </c>
      <c r="DY181" s="229">
        <v>0.1081</v>
      </c>
      <c r="DZ181" s="229">
        <v>0.2235</v>
      </c>
      <c r="EA181" s="230">
        <v>3906375</v>
      </c>
      <c r="EB181" s="229">
        <v>-9.7999999999999997E-3</v>
      </c>
      <c r="EC181" s="229">
        <v>0.2235</v>
      </c>
      <c r="ED181" s="228">
        <v>-3.05</v>
      </c>
      <c r="EE181" s="229">
        <v>-9.4000000000000004E-3</v>
      </c>
      <c r="EF181" s="230">
        <v>1287014</v>
      </c>
      <c r="EG181" s="230">
        <v>1004598</v>
      </c>
      <c r="EH181" s="229">
        <v>0.28110000000000002</v>
      </c>
      <c r="EI181" s="229">
        <v>0.2823</v>
      </c>
      <c r="EJ181" s="231">
        <v>30201.73</v>
      </c>
      <c r="EK181" s="231">
        <v>11413.4</v>
      </c>
      <c r="EL181" s="231">
        <v>22742.44</v>
      </c>
      <c r="EM181" s="228">
        <v>0</v>
      </c>
      <c r="EN181" s="231">
        <v>64357.57</v>
      </c>
      <c r="EO181" s="231">
        <v>49612.27</v>
      </c>
      <c r="EP181" s="231">
        <v>14745.3</v>
      </c>
      <c r="EQ181" s="229">
        <v>0.29720000000000002</v>
      </c>
      <c r="ER181" s="231">
        <v>30810</v>
      </c>
      <c r="ES181" s="231">
        <v>16622</v>
      </c>
      <c r="ET181" s="231">
        <v>77180</v>
      </c>
      <c r="EU181" s="231">
        <v>113255281</v>
      </c>
      <c r="EV181" s="231">
        <v>124612</v>
      </c>
      <c r="EW181" s="231">
        <v>115287</v>
      </c>
      <c r="EX181" s="231">
        <v>9325</v>
      </c>
      <c r="EY181" s="229">
        <v>8.09E-2</v>
      </c>
      <c r="EZ181" s="229">
        <v>0.3322</v>
      </c>
      <c r="FA181" s="227" t="s">
        <v>567</v>
      </c>
      <c r="FB181" s="161">
        <f t="shared" si="4"/>
        <v>0</v>
      </c>
    </row>
    <row r="182" spans="1:158" ht="17.25" thickBot="1" x14ac:dyDescent="0.3">
      <c r="A182" s="226">
        <v>45889</v>
      </c>
      <c r="B182" s="227" t="s">
        <v>227</v>
      </c>
      <c r="C182" s="227" t="s">
        <v>282</v>
      </c>
      <c r="D182" s="228">
        <v>4700</v>
      </c>
      <c r="E182" s="228">
        <v>124.38</v>
      </c>
      <c r="F182" s="228">
        <v>123</v>
      </c>
      <c r="G182" s="228">
        <v>1.38</v>
      </c>
      <c r="H182" s="229">
        <v>1.12E-2</v>
      </c>
      <c r="I182" s="228">
        <v>124.09</v>
      </c>
      <c r="J182" s="228">
        <v>122.98</v>
      </c>
      <c r="K182" s="228">
        <v>1.1100000000000001</v>
      </c>
      <c r="L182" s="229">
        <v>8.9999999999999993E-3</v>
      </c>
      <c r="M182" s="228">
        <v>124.38</v>
      </c>
      <c r="N182" s="228">
        <v>123</v>
      </c>
      <c r="O182" s="228">
        <v>1.38</v>
      </c>
      <c r="P182" s="229">
        <v>1.12E-2</v>
      </c>
      <c r="Q182" s="228">
        <v>123.56</v>
      </c>
      <c r="R182" s="228">
        <v>122.5</v>
      </c>
      <c r="S182" s="228">
        <v>1.06</v>
      </c>
      <c r="T182" s="229">
        <v>8.6999999999999994E-3</v>
      </c>
      <c r="U182" s="228">
        <v>124.19</v>
      </c>
      <c r="V182" s="228">
        <v>123.02</v>
      </c>
      <c r="W182" s="228">
        <v>1.17</v>
      </c>
      <c r="X182" s="229">
        <v>9.4999999999999998E-3</v>
      </c>
      <c r="Y182" s="228">
        <v>0.28999999999999998</v>
      </c>
      <c r="Z182" s="228">
        <v>0.02</v>
      </c>
      <c r="AA182" s="228">
        <v>0.27</v>
      </c>
      <c r="AB182" s="229">
        <v>2.3E-3</v>
      </c>
      <c r="AC182" s="228">
        <v>0.28999999999999998</v>
      </c>
      <c r="AD182" s="228">
        <v>0.02</v>
      </c>
      <c r="AE182" s="228">
        <v>0.27</v>
      </c>
      <c r="AF182" s="229">
        <v>2.3E-3</v>
      </c>
      <c r="AG182" s="228">
        <v>-0.53</v>
      </c>
      <c r="AH182" s="228">
        <v>-0.48</v>
      </c>
      <c r="AI182" s="228">
        <v>-0.05</v>
      </c>
      <c r="AJ182" s="229">
        <v>-4.3E-3</v>
      </c>
      <c r="AK182" s="228">
        <v>0.1</v>
      </c>
      <c r="AL182" s="228">
        <v>0.04</v>
      </c>
      <c r="AM182" s="228">
        <v>0.06</v>
      </c>
      <c r="AN182" s="229">
        <v>8.0000000000000004E-4</v>
      </c>
      <c r="AO182" s="228">
        <v>124.12</v>
      </c>
      <c r="AP182" s="228">
        <v>123.64</v>
      </c>
      <c r="AQ182" s="228">
        <v>0</v>
      </c>
      <c r="AR182" s="230">
        <v>56724300</v>
      </c>
      <c r="AS182" s="230">
        <v>18160800</v>
      </c>
      <c r="AT182" s="230">
        <v>38563500</v>
      </c>
      <c r="AU182" s="229">
        <v>2.1234000000000002</v>
      </c>
      <c r="AV182" s="230">
        <v>37426100</v>
      </c>
      <c r="AW182" s="230">
        <v>13733400</v>
      </c>
      <c r="AX182" s="230">
        <v>23692700</v>
      </c>
      <c r="AY182" s="229">
        <v>1.7252000000000001</v>
      </c>
      <c r="AZ182" s="230">
        <v>19016200</v>
      </c>
      <c r="BA182" s="230">
        <v>4154800</v>
      </c>
      <c r="BB182" s="230">
        <v>14861400</v>
      </c>
      <c r="BC182" s="229">
        <v>3.5769000000000002</v>
      </c>
      <c r="BD182" s="230">
        <v>282000</v>
      </c>
      <c r="BE182" s="230">
        <v>272600</v>
      </c>
      <c r="BF182" s="230">
        <v>9400</v>
      </c>
      <c r="BG182" s="229">
        <v>3.4500000000000003E-2</v>
      </c>
      <c r="BH182" s="230">
        <v>54092300</v>
      </c>
      <c r="BI182" s="230">
        <v>18344100</v>
      </c>
      <c r="BJ182" s="230">
        <v>35748200</v>
      </c>
      <c r="BK182" s="229">
        <v>1.9488000000000001</v>
      </c>
      <c r="BL182" s="230">
        <v>24031100</v>
      </c>
      <c r="BM182" s="230">
        <v>11026200</v>
      </c>
      <c r="BN182" s="230">
        <v>13004900</v>
      </c>
      <c r="BO182" s="229">
        <v>1.1795</v>
      </c>
      <c r="BP182" s="230">
        <v>134847700</v>
      </c>
      <c r="BQ182" s="230">
        <v>47531100</v>
      </c>
      <c r="BR182" s="230">
        <v>87316600</v>
      </c>
      <c r="BS182" s="229">
        <v>1.837</v>
      </c>
      <c r="BT182" s="230">
        <v>12683139</v>
      </c>
      <c r="BU182" s="230">
        <v>4999922</v>
      </c>
      <c r="BV182" s="230">
        <v>7683217</v>
      </c>
      <c r="BW182" s="229">
        <v>1.5367</v>
      </c>
      <c r="BX182" s="230">
        <v>172330200</v>
      </c>
      <c r="BY182" s="230">
        <v>188300800</v>
      </c>
      <c r="BZ182" s="230">
        <v>-15970600</v>
      </c>
      <c r="CA182" s="229">
        <v>-8.48E-2</v>
      </c>
      <c r="CB182" s="230">
        <v>117913600</v>
      </c>
      <c r="CC182" s="230">
        <v>134091000</v>
      </c>
      <c r="CD182" s="230">
        <v>-16177400</v>
      </c>
      <c r="CE182" s="229">
        <v>-0.1206</v>
      </c>
      <c r="CF182" s="230">
        <v>53561200</v>
      </c>
      <c r="CG182" s="230">
        <v>53373200</v>
      </c>
      <c r="CH182" s="230">
        <v>188000</v>
      </c>
      <c r="CI182" s="229">
        <v>3.5000000000000001E-3</v>
      </c>
      <c r="CJ182" s="230">
        <v>855400</v>
      </c>
      <c r="CK182" s="230">
        <v>836600</v>
      </c>
      <c r="CL182" s="230">
        <v>18800</v>
      </c>
      <c r="CM182" s="229">
        <v>2.2499999999999999E-2</v>
      </c>
      <c r="CN182" s="230">
        <v>35734100</v>
      </c>
      <c r="CO182" s="230">
        <v>36993700</v>
      </c>
      <c r="CP182" s="230">
        <v>-1259600</v>
      </c>
      <c r="CQ182" s="229">
        <v>-3.4000000000000002E-2</v>
      </c>
      <c r="CR182" s="230">
        <v>22842000</v>
      </c>
      <c r="CS182" s="230">
        <v>21972500</v>
      </c>
      <c r="CT182" s="230">
        <v>869500</v>
      </c>
      <c r="CU182" s="229">
        <v>3.9600000000000003E-2</v>
      </c>
      <c r="CV182" s="230">
        <v>230906300</v>
      </c>
      <c r="CW182" s="230">
        <v>247267000</v>
      </c>
      <c r="CX182" s="230">
        <v>-16360700</v>
      </c>
      <c r="CY182" s="229">
        <v>-6.6199999999999995E-2</v>
      </c>
      <c r="CZ182" s="228">
        <v>31.03</v>
      </c>
      <c r="DA182" s="228">
        <v>31.01</v>
      </c>
      <c r="DB182" s="228">
        <v>0.02</v>
      </c>
      <c r="DC182" s="228">
        <v>0.02</v>
      </c>
      <c r="DD182" s="228">
        <v>47.31</v>
      </c>
      <c r="DE182" s="228">
        <v>47.4</v>
      </c>
      <c r="DF182" s="228">
        <v>-16.28</v>
      </c>
      <c r="DG182" s="228">
        <v>-0.09</v>
      </c>
      <c r="DH182" s="228">
        <v>31.51</v>
      </c>
      <c r="DI182" s="228">
        <v>32.200000000000003</v>
      </c>
      <c r="DJ182" s="228">
        <v>-0.69</v>
      </c>
      <c r="DK182" s="228">
        <v>-0.69</v>
      </c>
      <c r="DL182" s="228">
        <v>29.96</v>
      </c>
      <c r="DM182" s="228">
        <v>29.02</v>
      </c>
      <c r="DN182" s="228">
        <v>0.94</v>
      </c>
      <c r="DO182" s="228">
        <v>0.94</v>
      </c>
      <c r="DP182" s="228">
        <v>0.64</v>
      </c>
      <c r="DQ182" s="228">
        <v>0.59</v>
      </c>
      <c r="DR182" s="228">
        <v>0.05</v>
      </c>
      <c r="DS182" s="229">
        <v>8.4699999999999998E-2</v>
      </c>
      <c r="DT182" s="228">
        <v>130</v>
      </c>
      <c r="DU182" s="228">
        <v>120</v>
      </c>
      <c r="DV182" s="228">
        <v>0.44</v>
      </c>
      <c r="DW182" s="228">
        <v>0.6</v>
      </c>
      <c r="DX182" s="228">
        <v>-0.16</v>
      </c>
      <c r="DY182" s="229">
        <v>-0.26669999999999999</v>
      </c>
      <c r="DZ182" s="229">
        <v>0.31580000000000003</v>
      </c>
      <c r="EA182" s="230">
        <v>54209800</v>
      </c>
      <c r="EB182" s="229">
        <v>-6.6E-3</v>
      </c>
      <c r="EC182" s="229">
        <v>0.31580000000000003</v>
      </c>
      <c r="ED182" s="228">
        <v>-0.48</v>
      </c>
      <c r="EE182" s="229">
        <v>-3.8999999999999998E-3</v>
      </c>
      <c r="EF182" s="230">
        <v>2508748</v>
      </c>
      <c r="EG182" s="230">
        <v>1737071</v>
      </c>
      <c r="EH182" s="229">
        <v>0.44419999999999998</v>
      </c>
      <c r="EI182" s="229">
        <v>0.1978</v>
      </c>
      <c r="EJ182" s="231">
        <v>69701.87</v>
      </c>
      <c r="EK182" s="231">
        <v>30156.01</v>
      </c>
      <c r="EL182" s="231">
        <v>70315.23</v>
      </c>
      <c r="EM182" s="228">
        <v>0</v>
      </c>
      <c r="EN182" s="231">
        <v>170173.11</v>
      </c>
      <c r="EO182" s="231">
        <v>59657.75</v>
      </c>
      <c r="EP182" s="231">
        <v>110515.36</v>
      </c>
      <c r="EQ182" s="229">
        <v>1.8525</v>
      </c>
      <c r="ER182" s="231">
        <v>47321</v>
      </c>
      <c r="ES182" s="231">
        <v>28425</v>
      </c>
      <c r="ET182" s="231">
        <v>213903</v>
      </c>
      <c r="EU182" s="231">
        <v>289148547</v>
      </c>
      <c r="EV182" s="231">
        <v>289649</v>
      </c>
      <c r="EW182" s="231">
        <v>307630</v>
      </c>
      <c r="EX182" s="231">
        <v>-17981</v>
      </c>
      <c r="EY182" s="229">
        <v>-5.8500000000000003E-2</v>
      </c>
      <c r="EZ182" s="229">
        <v>0.79859999999999998</v>
      </c>
      <c r="FA182" s="227" t="s">
        <v>556</v>
      </c>
      <c r="FB182" s="161">
        <f t="shared" si="4"/>
        <v>0</v>
      </c>
    </row>
    <row r="183" spans="1:158" ht="17.25" thickBot="1" x14ac:dyDescent="0.3">
      <c r="A183" s="226">
        <v>45889</v>
      </c>
      <c r="B183" s="227" t="s">
        <v>175</v>
      </c>
      <c r="C183" s="227" t="s">
        <v>536</v>
      </c>
      <c r="D183" s="228">
        <v>800</v>
      </c>
      <c r="E183" s="228">
        <v>816.05</v>
      </c>
      <c r="F183" s="228">
        <v>819.1</v>
      </c>
      <c r="G183" s="228">
        <v>-3.05</v>
      </c>
      <c r="H183" s="229">
        <v>-3.7000000000000002E-3</v>
      </c>
      <c r="I183" s="228">
        <v>818.1</v>
      </c>
      <c r="J183" s="228">
        <v>820.1</v>
      </c>
      <c r="K183" s="228">
        <v>-2</v>
      </c>
      <c r="L183" s="229">
        <v>-2.3999999999999998E-3</v>
      </c>
      <c r="M183" s="228">
        <v>816.05</v>
      </c>
      <c r="N183" s="228">
        <v>819.1</v>
      </c>
      <c r="O183" s="228">
        <v>-3.05</v>
      </c>
      <c r="P183" s="229">
        <v>-3.7000000000000002E-3</v>
      </c>
      <c r="Q183" s="228">
        <v>814.75</v>
      </c>
      <c r="R183" s="228">
        <v>818.3</v>
      </c>
      <c r="S183" s="228">
        <v>-3.55</v>
      </c>
      <c r="T183" s="229">
        <v>-4.3E-3</v>
      </c>
      <c r="U183" s="228">
        <v>815.45</v>
      </c>
      <c r="V183" s="228">
        <v>819.85</v>
      </c>
      <c r="W183" s="228">
        <v>-4.4000000000000004</v>
      </c>
      <c r="X183" s="229">
        <v>-5.4000000000000003E-3</v>
      </c>
      <c r="Y183" s="228">
        <v>-2.0499999999999998</v>
      </c>
      <c r="Z183" s="228">
        <v>-1</v>
      </c>
      <c r="AA183" s="228">
        <v>-1.05</v>
      </c>
      <c r="AB183" s="229">
        <v>-2.5000000000000001E-3</v>
      </c>
      <c r="AC183" s="228">
        <v>-2.0499999999999998</v>
      </c>
      <c r="AD183" s="228">
        <v>-1</v>
      </c>
      <c r="AE183" s="228">
        <v>-1.05</v>
      </c>
      <c r="AF183" s="229">
        <v>-2.5000000000000001E-3</v>
      </c>
      <c r="AG183" s="228">
        <v>-3.35</v>
      </c>
      <c r="AH183" s="228">
        <v>-1.8</v>
      </c>
      <c r="AI183" s="228">
        <v>-1.55</v>
      </c>
      <c r="AJ183" s="229">
        <v>-4.1000000000000003E-3</v>
      </c>
      <c r="AK183" s="228">
        <v>-2.65</v>
      </c>
      <c r="AL183" s="228">
        <v>-0.25</v>
      </c>
      <c r="AM183" s="228">
        <v>-2.4</v>
      </c>
      <c r="AN183" s="229">
        <v>-3.2000000000000002E-3</v>
      </c>
      <c r="AO183" s="228">
        <v>816.15</v>
      </c>
      <c r="AP183" s="228">
        <v>815.1</v>
      </c>
      <c r="AQ183" s="228">
        <v>0</v>
      </c>
      <c r="AR183" s="230">
        <v>1649600</v>
      </c>
      <c r="AS183" s="230">
        <v>1948800</v>
      </c>
      <c r="AT183" s="230">
        <v>-299200</v>
      </c>
      <c r="AU183" s="229">
        <v>-0.1535</v>
      </c>
      <c r="AV183" s="230">
        <v>1100000</v>
      </c>
      <c r="AW183" s="230">
        <v>1427200</v>
      </c>
      <c r="AX183" s="230">
        <v>-327200</v>
      </c>
      <c r="AY183" s="229">
        <v>-0.2293</v>
      </c>
      <c r="AZ183" s="230">
        <v>524800</v>
      </c>
      <c r="BA183" s="230">
        <v>456000</v>
      </c>
      <c r="BB183" s="230">
        <v>68800</v>
      </c>
      <c r="BC183" s="229">
        <v>0.15090000000000001</v>
      </c>
      <c r="BD183" s="230">
        <v>24800</v>
      </c>
      <c r="BE183" s="230">
        <v>65600</v>
      </c>
      <c r="BF183" s="230">
        <v>-40800</v>
      </c>
      <c r="BG183" s="229">
        <v>-0.622</v>
      </c>
      <c r="BH183" s="230">
        <v>2627200</v>
      </c>
      <c r="BI183" s="230">
        <v>4496800</v>
      </c>
      <c r="BJ183" s="230">
        <v>-1869600</v>
      </c>
      <c r="BK183" s="229">
        <v>-0.4158</v>
      </c>
      <c r="BL183" s="230">
        <v>1847200</v>
      </c>
      <c r="BM183" s="230">
        <v>1973600</v>
      </c>
      <c r="BN183" s="230">
        <v>-126400</v>
      </c>
      <c r="BO183" s="229">
        <v>-6.4000000000000001E-2</v>
      </c>
      <c r="BP183" s="230">
        <v>6124000</v>
      </c>
      <c r="BQ183" s="230">
        <v>8419200</v>
      </c>
      <c r="BR183" s="230">
        <v>-2295200</v>
      </c>
      <c r="BS183" s="229">
        <v>-0.27260000000000001</v>
      </c>
      <c r="BT183" s="230">
        <v>404165</v>
      </c>
      <c r="BU183" s="230">
        <v>586047</v>
      </c>
      <c r="BV183" s="230">
        <v>-181882</v>
      </c>
      <c r="BW183" s="229">
        <v>-0.31040000000000001</v>
      </c>
      <c r="BX183" s="230">
        <v>13415200</v>
      </c>
      <c r="BY183" s="230">
        <v>13144000</v>
      </c>
      <c r="BZ183" s="230">
        <v>271200</v>
      </c>
      <c r="CA183" s="229">
        <v>2.06E-2</v>
      </c>
      <c r="CB183" s="230">
        <v>12144800</v>
      </c>
      <c r="CC183" s="230">
        <v>12079200</v>
      </c>
      <c r="CD183" s="230">
        <v>65600</v>
      </c>
      <c r="CE183" s="229">
        <v>5.4000000000000003E-3</v>
      </c>
      <c r="CF183" s="230">
        <v>1145600</v>
      </c>
      <c r="CG183" s="230">
        <v>952000</v>
      </c>
      <c r="CH183" s="230">
        <v>193600</v>
      </c>
      <c r="CI183" s="229">
        <v>0.2034</v>
      </c>
      <c r="CJ183" s="230">
        <v>124800</v>
      </c>
      <c r="CK183" s="230">
        <v>112800</v>
      </c>
      <c r="CL183" s="230">
        <v>12000</v>
      </c>
      <c r="CM183" s="229">
        <v>0.10639999999999999</v>
      </c>
      <c r="CN183" s="230">
        <v>5829600</v>
      </c>
      <c r="CO183" s="230">
        <v>6211200</v>
      </c>
      <c r="CP183" s="230">
        <v>-381600</v>
      </c>
      <c r="CQ183" s="229">
        <v>-6.1400000000000003E-2</v>
      </c>
      <c r="CR183" s="230">
        <v>3817600</v>
      </c>
      <c r="CS183" s="230">
        <v>3420000</v>
      </c>
      <c r="CT183" s="230">
        <v>397600</v>
      </c>
      <c r="CU183" s="229">
        <v>0.1163</v>
      </c>
      <c r="CV183" s="230">
        <v>23062400</v>
      </c>
      <c r="CW183" s="230">
        <v>22775200</v>
      </c>
      <c r="CX183" s="230">
        <v>287200</v>
      </c>
      <c r="CY183" s="229">
        <v>1.26E-2</v>
      </c>
      <c r="CZ183" s="228">
        <v>23.94</v>
      </c>
      <c r="DA183" s="228">
        <v>23.71</v>
      </c>
      <c r="DB183" s="228">
        <v>0.23</v>
      </c>
      <c r="DC183" s="228">
        <v>0.23</v>
      </c>
      <c r="DD183" s="228">
        <v>30.94</v>
      </c>
      <c r="DE183" s="228">
        <v>31.02</v>
      </c>
      <c r="DF183" s="228">
        <v>-7</v>
      </c>
      <c r="DG183" s="228">
        <v>-0.08</v>
      </c>
      <c r="DH183" s="228">
        <v>24.45</v>
      </c>
      <c r="DI183" s="228">
        <v>23.43</v>
      </c>
      <c r="DJ183" s="228">
        <v>1.02</v>
      </c>
      <c r="DK183" s="228">
        <v>1.02</v>
      </c>
      <c r="DL183" s="228">
        <v>23.2</v>
      </c>
      <c r="DM183" s="228">
        <v>24.35</v>
      </c>
      <c r="DN183" s="228">
        <v>-1.1499999999999999</v>
      </c>
      <c r="DO183" s="228">
        <v>-1.1499999999999999</v>
      </c>
      <c r="DP183" s="228">
        <v>0.65</v>
      </c>
      <c r="DQ183" s="228">
        <v>0.55000000000000004</v>
      </c>
      <c r="DR183" s="228">
        <v>0.1</v>
      </c>
      <c r="DS183" s="229">
        <v>0.18179999999999999</v>
      </c>
      <c r="DT183" s="228">
        <v>820</v>
      </c>
      <c r="DU183" s="228">
        <v>800</v>
      </c>
      <c r="DV183" s="228">
        <v>0.7</v>
      </c>
      <c r="DW183" s="228">
        <v>0.44</v>
      </c>
      <c r="DX183" s="228">
        <v>0.26</v>
      </c>
      <c r="DY183" s="229">
        <v>0.59089999999999998</v>
      </c>
      <c r="DZ183" s="229">
        <v>9.4700000000000006E-2</v>
      </c>
      <c r="EA183" s="230">
        <v>1064800</v>
      </c>
      <c r="EB183" s="229">
        <v>-1.6000000000000001E-3</v>
      </c>
      <c r="EC183" s="229">
        <v>9.4700000000000006E-2</v>
      </c>
      <c r="ED183" s="228">
        <v>-1.05</v>
      </c>
      <c r="EE183" s="229">
        <v>-1.2999999999999999E-3</v>
      </c>
      <c r="EF183" s="230">
        <v>240883</v>
      </c>
      <c r="EG183" s="230">
        <v>342657</v>
      </c>
      <c r="EH183" s="229">
        <v>-0.29699999999999999</v>
      </c>
      <c r="EI183" s="229">
        <v>0.59599999999999997</v>
      </c>
      <c r="EJ183" s="231">
        <v>22326.91</v>
      </c>
      <c r="EK183" s="231">
        <v>14965.77</v>
      </c>
      <c r="EL183" s="231">
        <v>13457.67</v>
      </c>
      <c r="EM183" s="228">
        <v>0</v>
      </c>
      <c r="EN183" s="231">
        <v>50750.35</v>
      </c>
      <c r="EO183" s="231">
        <v>69712.160000000003</v>
      </c>
      <c r="EP183" s="231">
        <v>-18961.810000000001</v>
      </c>
      <c r="EQ183" s="229">
        <v>-0.27200000000000002</v>
      </c>
      <c r="ER183" s="231">
        <v>51806</v>
      </c>
      <c r="ES183" s="231">
        <v>30592</v>
      </c>
      <c r="ET183" s="231">
        <v>109459</v>
      </c>
      <c r="EU183" s="231">
        <v>59778558</v>
      </c>
      <c r="EV183" s="231">
        <v>191857</v>
      </c>
      <c r="EW183" s="231">
        <v>190130</v>
      </c>
      <c r="EX183" s="231">
        <v>1727</v>
      </c>
      <c r="EY183" s="229">
        <v>9.1000000000000004E-3</v>
      </c>
      <c r="EZ183" s="229">
        <v>0.38579999999999998</v>
      </c>
      <c r="FA183" s="227" t="s">
        <v>567</v>
      </c>
      <c r="FB183" s="161">
        <f t="shared" si="4"/>
        <v>0</v>
      </c>
    </row>
    <row r="184" spans="1:158" ht="17.25" thickBot="1" x14ac:dyDescent="0.3">
      <c r="A184" s="226">
        <v>45889</v>
      </c>
      <c r="B184" s="227" t="s">
        <v>175</v>
      </c>
      <c r="C184" s="227" t="s">
        <v>462</v>
      </c>
      <c r="D184" s="228">
        <v>375</v>
      </c>
      <c r="E184" s="231">
        <v>1861.7</v>
      </c>
      <c r="F184" s="231">
        <v>1858.4</v>
      </c>
      <c r="G184" s="228">
        <v>3.3</v>
      </c>
      <c r="H184" s="229">
        <v>1.8E-3</v>
      </c>
      <c r="I184" s="231">
        <v>1858.5</v>
      </c>
      <c r="J184" s="231">
        <v>1854.1</v>
      </c>
      <c r="K184" s="228">
        <v>4.4000000000000004</v>
      </c>
      <c r="L184" s="229">
        <v>2.3999999999999998E-3</v>
      </c>
      <c r="M184" s="231">
        <v>1861.7</v>
      </c>
      <c r="N184" s="231">
        <v>1858.4</v>
      </c>
      <c r="O184" s="228">
        <v>3.3</v>
      </c>
      <c r="P184" s="229">
        <v>1.8E-3</v>
      </c>
      <c r="Q184" s="231">
        <v>1872.3</v>
      </c>
      <c r="R184" s="231">
        <v>1869</v>
      </c>
      <c r="S184" s="228">
        <v>3.3</v>
      </c>
      <c r="T184" s="229">
        <v>1.8E-3</v>
      </c>
      <c r="U184" s="231">
        <v>1872.7</v>
      </c>
      <c r="V184" s="231">
        <v>1880</v>
      </c>
      <c r="W184" s="228">
        <v>-7.3</v>
      </c>
      <c r="X184" s="229">
        <v>-3.8999999999999998E-3</v>
      </c>
      <c r="Y184" s="228">
        <v>3.2</v>
      </c>
      <c r="Z184" s="228">
        <v>4.3</v>
      </c>
      <c r="AA184" s="228">
        <v>-1.1000000000000001</v>
      </c>
      <c r="AB184" s="229">
        <v>1.6999999999999999E-3</v>
      </c>
      <c r="AC184" s="228">
        <v>3.2</v>
      </c>
      <c r="AD184" s="228">
        <v>4.3</v>
      </c>
      <c r="AE184" s="228">
        <v>-1.1000000000000001</v>
      </c>
      <c r="AF184" s="229">
        <v>1.6999999999999999E-3</v>
      </c>
      <c r="AG184" s="228">
        <v>13.8</v>
      </c>
      <c r="AH184" s="228">
        <v>14.9</v>
      </c>
      <c r="AI184" s="228">
        <v>-1.1000000000000001</v>
      </c>
      <c r="AJ184" s="229">
        <v>7.4000000000000003E-3</v>
      </c>
      <c r="AK184" s="228">
        <v>14.2</v>
      </c>
      <c r="AL184" s="228">
        <v>25.9</v>
      </c>
      <c r="AM184" s="228">
        <v>-11.7</v>
      </c>
      <c r="AN184" s="229">
        <v>7.6E-3</v>
      </c>
      <c r="AO184" s="231">
        <v>1856.1</v>
      </c>
      <c r="AP184" s="231">
        <v>1866.02</v>
      </c>
      <c r="AQ184" s="228">
        <v>0</v>
      </c>
      <c r="AR184" s="230">
        <v>747000</v>
      </c>
      <c r="AS184" s="230">
        <v>1108125</v>
      </c>
      <c r="AT184" s="230">
        <v>-361125</v>
      </c>
      <c r="AU184" s="229">
        <v>-0.32590000000000002</v>
      </c>
      <c r="AV184" s="230">
        <v>617625</v>
      </c>
      <c r="AW184" s="230">
        <v>953625</v>
      </c>
      <c r="AX184" s="230">
        <v>-336000</v>
      </c>
      <c r="AY184" s="229">
        <v>-0.3523</v>
      </c>
      <c r="AZ184" s="230">
        <v>128625</v>
      </c>
      <c r="BA184" s="230">
        <v>147750</v>
      </c>
      <c r="BB184" s="230">
        <v>-19125</v>
      </c>
      <c r="BC184" s="229">
        <v>-0.12939999999999999</v>
      </c>
      <c r="BD184" s="228">
        <v>750</v>
      </c>
      <c r="BE184" s="230">
        <v>6750</v>
      </c>
      <c r="BF184" s="230">
        <v>-6000</v>
      </c>
      <c r="BG184" s="229">
        <v>-0.88890000000000002</v>
      </c>
      <c r="BH184" s="230">
        <v>2988375</v>
      </c>
      <c r="BI184" s="230">
        <v>4378875</v>
      </c>
      <c r="BJ184" s="230">
        <v>-1390500</v>
      </c>
      <c r="BK184" s="229">
        <v>-0.3175</v>
      </c>
      <c r="BL184" s="230">
        <v>2214375</v>
      </c>
      <c r="BM184" s="230">
        <v>2763375</v>
      </c>
      <c r="BN184" s="230">
        <v>-549000</v>
      </c>
      <c r="BO184" s="229">
        <v>-0.19869999999999999</v>
      </c>
      <c r="BP184" s="230">
        <v>5949750</v>
      </c>
      <c r="BQ184" s="230">
        <v>8250375</v>
      </c>
      <c r="BR184" s="230">
        <v>-2300625</v>
      </c>
      <c r="BS184" s="229">
        <v>-0.27889999999999998</v>
      </c>
      <c r="BT184" s="230">
        <v>452539</v>
      </c>
      <c r="BU184" s="230">
        <v>636877</v>
      </c>
      <c r="BV184" s="230">
        <v>-184338</v>
      </c>
      <c r="BW184" s="229">
        <v>-0.28939999999999999</v>
      </c>
      <c r="BX184" s="230">
        <v>7407750</v>
      </c>
      <c r="BY184" s="230">
        <v>7426125</v>
      </c>
      <c r="BZ184" s="230">
        <v>-18375</v>
      </c>
      <c r="CA184" s="229">
        <v>-2.5000000000000001E-3</v>
      </c>
      <c r="CB184" s="230">
        <v>6974625</v>
      </c>
      <c r="CC184" s="230">
        <v>7055250</v>
      </c>
      <c r="CD184" s="230">
        <v>-80625</v>
      </c>
      <c r="CE184" s="229">
        <v>-1.14E-2</v>
      </c>
      <c r="CF184" s="230">
        <v>414000</v>
      </c>
      <c r="CG184" s="230">
        <v>351375</v>
      </c>
      <c r="CH184" s="230">
        <v>62625</v>
      </c>
      <c r="CI184" s="229">
        <v>0.1782</v>
      </c>
      <c r="CJ184" s="230">
        <v>19125</v>
      </c>
      <c r="CK184" s="230">
        <v>19500</v>
      </c>
      <c r="CL184" s="228">
        <v>-375</v>
      </c>
      <c r="CM184" s="229">
        <v>-1.9199999999999998E-2</v>
      </c>
      <c r="CN184" s="230">
        <v>3457500</v>
      </c>
      <c r="CO184" s="230">
        <v>3273750</v>
      </c>
      <c r="CP184" s="230">
        <v>183750</v>
      </c>
      <c r="CQ184" s="229">
        <v>5.6099999999999997E-2</v>
      </c>
      <c r="CR184" s="230">
        <v>1489875</v>
      </c>
      <c r="CS184" s="230">
        <v>1389375</v>
      </c>
      <c r="CT184" s="230">
        <v>100500</v>
      </c>
      <c r="CU184" s="229">
        <v>7.2300000000000003E-2</v>
      </c>
      <c r="CV184" s="230">
        <v>12355125</v>
      </c>
      <c r="CW184" s="230">
        <v>12089250</v>
      </c>
      <c r="CX184" s="230">
        <v>265875</v>
      </c>
      <c r="CY184" s="229">
        <v>2.1999999999999999E-2</v>
      </c>
      <c r="CZ184" s="228">
        <v>23.72</v>
      </c>
      <c r="DA184" s="228">
        <v>21.18</v>
      </c>
      <c r="DB184" s="228">
        <v>2.54</v>
      </c>
      <c r="DC184" s="228">
        <v>2.54</v>
      </c>
      <c r="DD184" s="228">
        <v>27.08</v>
      </c>
      <c r="DE184" s="228">
        <v>27.14</v>
      </c>
      <c r="DF184" s="228">
        <v>-3.36</v>
      </c>
      <c r="DG184" s="228">
        <v>-0.06</v>
      </c>
      <c r="DH184" s="228">
        <v>21.89</v>
      </c>
      <c r="DI184" s="228">
        <v>20.65</v>
      </c>
      <c r="DJ184" s="228">
        <v>1.24</v>
      </c>
      <c r="DK184" s="228">
        <v>1.24</v>
      </c>
      <c r="DL184" s="228">
        <v>26.18</v>
      </c>
      <c r="DM184" s="228">
        <v>22.03</v>
      </c>
      <c r="DN184" s="228">
        <v>4.1500000000000004</v>
      </c>
      <c r="DO184" s="228">
        <v>4.1500000000000004</v>
      </c>
      <c r="DP184" s="228">
        <v>0.43</v>
      </c>
      <c r="DQ184" s="228">
        <v>0.42</v>
      </c>
      <c r="DR184" s="228">
        <v>0.01</v>
      </c>
      <c r="DS184" s="229">
        <v>2.3800000000000002E-2</v>
      </c>
      <c r="DT184" s="231">
        <v>1900</v>
      </c>
      <c r="DU184" s="231">
        <v>1800</v>
      </c>
      <c r="DV184" s="228">
        <v>0.74</v>
      </c>
      <c r="DW184" s="228">
        <v>0.63</v>
      </c>
      <c r="DX184" s="228">
        <v>0.11</v>
      </c>
      <c r="DY184" s="229">
        <v>0.17460000000000001</v>
      </c>
      <c r="DZ184" s="229">
        <v>5.8500000000000003E-2</v>
      </c>
      <c r="EA184" s="230">
        <v>370875</v>
      </c>
      <c r="EB184" s="229">
        <v>5.7000000000000002E-3</v>
      </c>
      <c r="EC184" s="229">
        <v>5.8500000000000003E-2</v>
      </c>
      <c r="ED184" s="228">
        <v>9.92</v>
      </c>
      <c r="EE184" s="229">
        <v>5.3E-3</v>
      </c>
      <c r="EF184" s="230">
        <v>310329</v>
      </c>
      <c r="EG184" s="230">
        <v>377220</v>
      </c>
      <c r="EH184" s="229">
        <v>-0.17730000000000001</v>
      </c>
      <c r="EI184" s="229">
        <v>0.68579999999999997</v>
      </c>
      <c r="EJ184" s="231">
        <v>57792.01</v>
      </c>
      <c r="EK184" s="231">
        <v>39023.15</v>
      </c>
      <c r="EL184" s="231">
        <v>13877.97</v>
      </c>
      <c r="EM184" s="228">
        <v>0</v>
      </c>
      <c r="EN184" s="231">
        <v>110693.13</v>
      </c>
      <c r="EO184" s="231">
        <v>154788.41</v>
      </c>
      <c r="EP184" s="231">
        <v>-44095.28</v>
      </c>
      <c r="EQ184" s="229">
        <v>-0.28489999999999999</v>
      </c>
      <c r="ER184" s="231">
        <v>65666</v>
      </c>
      <c r="ES184" s="231">
        <v>26750</v>
      </c>
      <c r="ET184" s="231">
        <v>137956</v>
      </c>
      <c r="EU184" s="231">
        <v>89470264</v>
      </c>
      <c r="EV184" s="231">
        <v>230372</v>
      </c>
      <c r="EW184" s="231">
        <v>225094</v>
      </c>
      <c r="EX184" s="231">
        <v>5278</v>
      </c>
      <c r="EY184" s="229">
        <v>2.3400000000000001E-2</v>
      </c>
      <c r="EZ184" s="229">
        <v>0.1381</v>
      </c>
      <c r="FA184" s="227" t="s">
        <v>556</v>
      </c>
      <c r="FB184" s="161">
        <f t="shared" si="4"/>
        <v>0</v>
      </c>
    </row>
    <row r="185" spans="1:158" ht="17.25" thickBot="1" x14ac:dyDescent="0.3">
      <c r="A185" s="226">
        <v>45889</v>
      </c>
      <c r="B185" s="227" t="s">
        <v>172</v>
      </c>
      <c r="C185" s="227" t="s">
        <v>283</v>
      </c>
      <c r="D185" s="228">
        <v>750</v>
      </c>
      <c r="E185" s="228">
        <v>829.2</v>
      </c>
      <c r="F185" s="228">
        <v>831.05</v>
      </c>
      <c r="G185" s="228">
        <v>-1.85</v>
      </c>
      <c r="H185" s="229">
        <v>-2.2000000000000001E-3</v>
      </c>
      <c r="I185" s="228">
        <v>828.95</v>
      </c>
      <c r="J185" s="228">
        <v>830.4</v>
      </c>
      <c r="K185" s="228">
        <v>-1.45</v>
      </c>
      <c r="L185" s="229">
        <v>-1.6999999999999999E-3</v>
      </c>
      <c r="M185" s="228">
        <v>829.2</v>
      </c>
      <c r="N185" s="228">
        <v>831.05</v>
      </c>
      <c r="O185" s="228">
        <v>-1.85</v>
      </c>
      <c r="P185" s="229">
        <v>-2.2000000000000001E-3</v>
      </c>
      <c r="Q185" s="228">
        <v>833.95</v>
      </c>
      <c r="R185" s="228">
        <v>835.9</v>
      </c>
      <c r="S185" s="228">
        <v>-1.95</v>
      </c>
      <c r="T185" s="229">
        <v>-2.3E-3</v>
      </c>
      <c r="U185" s="228">
        <v>838.1</v>
      </c>
      <c r="V185" s="228">
        <v>840.05</v>
      </c>
      <c r="W185" s="228">
        <v>-1.95</v>
      </c>
      <c r="X185" s="229">
        <v>-2.3E-3</v>
      </c>
      <c r="Y185" s="228">
        <v>0.25</v>
      </c>
      <c r="Z185" s="228">
        <v>0.65</v>
      </c>
      <c r="AA185" s="228">
        <v>-0.4</v>
      </c>
      <c r="AB185" s="229">
        <v>2.9999999999999997E-4</v>
      </c>
      <c r="AC185" s="228">
        <v>0.25</v>
      </c>
      <c r="AD185" s="228">
        <v>0.65</v>
      </c>
      <c r="AE185" s="228">
        <v>-0.4</v>
      </c>
      <c r="AF185" s="229">
        <v>2.9999999999999997E-4</v>
      </c>
      <c r="AG185" s="228">
        <v>5</v>
      </c>
      <c r="AH185" s="228">
        <v>5.5</v>
      </c>
      <c r="AI185" s="228">
        <v>-0.5</v>
      </c>
      <c r="AJ185" s="229">
        <v>6.0000000000000001E-3</v>
      </c>
      <c r="AK185" s="228">
        <v>9.15</v>
      </c>
      <c r="AL185" s="228">
        <v>9.65</v>
      </c>
      <c r="AM185" s="228">
        <v>-0.5</v>
      </c>
      <c r="AN185" s="229">
        <v>1.0999999999999999E-2</v>
      </c>
      <c r="AO185" s="228">
        <v>830.2</v>
      </c>
      <c r="AP185" s="228">
        <v>834.78</v>
      </c>
      <c r="AQ185" s="228">
        <v>0</v>
      </c>
      <c r="AR185" s="230">
        <v>11289750</v>
      </c>
      <c r="AS185" s="230">
        <v>11221500</v>
      </c>
      <c r="AT185" s="230">
        <v>68250</v>
      </c>
      <c r="AU185" s="229">
        <v>6.1000000000000004E-3</v>
      </c>
      <c r="AV185" s="230">
        <v>8706750</v>
      </c>
      <c r="AW185" s="230">
        <v>9162750</v>
      </c>
      <c r="AX185" s="230">
        <v>-456000</v>
      </c>
      <c r="AY185" s="229">
        <v>-4.9799999999999997E-2</v>
      </c>
      <c r="AZ185" s="230">
        <v>2461500</v>
      </c>
      <c r="BA185" s="230">
        <v>1392000</v>
      </c>
      <c r="BB185" s="230">
        <v>1069500</v>
      </c>
      <c r="BC185" s="229">
        <v>0.76829999999999998</v>
      </c>
      <c r="BD185" s="230">
        <v>121500</v>
      </c>
      <c r="BE185" s="230">
        <v>666750</v>
      </c>
      <c r="BF185" s="230">
        <v>-545250</v>
      </c>
      <c r="BG185" s="229">
        <v>-0.81779999999999997</v>
      </c>
      <c r="BH185" s="230">
        <v>52673250</v>
      </c>
      <c r="BI185" s="230">
        <v>49029750</v>
      </c>
      <c r="BJ185" s="230">
        <v>3643500</v>
      </c>
      <c r="BK185" s="229">
        <v>7.4300000000000005E-2</v>
      </c>
      <c r="BL185" s="230">
        <v>38322000</v>
      </c>
      <c r="BM185" s="230">
        <v>26124750</v>
      </c>
      <c r="BN185" s="230">
        <v>12197250</v>
      </c>
      <c r="BO185" s="229">
        <v>0.46689999999999998</v>
      </c>
      <c r="BP185" s="230">
        <v>102285000</v>
      </c>
      <c r="BQ185" s="230">
        <v>86376000</v>
      </c>
      <c r="BR185" s="230">
        <v>15909000</v>
      </c>
      <c r="BS185" s="229">
        <v>0.1842</v>
      </c>
      <c r="BT185" s="230">
        <v>4650328</v>
      </c>
      <c r="BU185" s="230">
        <v>5366355</v>
      </c>
      <c r="BV185" s="230">
        <v>-716027</v>
      </c>
      <c r="BW185" s="229">
        <v>-0.13339999999999999</v>
      </c>
      <c r="BX185" s="230">
        <v>107418750</v>
      </c>
      <c r="BY185" s="230">
        <v>107429250</v>
      </c>
      <c r="BZ185" s="230">
        <v>-10500</v>
      </c>
      <c r="CA185" s="229">
        <v>-1E-4</v>
      </c>
      <c r="CB185" s="230">
        <v>95117250</v>
      </c>
      <c r="CC185" s="230">
        <v>97005750</v>
      </c>
      <c r="CD185" s="230">
        <v>-1888500</v>
      </c>
      <c r="CE185" s="229">
        <v>-1.95E-2</v>
      </c>
      <c r="CF185" s="230">
        <v>8736000</v>
      </c>
      <c r="CG185" s="230">
        <v>6904500</v>
      </c>
      <c r="CH185" s="230">
        <v>1831500</v>
      </c>
      <c r="CI185" s="229">
        <v>0.26529999999999998</v>
      </c>
      <c r="CJ185" s="230">
        <v>3565500</v>
      </c>
      <c r="CK185" s="230">
        <v>3519000</v>
      </c>
      <c r="CL185" s="230">
        <v>46500</v>
      </c>
      <c r="CM185" s="229">
        <v>1.32E-2</v>
      </c>
      <c r="CN185" s="230">
        <v>56173500</v>
      </c>
      <c r="CO185" s="230">
        <v>56048250</v>
      </c>
      <c r="CP185" s="230">
        <v>125250</v>
      </c>
      <c r="CQ185" s="229">
        <v>2.2000000000000001E-3</v>
      </c>
      <c r="CR185" s="230">
        <v>42828000</v>
      </c>
      <c r="CS185" s="230">
        <v>44729250</v>
      </c>
      <c r="CT185" s="230">
        <v>-1901250</v>
      </c>
      <c r="CU185" s="229">
        <v>-4.2500000000000003E-2</v>
      </c>
      <c r="CV185" s="230">
        <v>206420250</v>
      </c>
      <c r="CW185" s="230">
        <v>208206750</v>
      </c>
      <c r="CX185" s="230">
        <v>-1786500</v>
      </c>
      <c r="CY185" s="229">
        <v>-8.6E-3</v>
      </c>
      <c r="CZ185" s="228">
        <v>16.68</v>
      </c>
      <c r="DA185" s="228">
        <v>17.21</v>
      </c>
      <c r="DB185" s="228">
        <v>-0.53</v>
      </c>
      <c r="DC185" s="228">
        <v>-0.53</v>
      </c>
      <c r="DD185" s="228">
        <v>27.72</v>
      </c>
      <c r="DE185" s="228">
        <v>27.79</v>
      </c>
      <c r="DF185" s="228">
        <v>-11.04</v>
      </c>
      <c r="DG185" s="228">
        <v>-7.0000000000000007E-2</v>
      </c>
      <c r="DH185" s="228">
        <v>16.23</v>
      </c>
      <c r="DI185" s="228">
        <v>16.62</v>
      </c>
      <c r="DJ185" s="228">
        <v>-0.39</v>
      </c>
      <c r="DK185" s="228">
        <v>-0.39</v>
      </c>
      <c r="DL185" s="228">
        <v>17.29</v>
      </c>
      <c r="DM185" s="228">
        <v>18.32</v>
      </c>
      <c r="DN185" s="228">
        <v>-1.03</v>
      </c>
      <c r="DO185" s="228">
        <v>-1.03</v>
      </c>
      <c r="DP185" s="228">
        <v>0.76</v>
      </c>
      <c r="DQ185" s="228">
        <v>0.8</v>
      </c>
      <c r="DR185" s="228">
        <v>-0.04</v>
      </c>
      <c r="DS185" s="229">
        <v>-0.05</v>
      </c>
      <c r="DT185" s="228">
        <v>830</v>
      </c>
      <c r="DU185" s="228">
        <v>800</v>
      </c>
      <c r="DV185" s="228">
        <v>0.73</v>
      </c>
      <c r="DW185" s="228">
        <v>0.53</v>
      </c>
      <c r="DX185" s="228">
        <v>0.2</v>
      </c>
      <c r="DY185" s="229">
        <v>0.37740000000000001</v>
      </c>
      <c r="DZ185" s="229">
        <v>0.1145</v>
      </c>
      <c r="EA185" s="230">
        <v>10423500</v>
      </c>
      <c r="EB185" s="229">
        <v>5.7000000000000002E-3</v>
      </c>
      <c r="EC185" s="229">
        <v>0.1145</v>
      </c>
      <c r="ED185" s="228">
        <v>4.58</v>
      </c>
      <c r="EE185" s="229">
        <v>5.4999999999999997E-3</v>
      </c>
      <c r="EF185" s="230">
        <v>2796986</v>
      </c>
      <c r="EG185" s="230">
        <v>3234052</v>
      </c>
      <c r="EH185" s="229">
        <v>-0.1351</v>
      </c>
      <c r="EI185" s="229">
        <v>0.60150000000000003</v>
      </c>
      <c r="EJ185" s="231">
        <v>446896.91</v>
      </c>
      <c r="EK185" s="231">
        <v>313810.52</v>
      </c>
      <c r="EL185" s="231">
        <v>93851.11</v>
      </c>
      <c r="EM185" s="228">
        <v>0</v>
      </c>
      <c r="EN185" s="231">
        <v>854558.54</v>
      </c>
      <c r="EO185" s="231">
        <v>723735.37</v>
      </c>
      <c r="EP185" s="231">
        <v>130823.17</v>
      </c>
      <c r="EQ185" s="229">
        <v>0.18079999999999999</v>
      </c>
      <c r="ER185" s="231">
        <v>474464</v>
      </c>
      <c r="ES185" s="231">
        <v>344160</v>
      </c>
      <c r="ET185" s="231">
        <v>891449</v>
      </c>
      <c r="EU185" s="231">
        <v>814614425</v>
      </c>
      <c r="EV185" s="231">
        <v>1710072</v>
      </c>
      <c r="EW185" s="231">
        <v>1726037</v>
      </c>
      <c r="EX185" s="231">
        <v>-15965</v>
      </c>
      <c r="EY185" s="229">
        <v>-9.1999999999999998E-3</v>
      </c>
      <c r="EZ185" s="229">
        <v>0.25340000000000001</v>
      </c>
      <c r="FA185" s="227" t="s">
        <v>568</v>
      </c>
      <c r="FB185" s="161">
        <f t="shared" si="4"/>
        <v>0</v>
      </c>
    </row>
    <row r="186" spans="1:158" ht="17.25" thickBot="1" x14ac:dyDescent="0.3">
      <c r="A186" s="226">
        <v>45889</v>
      </c>
      <c r="B186" s="227" t="s">
        <v>157</v>
      </c>
      <c r="C186" s="227" t="s">
        <v>284</v>
      </c>
      <c r="D186" s="228">
        <v>25</v>
      </c>
      <c r="E186" s="231">
        <v>30790</v>
      </c>
      <c r="F186" s="231">
        <v>31025</v>
      </c>
      <c r="G186" s="228">
        <v>-235</v>
      </c>
      <c r="H186" s="229">
        <v>-7.6E-3</v>
      </c>
      <c r="I186" s="231">
        <v>30690</v>
      </c>
      <c r="J186" s="231">
        <v>30905</v>
      </c>
      <c r="K186" s="228">
        <v>-215</v>
      </c>
      <c r="L186" s="229">
        <v>-7.0000000000000001E-3</v>
      </c>
      <c r="M186" s="231">
        <v>30790</v>
      </c>
      <c r="N186" s="231">
        <v>31025</v>
      </c>
      <c r="O186" s="228">
        <v>-235</v>
      </c>
      <c r="P186" s="229">
        <v>-7.6E-3</v>
      </c>
      <c r="Q186" s="231">
        <v>30880</v>
      </c>
      <c r="R186" s="231">
        <v>31100</v>
      </c>
      <c r="S186" s="228">
        <v>-220</v>
      </c>
      <c r="T186" s="229">
        <v>-7.1000000000000004E-3</v>
      </c>
      <c r="U186" s="231">
        <v>30875</v>
      </c>
      <c r="V186" s="231">
        <v>30875</v>
      </c>
      <c r="W186" s="228">
        <v>0</v>
      </c>
      <c r="X186" s="229">
        <v>0</v>
      </c>
      <c r="Y186" s="228">
        <v>100</v>
      </c>
      <c r="Z186" s="228">
        <v>120</v>
      </c>
      <c r="AA186" s="228">
        <v>-20</v>
      </c>
      <c r="AB186" s="229">
        <v>3.3E-3</v>
      </c>
      <c r="AC186" s="228">
        <v>100</v>
      </c>
      <c r="AD186" s="228">
        <v>120</v>
      </c>
      <c r="AE186" s="228">
        <v>-20</v>
      </c>
      <c r="AF186" s="229">
        <v>3.3E-3</v>
      </c>
      <c r="AG186" s="228">
        <v>190</v>
      </c>
      <c r="AH186" s="228">
        <v>195</v>
      </c>
      <c r="AI186" s="228">
        <v>-5</v>
      </c>
      <c r="AJ186" s="229">
        <v>6.1999999999999998E-3</v>
      </c>
      <c r="AK186" s="228">
        <v>185</v>
      </c>
      <c r="AL186" s="228">
        <v>-30</v>
      </c>
      <c r="AM186" s="228">
        <v>215</v>
      </c>
      <c r="AN186" s="229">
        <v>6.0000000000000001E-3</v>
      </c>
      <c r="AO186" s="231">
        <v>30936.27</v>
      </c>
      <c r="AP186" s="231">
        <v>31072.73</v>
      </c>
      <c r="AQ186" s="228">
        <v>0</v>
      </c>
      <c r="AR186" s="230">
        <v>32425</v>
      </c>
      <c r="AS186" s="230">
        <v>53125</v>
      </c>
      <c r="AT186" s="230">
        <v>-20700</v>
      </c>
      <c r="AU186" s="229">
        <v>-0.3896</v>
      </c>
      <c r="AV186" s="230">
        <v>29125</v>
      </c>
      <c r="AW186" s="230">
        <v>44950</v>
      </c>
      <c r="AX186" s="230">
        <v>-15825</v>
      </c>
      <c r="AY186" s="229">
        <v>-0.35210000000000002</v>
      </c>
      <c r="AZ186" s="230">
        <v>3300</v>
      </c>
      <c r="BA186" s="230">
        <v>8100</v>
      </c>
      <c r="BB186" s="230">
        <v>-4800</v>
      </c>
      <c r="BC186" s="229">
        <v>-0.59260000000000002</v>
      </c>
      <c r="BD186" s="228">
        <v>0</v>
      </c>
      <c r="BE186" s="228">
        <v>75</v>
      </c>
      <c r="BF186" s="228">
        <v>-75</v>
      </c>
      <c r="BG186" s="229">
        <v>-1</v>
      </c>
      <c r="BH186" s="230">
        <v>126025</v>
      </c>
      <c r="BI186" s="230">
        <v>150575</v>
      </c>
      <c r="BJ186" s="230">
        <v>-24550</v>
      </c>
      <c r="BK186" s="229">
        <v>-0.16300000000000001</v>
      </c>
      <c r="BL186" s="230">
        <v>48800</v>
      </c>
      <c r="BM186" s="230">
        <v>108250</v>
      </c>
      <c r="BN186" s="230">
        <v>-59450</v>
      </c>
      <c r="BO186" s="229">
        <v>-0.54920000000000002</v>
      </c>
      <c r="BP186" s="230">
        <v>207250</v>
      </c>
      <c r="BQ186" s="230">
        <v>311950</v>
      </c>
      <c r="BR186" s="230">
        <v>-104700</v>
      </c>
      <c r="BS186" s="229">
        <v>-0.33560000000000001</v>
      </c>
      <c r="BT186" s="230">
        <v>29712</v>
      </c>
      <c r="BU186" s="230">
        <v>44946</v>
      </c>
      <c r="BV186" s="230">
        <v>-15234</v>
      </c>
      <c r="BW186" s="229">
        <v>-0.33889999999999998</v>
      </c>
      <c r="BX186" s="230">
        <v>252050</v>
      </c>
      <c r="BY186" s="230">
        <v>247025</v>
      </c>
      <c r="BZ186" s="230">
        <v>5025</v>
      </c>
      <c r="CA186" s="229">
        <v>2.0299999999999999E-2</v>
      </c>
      <c r="CB186" s="230">
        <v>243175</v>
      </c>
      <c r="CC186" s="230">
        <v>238750</v>
      </c>
      <c r="CD186" s="230">
        <v>4425</v>
      </c>
      <c r="CE186" s="229">
        <v>1.8499999999999999E-2</v>
      </c>
      <c r="CF186" s="230">
        <v>8675</v>
      </c>
      <c r="CG186" s="230">
        <v>8075</v>
      </c>
      <c r="CH186" s="228">
        <v>600</v>
      </c>
      <c r="CI186" s="229">
        <v>7.4300000000000005E-2</v>
      </c>
      <c r="CJ186" s="228">
        <v>200</v>
      </c>
      <c r="CK186" s="228">
        <v>200</v>
      </c>
      <c r="CL186" s="228">
        <v>0</v>
      </c>
      <c r="CM186" s="229">
        <v>0</v>
      </c>
      <c r="CN186" s="230">
        <v>89675</v>
      </c>
      <c r="CO186" s="230">
        <v>76800</v>
      </c>
      <c r="CP186" s="230">
        <v>12875</v>
      </c>
      <c r="CQ186" s="229">
        <v>0.1676</v>
      </c>
      <c r="CR186" s="230">
        <v>43150</v>
      </c>
      <c r="CS186" s="230">
        <v>42875</v>
      </c>
      <c r="CT186" s="228">
        <v>275</v>
      </c>
      <c r="CU186" s="229">
        <v>6.4000000000000003E-3</v>
      </c>
      <c r="CV186" s="230">
        <v>384875</v>
      </c>
      <c r="CW186" s="230">
        <v>366700</v>
      </c>
      <c r="CX186" s="230">
        <v>18175</v>
      </c>
      <c r="CY186" s="229">
        <v>4.9599999999999998E-2</v>
      </c>
      <c r="CZ186" s="228">
        <v>25.9</v>
      </c>
      <c r="DA186" s="228">
        <v>25.05</v>
      </c>
      <c r="DB186" s="228">
        <v>0.85</v>
      </c>
      <c r="DC186" s="228">
        <v>0.85</v>
      </c>
      <c r="DD186" s="228">
        <v>27.11</v>
      </c>
      <c r="DE186" s="228">
        <v>27.16</v>
      </c>
      <c r="DF186" s="228">
        <v>-1.21</v>
      </c>
      <c r="DG186" s="228">
        <v>-0.05</v>
      </c>
      <c r="DH186" s="228">
        <v>26.57</v>
      </c>
      <c r="DI186" s="228">
        <v>25.54</v>
      </c>
      <c r="DJ186" s="228">
        <v>1.03</v>
      </c>
      <c r="DK186" s="228">
        <v>1.03</v>
      </c>
      <c r="DL186" s="228">
        <v>24.18</v>
      </c>
      <c r="DM186" s="228">
        <v>24.37</v>
      </c>
      <c r="DN186" s="228">
        <v>-0.19</v>
      </c>
      <c r="DO186" s="228">
        <v>-0.19</v>
      </c>
      <c r="DP186" s="228">
        <v>0.48</v>
      </c>
      <c r="DQ186" s="228">
        <v>0.56000000000000005</v>
      </c>
      <c r="DR186" s="228">
        <v>-0.08</v>
      </c>
      <c r="DS186" s="229">
        <v>-0.1429</v>
      </c>
      <c r="DT186" s="231">
        <v>32000</v>
      </c>
      <c r="DU186" s="231">
        <v>31500</v>
      </c>
      <c r="DV186" s="228">
        <v>0.39</v>
      </c>
      <c r="DW186" s="228">
        <v>0.72</v>
      </c>
      <c r="DX186" s="228">
        <v>-0.33</v>
      </c>
      <c r="DY186" s="229">
        <v>-0.45829999999999999</v>
      </c>
      <c r="DZ186" s="229">
        <v>3.5200000000000002E-2</v>
      </c>
      <c r="EA186" s="230">
        <v>8275</v>
      </c>
      <c r="EB186" s="229">
        <v>2.8999999999999998E-3</v>
      </c>
      <c r="EC186" s="229">
        <v>3.5200000000000002E-2</v>
      </c>
      <c r="ED186" s="228">
        <v>136.46</v>
      </c>
      <c r="EE186" s="229">
        <v>4.4000000000000003E-3</v>
      </c>
      <c r="EF186" s="230">
        <v>14338</v>
      </c>
      <c r="EG186" s="230">
        <v>27197</v>
      </c>
      <c r="EH186" s="229">
        <v>-0.4728</v>
      </c>
      <c r="EI186" s="229">
        <v>0.48259999999999997</v>
      </c>
      <c r="EJ186" s="231">
        <v>40454.47</v>
      </c>
      <c r="EK186" s="231">
        <v>15430.56</v>
      </c>
      <c r="EL186" s="231">
        <v>10035.59</v>
      </c>
      <c r="EM186" s="228">
        <v>0</v>
      </c>
      <c r="EN186" s="231">
        <v>65920.62</v>
      </c>
      <c r="EO186" s="231">
        <v>99296.5</v>
      </c>
      <c r="EP186" s="231">
        <v>-33375.879999999997</v>
      </c>
      <c r="EQ186" s="229">
        <v>-0.33610000000000001</v>
      </c>
      <c r="ER186" s="231">
        <v>28956</v>
      </c>
      <c r="ES186" s="231">
        <v>12911</v>
      </c>
      <c r="ET186" s="231">
        <v>77614</v>
      </c>
      <c r="EU186" s="231">
        <v>2702310</v>
      </c>
      <c r="EV186" s="231">
        <v>119481</v>
      </c>
      <c r="EW186" s="231">
        <v>114365</v>
      </c>
      <c r="EX186" s="231">
        <v>5116</v>
      </c>
      <c r="EY186" s="229">
        <v>4.4699999999999997E-2</v>
      </c>
      <c r="EZ186" s="229">
        <v>0.1424</v>
      </c>
      <c r="FA186" s="227" t="s">
        <v>567</v>
      </c>
      <c r="FB186" s="161">
        <f t="shared" si="4"/>
        <v>0</v>
      </c>
    </row>
    <row r="187" spans="1:158" ht="17.25" thickBot="1" x14ac:dyDescent="0.3">
      <c r="A187" s="226">
        <v>45889</v>
      </c>
      <c r="B187" s="227" t="s">
        <v>175</v>
      </c>
      <c r="C187" s="227" t="s">
        <v>562</v>
      </c>
      <c r="D187" s="228">
        <v>825</v>
      </c>
      <c r="E187" s="228">
        <v>618.20000000000005</v>
      </c>
      <c r="F187" s="228">
        <v>626.9</v>
      </c>
      <c r="G187" s="228">
        <v>-8.6999999999999993</v>
      </c>
      <c r="H187" s="229">
        <v>-1.3899999999999999E-2</v>
      </c>
      <c r="I187" s="228">
        <v>616.29999999999995</v>
      </c>
      <c r="J187" s="228">
        <v>626.35</v>
      </c>
      <c r="K187" s="228">
        <v>-10.050000000000001</v>
      </c>
      <c r="L187" s="229">
        <v>-1.6E-2</v>
      </c>
      <c r="M187" s="228">
        <v>618.20000000000005</v>
      </c>
      <c r="N187" s="228">
        <v>626.9</v>
      </c>
      <c r="O187" s="228">
        <v>-8.6999999999999993</v>
      </c>
      <c r="P187" s="229">
        <v>-1.3899999999999999E-2</v>
      </c>
      <c r="Q187" s="228">
        <v>621.4</v>
      </c>
      <c r="R187" s="228">
        <v>630.04999999999995</v>
      </c>
      <c r="S187" s="228">
        <v>-8.65</v>
      </c>
      <c r="T187" s="229">
        <v>-1.37E-2</v>
      </c>
      <c r="U187" s="228">
        <v>624.54999999999995</v>
      </c>
      <c r="V187" s="228">
        <v>632.9</v>
      </c>
      <c r="W187" s="228">
        <v>-8.35</v>
      </c>
      <c r="X187" s="229">
        <v>-1.32E-2</v>
      </c>
      <c r="Y187" s="228">
        <v>1.9</v>
      </c>
      <c r="Z187" s="228">
        <v>0.55000000000000004</v>
      </c>
      <c r="AA187" s="228">
        <v>1.35</v>
      </c>
      <c r="AB187" s="229">
        <v>3.0999999999999999E-3</v>
      </c>
      <c r="AC187" s="228">
        <v>1.9</v>
      </c>
      <c r="AD187" s="228">
        <v>0.55000000000000004</v>
      </c>
      <c r="AE187" s="228">
        <v>1.35</v>
      </c>
      <c r="AF187" s="229">
        <v>3.0999999999999999E-3</v>
      </c>
      <c r="AG187" s="228">
        <v>5.0999999999999996</v>
      </c>
      <c r="AH187" s="228">
        <v>3.7</v>
      </c>
      <c r="AI187" s="228">
        <v>1.4</v>
      </c>
      <c r="AJ187" s="229">
        <v>8.3000000000000001E-3</v>
      </c>
      <c r="AK187" s="228">
        <v>8.25</v>
      </c>
      <c r="AL187" s="228">
        <v>6.55</v>
      </c>
      <c r="AM187" s="228">
        <v>1.7</v>
      </c>
      <c r="AN187" s="229">
        <v>1.34E-2</v>
      </c>
      <c r="AO187" s="228">
        <v>617.96</v>
      </c>
      <c r="AP187" s="228">
        <v>621.47</v>
      </c>
      <c r="AQ187" s="228">
        <v>0</v>
      </c>
      <c r="AR187" s="230">
        <v>6280725</v>
      </c>
      <c r="AS187" s="230">
        <v>5168625</v>
      </c>
      <c r="AT187" s="230">
        <v>1112100</v>
      </c>
      <c r="AU187" s="229">
        <v>0.2152</v>
      </c>
      <c r="AV187" s="230">
        <v>4719825</v>
      </c>
      <c r="AW187" s="230">
        <v>4196775</v>
      </c>
      <c r="AX187" s="230">
        <v>523050</v>
      </c>
      <c r="AY187" s="229">
        <v>0.1246</v>
      </c>
      <c r="AZ187" s="230">
        <v>1448700</v>
      </c>
      <c r="BA187" s="230">
        <v>929775</v>
      </c>
      <c r="BB187" s="230">
        <v>518925</v>
      </c>
      <c r="BC187" s="229">
        <v>0.55810000000000004</v>
      </c>
      <c r="BD187" s="230">
        <v>112200</v>
      </c>
      <c r="BE187" s="230">
        <v>42075</v>
      </c>
      <c r="BF187" s="230">
        <v>70125</v>
      </c>
      <c r="BG187" s="229">
        <v>1.6667000000000001</v>
      </c>
      <c r="BH187" s="230">
        <v>11561550</v>
      </c>
      <c r="BI187" s="230">
        <v>11201025</v>
      </c>
      <c r="BJ187" s="230">
        <v>360525</v>
      </c>
      <c r="BK187" s="229">
        <v>3.2199999999999999E-2</v>
      </c>
      <c r="BL187" s="230">
        <v>6091800</v>
      </c>
      <c r="BM187" s="230">
        <v>6185025</v>
      </c>
      <c r="BN187" s="230">
        <v>-93225</v>
      </c>
      <c r="BO187" s="229">
        <v>-1.5100000000000001E-2</v>
      </c>
      <c r="BP187" s="230">
        <v>23934075</v>
      </c>
      <c r="BQ187" s="230">
        <v>22554675</v>
      </c>
      <c r="BR187" s="230">
        <v>1379400</v>
      </c>
      <c r="BS187" s="229">
        <v>6.1199999999999997E-2</v>
      </c>
      <c r="BT187" s="230">
        <v>6028040</v>
      </c>
      <c r="BU187" s="230">
        <v>4953388</v>
      </c>
      <c r="BV187" s="230">
        <v>1074652</v>
      </c>
      <c r="BW187" s="229">
        <v>0.217</v>
      </c>
      <c r="BX187" s="230">
        <v>39582675</v>
      </c>
      <c r="BY187" s="230">
        <v>38447475</v>
      </c>
      <c r="BZ187" s="230">
        <v>1135200</v>
      </c>
      <c r="CA187" s="229">
        <v>2.9499999999999998E-2</v>
      </c>
      <c r="CB187" s="230">
        <v>35777775</v>
      </c>
      <c r="CC187" s="230">
        <v>35613600</v>
      </c>
      <c r="CD187" s="230">
        <v>164175</v>
      </c>
      <c r="CE187" s="229">
        <v>4.5999999999999999E-3</v>
      </c>
      <c r="CF187" s="230">
        <v>3592875</v>
      </c>
      <c r="CG187" s="230">
        <v>2685375</v>
      </c>
      <c r="CH187" s="230">
        <v>907500</v>
      </c>
      <c r="CI187" s="229">
        <v>0.33789999999999998</v>
      </c>
      <c r="CJ187" s="230">
        <v>212025</v>
      </c>
      <c r="CK187" s="230">
        <v>148500</v>
      </c>
      <c r="CL187" s="230">
        <v>63525</v>
      </c>
      <c r="CM187" s="229">
        <v>0.42780000000000001</v>
      </c>
      <c r="CN187" s="230">
        <v>9774600</v>
      </c>
      <c r="CO187" s="230">
        <v>8628675</v>
      </c>
      <c r="CP187" s="230">
        <v>1145925</v>
      </c>
      <c r="CQ187" s="229">
        <v>0.1328</v>
      </c>
      <c r="CR187" s="230">
        <v>5945775</v>
      </c>
      <c r="CS187" s="230">
        <v>5666925</v>
      </c>
      <c r="CT187" s="230">
        <v>278850</v>
      </c>
      <c r="CU187" s="229">
        <v>4.9200000000000001E-2</v>
      </c>
      <c r="CV187" s="230">
        <v>55303050</v>
      </c>
      <c r="CW187" s="230">
        <v>52743075</v>
      </c>
      <c r="CX187" s="230">
        <v>2559975</v>
      </c>
      <c r="CY187" s="229">
        <v>4.8500000000000001E-2</v>
      </c>
      <c r="CZ187" s="228">
        <v>31.62</v>
      </c>
      <c r="DA187" s="228">
        <v>31.09</v>
      </c>
      <c r="DB187" s="228">
        <v>0.53</v>
      </c>
      <c r="DC187" s="228">
        <v>0.53</v>
      </c>
      <c r="DD187" s="228">
        <v>42.21</v>
      </c>
      <c r="DE187" s="228">
        <v>42.26</v>
      </c>
      <c r="DF187" s="228">
        <v>-10.59</v>
      </c>
      <c r="DG187" s="228">
        <v>-0.05</v>
      </c>
      <c r="DH187" s="228">
        <v>32.29</v>
      </c>
      <c r="DI187" s="228">
        <v>31.17</v>
      </c>
      <c r="DJ187" s="228">
        <v>1.1200000000000001</v>
      </c>
      <c r="DK187" s="228">
        <v>1.1200000000000001</v>
      </c>
      <c r="DL187" s="228">
        <v>30.34</v>
      </c>
      <c r="DM187" s="228">
        <v>30.93</v>
      </c>
      <c r="DN187" s="228">
        <v>-0.59</v>
      </c>
      <c r="DO187" s="228">
        <v>-0.59</v>
      </c>
      <c r="DP187" s="228">
        <v>0.61</v>
      </c>
      <c r="DQ187" s="228">
        <v>0.66</v>
      </c>
      <c r="DR187" s="228">
        <v>-0.05</v>
      </c>
      <c r="DS187" s="229">
        <v>-7.5800000000000006E-2</v>
      </c>
      <c r="DT187" s="228">
        <v>700</v>
      </c>
      <c r="DU187" s="228">
        <v>620</v>
      </c>
      <c r="DV187" s="228">
        <v>0.53</v>
      </c>
      <c r="DW187" s="228">
        <v>0.55000000000000004</v>
      </c>
      <c r="DX187" s="228">
        <v>-0.02</v>
      </c>
      <c r="DY187" s="229">
        <v>-3.6400000000000002E-2</v>
      </c>
      <c r="DZ187" s="229">
        <v>9.6100000000000005E-2</v>
      </c>
      <c r="EA187" s="230">
        <v>2833875</v>
      </c>
      <c r="EB187" s="229">
        <v>5.1999999999999998E-3</v>
      </c>
      <c r="EC187" s="229">
        <v>9.6100000000000005E-2</v>
      </c>
      <c r="ED187" s="228">
        <v>3.51</v>
      </c>
      <c r="EE187" s="229">
        <v>5.7000000000000002E-3</v>
      </c>
      <c r="EF187" s="230">
        <v>3748969</v>
      </c>
      <c r="EG187" s="230">
        <v>2833662</v>
      </c>
      <c r="EH187" s="229">
        <v>0.32300000000000001</v>
      </c>
      <c r="EI187" s="229">
        <v>0.62190000000000001</v>
      </c>
      <c r="EJ187" s="231">
        <v>74784.240000000005</v>
      </c>
      <c r="EK187" s="231">
        <v>37690.79</v>
      </c>
      <c r="EL187" s="231">
        <v>38870.589999999997</v>
      </c>
      <c r="EM187" s="228">
        <v>0</v>
      </c>
      <c r="EN187" s="231">
        <v>151345.62</v>
      </c>
      <c r="EO187" s="231">
        <v>143789.15</v>
      </c>
      <c r="EP187" s="231">
        <v>7556.47</v>
      </c>
      <c r="EQ187" s="229">
        <v>5.2600000000000001E-2</v>
      </c>
      <c r="ER187" s="231">
        <v>64395</v>
      </c>
      <c r="ES187" s="231">
        <v>36132</v>
      </c>
      <c r="ET187" s="231">
        <v>244829</v>
      </c>
      <c r="EU187" s="231">
        <v>280612368</v>
      </c>
      <c r="EV187" s="231">
        <v>345355</v>
      </c>
      <c r="EW187" s="231">
        <v>332995</v>
      </c>
      <c r="EX187" s="231">
        <v>12360</v>
      </c>
      <c r="EY187" s="229">
        <v>3.7100000000000001E-2</v>
      </c>
      <c r="EZ187" s="229">
        <v>0.1971</v>
      </c>
      <c r="FA187" s="227" t="s">
        <v>567</v>
      </c>
      <c r="FB187" s="161">
        <f t="shared" si="4"/>
        <v>0</v>
      </c>
    </row>
    <row r="188" spans="1:158" ht="17.25" thickBot="1" x14ac:dyDescent="0.3">
      <c r="A188" s="226">
        <v>45889</v>
      </c>
      <c r="B188" s="227" t="s">
        <v>184</v>
      </c>
      <c r="C188" s="227" t="s">
        <v>285</v>
      </c>
      <c r="D188" s="228">
        <v>125</v>
      </c>
      <c r="E188" s="231">
        <v>3157.4</v>
      </c>
      <c r="F188" s="231">
        <v>3139.8</v>
      </c>
      <c r="G188" s="228">
        <v>17.600000000000001</v>
      </c>
      <c r="H188" s="229">
        <v>5.5999999999999999E-3</v>
      </c>
      <c r="I188" s="231">
        <v>3155.1</v>
      </c>
      <c r="J188" s="231">
        <v>3133.2</v>
      </c>
      <c r="K188" s="228">
        <v>21.9</v>
      </c>
      <c r="L188" s="229">
        <v>7.0000000000000001E-3</v>
      </c>
      <c r="M188" s="231">
        <v>3157.4</v>
      </c>
      <c r="N188" s="231">
        <v>3139.8</v>
      </c>
      <c r="O188" s="228">
        <v>17.600000000000001</v>
      </c>
      <c r="P188" s="229">
        <v>5.5999999999999999E-3</v>
      </c>
      <c r="Q188" s="231">
        <v>3174.7</v>
      </c>
      <c r="R188" s="231">
        <v>3156.8</v>
      </c>
      <c r="S188" s="228">
        <v>17.899999999999999</v>
      </c>
      <c r="T188" s="229">
        <v>5.7000000000000002E-3</v>
      </c>
      <c r="U188" s="231">
        <v>3190</v>
      </c>
      <c r="V188" s="231">
        <v>3165</v>
      </c>
      <c r="W188" s="228">
        <v>25</v>
      </c>
      <c r="X188" s="229">
        <v>7.9000000000000008E-3</v>
      </c>
      <c r="Y188" s="228">
        <v>2.2999999999999998</v>
      </c>
      <c r="Z188" s="228">
        <v>6.6</v>
      </c>
      <c r="AA188" s="228">
        <v>-4.3</v>
      </c>
      <c r="AB188" s="229">
        <v>6.9999999999999999E-4</v>
      </c>
      <c r="AC188" s="228">
        <v>2.2999999999999998</v>
      </c>
      <c r="AD188" s="228">
        <v>6.6</v>
      </c>
      <c r="AE188" s="228">
        <v>-4.3</v>
      </c>
      <c r="AF188" s="229">
        <v>6.9999999999999999E-4</v>
      </c>
      <c r="AG188" s="228">
        <v>19.600000000000001</v>
      </c>
      <c r="AH188" s="228">
        <v>23.6</v>
      </c>
      <c r="AI188" s="228">
        <v>-4</v>
      </c>
      <c r="AJ188" s="229">
        <v>6.1999999999999998E-3</v>
      </c>
      <c r="AK188" s="228">
        <v>34.9</v>
      </c>
      <c r="AL188" s="228">
        <v>31.8</v>
      </c>
      <c r="AM188" s="228">
        <v>3.1</v>
      </c>
      <c r="AN188" s="229">
        <v>1.11E-2</v>
      </c>
      <c r="AO188" s="231">
        <v>3148.97</v>
      </c>
      <c r="AP188" s="231">
        <v>3163.32</v>
      </c>
      <c r="AQ188" s="228">
        <v>0</v>
      </c>
      <c r="AR188" s="230">
        <v>399750</v>
      </c>
      <c r="AS188" s="230">
        <v>386125</v>
      </c>
      <c r="AT188" s="230">
        <v>13625</v>
      </c>
      <c r="AU188" s="229">
        <v>3.5299999999999998E-2</v>
      </c>
      <c r="AV188" s="230">
        <v>318875</v>
      </c>
      <c r="AW188" s="230">
        <v>327625</v>
      </c>
      <c r="AX188" s="230">
        <v>-8750</v>
      </c>
      <c r="AY188" s="229">
        <v>-2.6700000000000002E-2</v>
      </c>
      <c r="AZ188" s="230">
        <v>77000</v>
      </c>
      <c r="BA188" s="230">
        <v>56250</v>
      </c>
      <c r="BB188" s="230">
        <v>20750</v>
      </c>
      <c r="BC188" s="229">
        <v>0.36890000000000001</v>
      </c>
      <c r="BD188" s="230">
        <v>3875</v>
      </c>
      <c r="BE188" s="230">
        <v>2250</v>
      </c>
      <c r="BF188" s="230">
        <v>1625</v>
      </c>
      <c r="BG188" s="229">
        <v>0.72219999999999995</v>
      </c>
      <c r="BH188" s="230">
        <v>1941500</v>
      </c>
      <c r="BI188" s="230">
        <v>1276750</v>
      </c>
      <c r="BJ188" s="230">
        <v>664750</v>
      </c>
      <c r="BK188" s="229">
        <v>0.52070000000000005</v>
      </c>
      <c r="BL188" s="230">
        <v>690750</v>
      </c>
      <c r="BM188" s="230">
        <v>778250</v>
      </c>
      <c r="BN188" s="230">
        <v>-87500</v>
      </c>
      <c r="BO188" s="229">
        <v>-0.1124</v>
      </c>
      <c r="BP188" s="230">
        <v>3032000</v>
      </c>
      <c r="BQ188" s="230">
        <v>2441125</v>
      </c>
      <c r="BR188" s="230">
        <v>590875</v>
      </c>
      <c r="BS188" s="229">
        <v>0.24210000000000001</v>
      </c>
      <c r="BT188" s="230">
        <v>306809</v>
      </c>
      <c r="BU188" s="230">
        <v>195698</v>
      </c>
      <c r="BV188" s="230">
        <v>111111</v>
      </c>
      <c r="BW188" s="229">
        <v>0.56779999999999997</v>
      </c>
      <c r="BX188" s="230">
        <v>2170125</v>
      </c>
      <c r="BY188" s="230">
        <v>2131625</v>
      </c>
      <c r="BZ188" s="230">
        <v>38500</v>
      </c>
      <c r="CA188" s="229">
        <v>1.8100000000000002E-2</v>
      </c>
      <c r="CB188" s="230">
        <v>1967375</v>
      </c>
      <c r="CC188" s="230">
        <v>1954875</v>
      </c>
      <c r="CD188" s="230">
        <v>12500</v>
      </c>
      <c r="CE188" s="229">
        <v>6.4000000000000003E-3</v>
      </c>
      <c r="CF188" s="230">
        <v>192625</v>
      </c>
      <c r="CG188" s="230">
        <v>168625</v>
      </c>
      <c r="CH188" s="230">
        <v>24000</v>
      </c>
      <c r="CI188" s="229">
        <v>0.14230000000000001</v>
      </c>
      <c r="CJ188" s="230">
        <v>10125</v>
      </c>
      <c r="CK188" s="230">
        <v>8125</v>
      </c>
      <c r="CL188" s="230">
        <v>2000</v>
      </c>
      <c r="CM188" s="229">
        <v>0.2462</v>
      </c>
      <c r="CN188" s="230">
        <v>1373625</v>
      </c>
      <c r="CO188" s="230">
        <v>1195625</v>
      </c>
      <c r="CP188" s="230">
        <v>178000</v>
      </c>
      <c r="CQ188" s="229">
        <v>0.1489</v>
      </c>
      <c r="CR188" s="230">
        <v>955000</v>
      </c>
      <c r="CS188" s="230">
        <v>927000</v>
      </c>
      <c r="CT188" s="230">
        <v>28000</v>
      </c>
      <c r="CU188" s="229">
        <v>3.0200000000000001E-2</v>
      </c>
      <c r="CV188" s="230">
        <v>4498750</v>
      </c>
      <c r="CW188" s="230">
        <v>4254250</v>
      </c>
      <c r="CX188" s="230">
        <v>244500</v>
      </c>
      <c r="CY188" s="229">
        <v>5.7500000000000002E-2</v>
      </c>
      <c r="CZ188" s="228">
        <v>29.09</v>
      </c>
      <c r="DA188" s="228">
        <v>30.64</v>
      </c>
      <c r="DB188" s="228">
        <v>-1.55</v>
      </c>
      <c r="DC188" s="228">
        <v>-1.55</v>
      </c>
      <c r="DD188" s="228">
        <v>41.83</v>
      </c>
      <c r="DE188" s="228">
        <v>41.93</v>
      </c>
      <c r="DF188" s="228">
        <v>-12.74</v>
      </c>
      <c r="DG188" s="228">
        <v>-0.1</v>
      </c>
      <c r="DH188" s="228">
        <v>28.64</v>
      </c>
      <c r="DI188" s="228">
        <v>29.66</v>
      </c>
      <c r="DJ188" s="228">
        <v>-1.02</v>
      </c>
      <c r="DK188" s="228">
        <v>-1.02</v>
      </c>
      <c r="DL188" s="228">
        <v>30.37</v>
      </c>
      <c r="DM188" s="228">
        <v>32.26</v>
      </c>
      <c r="DN188" s="228">
        <v>-1.89</v>
      </c>
      <c r="DO188" s="228">
        <v>-1.89</v>
      </c>
      <c r="DP188" s="228">
        <v>0.7</v>
      </c>
      <c r="DQ188" s="228">
        <v>0.78</v>
      </c>
      <c r="DR188" s="228">
        <v>-0.08</v>
      </c>
      <c r="DS188" s="229">
        <v>-0.1026</v>
      </c>
      <c r="DT188" s="231">
        <v>3200</v>
      </c>
      <c r="DU188" s="231">
        <v>3000</v>
      </c>
      <c r="DV188" s="228">
        <v>0.36</v>
      </c>
      <c r="DW188" s="228">
        <v>0.61</v>
      </c>
      <c r="DX188" s="228">
        <v>-0.25</v>
      </c>
      <c r="DY188" s="229">
        <v>-0.4098</v>
      </c>
      <c r="DZ188" s="229">
        <v>9.3399999999999997E-2</v>
      </c>
      <c r="EA188" s="230">
        <v>176750</v>
      </c>
      <c r="EB188" s="229">
        <v>5.4999999999999997E-3</v>
      </c>
      <c r="EC188" s="229">
        <v>9.3399999999999997E-2</v>
      </c>
      <c r="ED188" s="228">
        <v>14.35</v>
      </c>
      <c r="EE188" s="229">
        <v>4.5999999999999999E-3</v>
      </c>
      <c r="EF188" s="230">
        <v>139464</v>
      </c>
      <c r="EG188" s="230">
        <v>49093</v>
      </c>
      <c r="EH188" s="229">
        <v>1.8408</v>
      </c>
      <c r="EI188" s="229">
        <v>0.4546</v>
      </c>
      <c r="EJ188" s="231">
        <v>63072.38</v>
      </c>
      <c r="EK188" s="231">
        <v>21388.15</v>
      </c>
      <c r="EL188" s="231">
        <v>12600.24</v>
      </c>
      <c r="EM188" s="228">
        <v>0</v>
      </c>
      <c r="EN188" s="231">
        <v>97060.77</v>
      </c>
      <c r="EO188" s="231">
        <v>77594.259999999995</v>
      </c>
      <c r="EP188" s="231">
        <v>19466.509999999998</v>
      </c>
      <c r="EQ188" s="229">
        <v>0.25090000000000001</v>
      </c>
      <c r="ER188" s="231">
        <v>44448</v>
      </c>
      <c r="ES188" s="231">
        <v>28411</v>
      </c>
      <c r="ET188" s="231">
        <v>68556</v>
      </c>
      <c r="EU188" s="231">
        <v>17806118</v>
      </c>
      <c r="EV188" s="231">
        <v>141416</v>
      </c>
      <c r="EW188" s="231">
        <v>133230</v>
      </c>
      <c r="EX188" s="231">
        <v>8186</v>
      </c>
      <c r="EY188" s="229">
        <v>6.1400000000000003E-2</v>
      </c>
      <c r="EZ188" s="229">
        <v>0.25269999999999998</v>
      </c>
      <c r="FA188" s="227" t="s">
        <v>555</v>
      </c>
      <c r="FB188" s="161">
        <f t="shared" si="4"/>
        <v>0</v>
      </c>
    </row>
    <row r="189" spans="1:158" ht="17.25" thickBot="1" x14ac:dyDescent="0.3">
      <c r="A189" s="226">
        <v>45889</v>
      </c>
      <c r="B189" s="227" t="s">
        <v>161</v>
      </c>
      <c r="C189" s="227" t="s">
        <v>600</v>
      </c>
      <c r="D189" s="228">
        <v>5875</v>
      </c>
      <c r="E189" s="228">
        <v>97.79</v>
      </c>
      <c r="F189" s="228">
        <v>95.24</v>
      </c>
      <c r="G189" s="228">
        <v>2.5499999999999998</v>
      </c>
      <c r="H189" s="229">
        <v>2.6800000000000001E-2</v>
      </c>
      <c r="I189" s="228">
        <v>97.57</v>
      </c>
      <c r="J189" s="228">
        <v>94.88</v>
      </c>
      <c r="K189" s="228">
        <v>2.69</v>
      </c>
      <c r="L189" s="229">
        <v>2.8400000000000002E-2</v>
      </c>
      <c r="M189" s="228">
        <v>97.79</v>
      </c>
      <c r="N189" s="228">
        <v>95.24</v>
      </c>
      <c r="O189" s="228">
        <v>2.5499999999999998</v>
      </c>
      <c r="P189" s="229">
        <v>2.6800000000000001E-2</v>
      </c>
      <c r="Q189" s="228">
        <v>0</v>
      </c>
      <c r="R189" s="228">
        <v>0</v>
      </c>
      <c r="S189" s="228">
        <v>0</v>
      </c>
      <c r="T189" s="229">
        <v>0</v>
      </c>
      <c r="U189" s="228">
        <v>0</v>
      </c>
      <c r="V189" s="228">
        <v>0</v>
      </c>
      <c r="W189" s="228">
        <v>0</v>
      </c>
      <c r="X189" s="229">
        <v>0</v>
      </c>
      <c r="Y189" s="228">
        <v>0.22</v>
      </c>
      <c r="Z189" s="228">
        <v>0.36</v>
      </c>
      <c r="AA189" s="228">
        <v>-0.14000000000000001</v>
      </c>
      <c r="AB189" s="229">
        <v>2.3E-3</v>
      </c>
      <c r="AC189" s="228">
        <v>0.22</v>
      </c>
      <c r="AD189" s="228">
        <v>0.36</v>
      </c>
      <c r="AE189" s="228">
        <v>-0.14000000000000001</v>
      </c>
      <c r="AF189" s="229">
        <v>2.3E-3</v>
      </c>
      <c r="AG189" s="228">
        <v>0</v>
      </c>
      <c r="AH189" s="228">
        <v>0</v>
      </c>
      <c r="AI189" s="228">
        <v>0</v>
      </c>
      <c r="AJ189" s="229">
        <v>0</v>
      </c>
      <c r="AK189" s="228">
        <v>0</v>
      </c>
      <c r="AL189" s="228">
        <v>0</v>
      </c>
      <c r="AM189" s="228">
        <v>0</v>
      </c>
      <c r="AN189" s="229">
        <v>0</v>
      </c>
      <c r="AO189" s="228">
        <v>97.96</v>
      </c>
      <c r="AP189" s="228">
        <v>0</v>
      </c>
      <c r="AQ189" s="228">
        <v>0</v>
      </c>
      <c r="AR189" s="230">
        <v>9452875</v>
      </c>
      <c r="AS189" s="230">
        <v>4852750</v>
      </c>
      <c r="AT189" s="230">
        <v>4600125</v>
      </c>
      <c r="AU189" s="229">
        <v>0.94789999999999996</v>
      </c>
      <c r="AV189" s="230">
        <v>9452875</v>
      </c>
      <c r="AW189" s="230">
        <v>4852750</v>
      </c>
      <c r="AX189" s="230">
        <v>4600125</v>
      </c>
      <c r="AY189" s="229">
        <v>0.94789999999999996</v>
      </c>
      <c r="AZ189" s="228">
        <v>0</v>
      </c>
      <c r="BA189" s="228">
        <v>0</v>
      </c>
      <c r="BB189" s="228">
        <v>0</v>
      </c>
      <c r="BC189" s="229">
        <v>0</v>
      </c>
      <c r="BD189" s="228">
        <v>0</v>
      </c>
      <c r="BE189" s="228">
        <v>0</v>
      </c>
      <c r="BF189" s="228">
        <v>0</v>
      </c>
      <c r="BG189" s="229">
        <v>0</v>
      </c>
      <c r="BH189" s="230">
        <v>70247375</v>
      </c>
      <c r="BI189" s="230">
        <v>17519250</v>
      </c>
      <c r="BJ189" s="230">
        <v>52728125</v>
      </c>
      <c r="BK189" s="229">
        <v>3.0097</v>
      </c>
      <c r="BL189" s="230">
        <v>21514250</v>
      </c>
      <c r="BM189" s="230">
        <v>3789375</v>
      </c>
      <c r="BN189" s="230">
        <v>17724875</v>
      </c>
      <c r="BO189" s="229">
        <v>4.6775000000000002</v>
      </c>
      <c r="BP189" s="230">
        <v>101214500</v>
      </c>
      <c r="BQ189" s="230">
        <v>26161375</v>
      </c>
      <c r="BR189" s="230">
        <v>75053125</v>
      </c>
      <c r="BS189" s="229">
        <v>2.8689</v>
      </c>
      <c r="BT189" s="230">
        <v>14294408</v>
      </c>
      <c r="BU189" s="230">
        <v>4626299</v>
      </c>
      <c r="BV189" s="230">
        <v>9668109</v>
      </c>
      <c r="BW189" s="229">
        <v>2.0897999999999999</v>
      </c>
      <c r="BX189" s="230">
        <v>15468875</v>
      </c>
      <c r="BY189" s="230">
        <v>15087000</v>
      </c>
      <c r="BZ189" s="230">
        <v>381875</v>
      </c>
      <c r="CA189" s="229">
        <v>2.53E-2</v>
      </c>
      <c r="CB189" s="230">
        <v>15468875</v>
      </c>
      <c r="CC189" s="230">
        <v>15087000</v>
      </c>
      <c r="CD189" s="230">
        <v>381875</v>
      </c>
      <c r="CE189" s="229">
        <v>2.53E-2</v>
      </c>
      <c r="CF189" s="228">
        <v>0</v>
      </c>
      <c r="CG189" s="228">
        <v>0</v>
      </c>
      <c r="CH189" s="228">
        <v>0</v>
      </c>
      <c r="CI189" s="229">
        <v>0</v>
      </c>
      <c r="CJ189" s="228">
        <v>0</v>
      </c>
      <c r="CK189" s="228">
        <v>0</v>
      </c>
      <c r="CL189" s="228">
        <v>0</v>
      </c>
      <c r="CM189" s="229">
        <v>0</v>
      </c>
      <c r="CN189" s="230">
        <v>16514625</v>
      </c>
      <c r="CO189" s="230">
        <v>16526375</v>
      </c>
      <c r="CP189" s="230">
        <v>-11750</v>
      </c>
      <c r="CQ189" s="229">
        <v>-6.9999999999999999E-4</v>
      </c>
      <c r="CR189" s="230">
        <v>10904000</v>
      </c>
      <c r="CS189" s="230">
        <v>7596375</v>
      </c>
      <c r="CT189" s="230">
        <v>3307625</v>
      </c>
      <c r="CU189" s="229">
        <v>0.43540000000000001</v>
      </c>
      <c r="CV189" s="230">
        <v>42887500</v>
      </c>
      <c r="CW189" s="230">
        <v>39209750</v>
      </c>
      <c r="CX189" s="230">
        <v>3677750</v>
      </c>
      <c r="CY189" s="229">
        <v>9.3799999999999994E-2</v>
      </c>
      <c r="CZ189" s="228">
        <v>30.81</v>
      </c>
      <c r="DA189" s="228">
        <v>32.28</v>
      </c>
      <c r="DB189" s="228">
        <v>-1.47</v>
      </c>
      <c r="DC189" s="228">
        <v>-1.47</v>
      </c>
      <c r="DD189" s="228">
        <v>52.89</v>
      </c>
      <c r="DE189" s="228">
        <v>52.9</v>
      </c>
      <c r="DF189" s="228">
        <v>-22.08</v>
      </c>
      <c r="DG189" s="228">
        <v>-0.01</v>
      </c>
      <c r="DH189" s="228">
        <v>31.26</v>
      </c>
      <c r="DI189" s="228">
        <v>32.340000000000003</v>
      </c>
      <c r="DJ189" s="228">
        <v>-1.08</v>
      </c>
      <c r="DK189" s="228">
        <v>-1.08</v>
      </c>
      <c r="DL189" s="228">
        <v>29.32</v>
      </c>
      <c r="DM189" s="228">
        <v>32.049999999999997</v>
      </c>
      <c r="DN189" s="228">
        <v>-2.73</v>
      </c>
      <c r="DO189" s="228">
        <v>-2.73</v>
      </c>
      <c r="DP189" s="228">
        <v>0.66</v>
      </c>
      <c r="DQ189" s="228">
        <v>0.46</v>
      </c>
      <c r="DR189" s="228">
        <v>0.2</v>
      </c>
      <c r="DS189" s="229">
        <v>0.43480000000000002</v>
      </c>
      <c r="DT189" s="228">
        <v>100</v>
      </c>
      <c r="DU189" s="228">
        <v>97.5</v>
      </c>
      <c r="DV189" s="228">
        <v>0.31</v>
      </c>
      <c r="DW189" s="228">
        <v>0.22</v>
      </c>
      <c r="DX189" s="228">
        <v>0.09</v>
      </c>
      <c r="DY189" s="229">
        <v>0.40910000000000002</v>
      </c>
      <c r="DZ189" s="229">
        <v>0</v>
      </c>
      <c r="EA189" s="228">
        <v>0</v>
      </c>
      <c r="EB189" s="229">
        <v>0</v>
      </c>
      <c r="EC189" s="229">
        <v>0</v>
      </c>
      <c r="ED189" s="228">
        <v>0</v>
      </c>
      <c r="EE189" s="229">
        <v>0</v>
      </c>
      <c r="EF189" s="230">
        <v>4042203</v>
      </c>
      <c r="EG189" s="230">
        <v>1894469</v>
      </c>
      <c r="EH189" s="229">
        <v>1.1336999999999999</v>
      </c>
      <c r="EI189" s="229">
        <v>0.2828</v>
      </c>
      <c r="EJ189" s="231">
        <v>71145.27</v>
      </c>
      <c r="EK189" s="231">
        <v>20902.38</v>
      </c>
      <c r="EL189" s="231">
        <v>9259.9</v>
      </c>
      <c r="EM189" s="228">
        <v>0</v>
      </c>
      <c r="EN189" s="231">
        <v>101307.55</v>
      </c>
      <c r="EO189" s="231">
        <v>25311.23</v>
      </c>
      <c r="EP189" s="231">
        <v>75996.320000000007</v>
      </c>
      <c r="EQ189" s="229">
        <v>3.0024999999999999</v>
      </c>
      <c r="ER189" s="231">
        <v>16685</v>
      </c>
      <c r="ES189" s="231">
        <v>10156</v>
      </c>
      <c r="ET189" s="231">
        <v>15127</v>
      </c>
      <c r="EU189" s="231">
        <v>142687689</v>
      </c>
      <c r="EV189" s="231">
        <v>41968</v>
      </c>
      <c r="EW189" s="231">
        <v>37935</v>
      </c>
      <c r="EX189" s="231">
        <v>4033</v>
      </c>
      <c r="EY189" s="229">
        <v>0.10630000000000001</v>
      </c>
      <c r="EZ189" s="229">
        <v>0.30059999999999998</v>
      </c>
      <c r="FA189" s="227" t="s">
        <v>555</v>
      </c>
      <c r="FB189" s="161">
        <f t="shared" si="4"/>
        <v>0</v>
      </c>
    </row>
    <row r="190" spans="1:158" ht="17.25" thickBot="1" x14ac:dyDescent="0.3">
      <c r="A190" s="226">
        <v>45889</v>
      </c>
      <c r="B190" s="227" t="s">
        <v>498</v>
      </c>
      <c r="C190" s="227" t="s">
        <v>647</v>
      </c>
      <c r="D190" s="228">
        <v>75</v>
      </c>
      <c r="E190" s="231">
        <v>14493</v>
      </c>
      <c r="F190" s="231">
        <v>14713</v>
      </c>
      <c r="G190" s="228">
        <v>-220</v>
      </c>
      <c r="H190" s="229">
        <v>-1.4999999999999999E-2</v>
      </c>
      <c r="I190" s="231">
        <v>14463</v>
      </c>
      <c r="J190" s="231">
        <v>14699</v>
      </c>
      <c r="K190" s="228">
        <v>-236</v>
      </c>
      <c r="L190" s="229">
        <v>-1.61E-2</v>
      </c>
      <c r="M190" s="231">
        <v>14493</v>
      </c>
      <c r="N190" s="231">
        <v>14713</v>
      </c>
      <c r="O190" s="228">
        <v>-220</v>
      </c>
      <c r="P190" s="229">
        <v>-1.4999999999999999E-2</v>
      </c>
      <c r="Q190" s="231">
        <v>14583</v>
      </c>
      <c r="R190" s="231">
        <v>14798</v>
      </c>
      <c r="S190" s="228">
        <v>-215</v>
      </c>
      <c r="T190" s="229">
        <v>-1.4500000000000001E-2</v>
      </c>
      <c r="U190" s="231">
        <v>14663</v>
      </c>
      <c r="V190" s="231">
        <v>14877</v>
      </c>
      <c r="W190" s="228">
        <v>-214</v>
      </c>
      <c r="X190" s="229">
        <v>-1.44E-2</v>
      </c>
      <c r="Y190" s="228">
        <v>30</v>
      </c>
      <c r="Z190" s="228">
        <v>14</v>
      </c>
      <c r="AA190" s="228">
        <v>16</v>
      </c>
      <c r="AB190" s="229">
        <v>2.0999999999999999E-3</v>
      </c>
      <c r="AC190" s="228">
        <v>30</v>
      </c>
      <c r="AD190" s="228">
        <v>14</v>
      </c>
      <c r="AE190" s="228">
        <v>16</v>
      </c>
      <c r="AF190" s="229">
        <v>2.0999999999999999E-3</v>
      </c>
      <c r="AG190" s="228">
        <v>120</v>
      </c>
      <c r="AH190" s="228">
        <v>99</v>
      </c>
      <c r="AI190" s="228">
        <v>21</v>
      </c>
      <c r="AJ190" s="229">
        <v>8.3000000000000001E-3</v>
      </c>
      <c r="AK190" s="228">
        <v>200</v>
      </c>
      <c r="AL190" s="228">
        <v>178</v>
      </c>
      <c r="AM190" s="228">
        <v>22</v>
      </c>
      <c r="AN190" s="229">
        <v>1.38E-2</v>
      </c>
      <c r="AO190" s="231">
        <v>14604.93</v>
      </c>
      <c r="AP190" s="231">
        <v>14690.15</v>
      </c>
      <c r="AQ190" s="228">
        <v>0</v>
      </c>
      <c r="AR190" s="230">
        <v>162225</v>
      </c>
      <c r="AS190" s="230">
        <v>184650</v>
      </c>
      <c r="AT190" s="230">
        <v>-22425</v>
      </c>
      <c r="AU190" s="229">
        <v>-0.12139999999999999</v>
      </c>
      <c r="AV190" s="230">
        <v>119400</v>
      </c>
      <c r="AW190" s="230">
        <v>150225</v>
      </c>
      <c r="AX190" s="230">
        <v>-30825</v>
      </c>
      <c r="AY190" s="229">
        <v>-0.20519999999999999</v>
      </c>
      <c r="AZ190" s="230">
        <v>40800</v>
      </c>
      <c r="BA190" s="230">
        <v>33075</v>
      </c>
      <c r="BB190" s="230">
        <v>7725</v>
      </c>
      <c r="BC190" s="229">
        <v>0.2336</v>
      </c>
      <c r="BD190" s="230">
        <v>2025</v>
      </c>
      <c r="BE190" s="230">
        <v>1350</v>
      </c>
      <c r="BF190" s="228">
        <v>675</v>
      </c>
      <c r="BG190" s="229">
        <v>0.5</v>
      </c>
      <c r="BH190" s="230">
        <v>729600</v>
      </c>
      <c r="BI190" s="230">
        <v>711900</v>
      </c>
      <c r="BJ190" s="230">
        <v>17700</v>
      </c>
      <c r="BK190" s="229">
        <v>2.4899999999999999E-2</v>
      </c>
      <c r="BL190" s="230">
        <v>230925</v>
      </c>
      <c r="BM190" s="230">
        <v>328800</v>
      </c>
      <c r="BN190" s="230">
        <v>-97875</v>
      </c>
      <c r="BO190" s="229">
        <v>-0.29770000000000002</v>
      </c>
      <c r="BP190" s="230">
        <v>1122750</v>
      </c>
      <c r="BQ190" s="230">
        <v>1225350</v>
      </c>
      <c r="BR190" s="230">
        <v>-102600</v>
      </c>
      <c r="BS190" s="229">
        <v>-8.3699999999999997E-2</v>
      </c>
      <c r="BT190" s="230">
        <v>85935</v>
      </c>
      <c r="BU190" s="230">
        <v>94909</v>
      </c>
      <c r="BV190" s="230">
        <v>-8974</v>
      </c>
      <c r="BW190" s="229">
        <v>-9.4600000000000004E-2</v>
      </c>
      <c r="BX190" s="230">
        <v>778200</v>
      </c>
      <c r="BY190" s="230">
        <v>772650</v>
      </c>
      <c r="BZ190" s="230">
        <v>5550</v>
      </c>
      <c r="CA190" s="229">
        <v>7.1999999999999998E-3</v>
      </c>
      <c r="CB190" s="230">
        <v>693750</v>
      </c>
      <c r="CC190" s="230">
        <v>705150</v>
      </c>
      <c r="CD190" s="230">
        <v>-11400</v>
      </c>
      <c r="CE190" s="229">
        <v>-1.6199999999999999E-2</v>
      </c>
      <c r="CF190" s="230">
        <v>75150</v>
      </c>
      <c r="CG190" s="230">
        <v>59550</v>
      </c>
      <c r="CH190" s="230">
        <v>15600</v>
      </c>
      <c r="CI190" s="229">
        <v>0.26200000000000001</v>
      </c>
      <c r="CJ190" s="230">
        <v>9300</v>
      </c>
      <c r="CK190" s="230">
        <v>7950</v>
      </c>
      <c r="CL190" s="230">
        <v>1350</v>
      </c>
      <c r="CM190" s="229">
        <v>0.16980000000000001</v>
      </c>
      <c r="CN190" s="230">
        <v>610350</v>
      </c>
      <c r="CO190" s="230">
        <v>587550</v>
      </c>
      <c r="CP190" s="230">
        <v>22800</v>
      </c>
      <c r="CQ190" s="229">
        <v>3.8800000000000001E-2</v>
      </c>
      <c r="CR190" s="230">
        <v>295350</v>
      </c>
      <c r="CS190" s="230">
        <v>285150</v>
      </c>
      <c r="CT190" s="230">
        <v>10200</v>
      </c>
      <c r="CU190" s="229">
        <v>3.5799999999999998E-2</v>
      </c>
      <c r="CV190" s="230">
        <v>1683900</v>
      </c>
      <c r="CW190" s="230">
        <v>1645350</v>
      </c>
      <c r="CX190" s="230">
        <v>38550</v>
      </c>
      <c r="CY190" s="229">
        <v>2.3400000000000001E-2</v>
      </c>
      <c r="CZ190" s="228">
        <v>35.5</v>
      </c>
      <c r="DA190" s="228">
        <v>35.19</v>
      </c>
      <c r="DB190" s="228">
        <v>0.31</v>
      </c>
      <c r="DC190" s="228">
        <v>0.31</v>
      </c>
      <c r="DD190" s="228">
        <v>43.14</v>
      </c>
      <c r="DE190" s="228">
        <v>43.2</v>
      </c>
      <c r="DF190" s="228">
        <v>-7.64</v>
      </c>
      <c r="DG190" s="228">
        <v>-0.06</v>
      </c>
      <c r="DH190" s="228">
        <v>36.58</v>
      </c>
      <c r="DI190" s="228">
        <v>35.659999999999997</v>
      </c>
      <c r="DJ190" s="228">
        <v>0.92</v>
      </c>
      <c r="DK190" s="228">
        <v>0.92</v>
      </c>
      <c r="DL190" s="228">
        <v>32.08</v>
      </c>
      <c r="DM190" s="228">
        <v>34.159999999999997</v>
      </c>
      <c r="DN190" s="228">
        <v>-2.08</v>
      </c>
      <c r="DO190" s="228">
        <v>-2.08</v>
      </c>
      <c r="DP190" s="228">
        <v>0.48</v>
      </c>
      <c r="DQ190" s="228">
        <v>0.49</v>
      </c>
      <c r="DR190" s="228">
        <v>-0.01</v>
      </c>
      <c r="DS190" s="229">
        <v>-2.0400000000000001E-2</v>
      </c>
      <c r="DT190" s="231">
        <v>15000</v>
      </c>
      <c r="DU190" s="231">
        <v>14000</v>
      </c>
      <c r="DV190" s="228">
        <v>0.32</v>
      </c>
      <c r="DW190" s="228">
        <v>0.46</v>
      </c>
      <c r="DX190" s="228">
        <v>-0.14000000000000001</v>
      </c>
      <c r="DY190" s="229">
        <v>-0.30430000000000001</v>
      </c>
      <c r="DZ190" s="229">
        <v>0.1085</v>
      </c>
      <c r="EA190" s="230">
        <v>67500</v>
      </c>
      <c r="EB190" s="229">
        <v>6.1999999999999998E-3</v>
      </c>
      <c r="EC190" s="229">
        <v>0.1085</v>
      </c>
      <c r="ED190" s="228">
        <v>85.22</v>
      </c>
      <c r="EE190" s="229">
        <v>5.7999999999999996E-3</v>
      </c>
      <c r="EF190" s="230">
        <v>39297</v>
      </c>
      <c r="EG190" s="230">
        <v>46441</v>
      </c>
      <c r="EH190" s="229">
        <v>-0.15379999999999999</v>
      </c>
      <c r="EI190" s="229">
        <v>0.45729999999999998</v>
      </c>
      <c r="EJ190" s="231">
        <v>113574.96</v>
      </c>
      <c r="EK190" s="231">
        <v>33061.089999999997</v>
      </c>
      <c r="EL190" s="231">
        <v>23731.03</v>
      </c>
      <c r="EM190" s="228">
        <v>0</v>
      </c>
      <c r="EN190" s="231">
        <v>170367.08</v>
      </c>
      <c r="EO190" s="231">
        <v>186227.91</v>
      </c>
      <c r="EP190" s="231">
        <v>-15860.83</v>
      </c>
      <c r="EQ190" s="229">
        <v>-8.5199999999999998E-2</v>
      </c>
      <c r="ER190" s="231">
        <v>95600</v>
      </c>
      <c r="ES190" s="231">
        <v>41470</v>
      </c>
      <c r="ET190" s="231">
        <v>112868</v>
      </c>
      <c r="EU190" s="231">
        <v>4859756</v>
      </c>
      <c r="EV190" s="231">
        <v>249938</v>
      </c>
      <c r="EW190" s="231">
        <v>246290</v>
      </c>
      <c r="EX190" s="231">
        <v>3648</v>
      </c>
      <c r="EY190" s="229">
        <v>1.4800000000000001E-2</v>
      </c>
      <c r="EZ190" s="229">
        <v>0.34649999999999997</v>
      </c>
      <c r="FA190" s="227" t="s">
        <v>567</v>
      </c>
      <c r="FB190" s="161">
        <f t="shared" si="4"/>
        <v>0</v>
      </c>
    </row>
    <row r="191" spans="1:158" ht="17.25" thickBot="1" x14ac:dyDescent="0.3">
      <c r="A191" s="226">
        <v>45889</v>
      </c>
      <c r="B191" s="227" t="s">
        <v>162</v>
      </c>
      <c r="C191" s="227" t="s">
        <v>615</v>
      </c>
      <c r="D191" s="228">
        <v>1050</v>
      </c>
      <c r="E191" s="228">
        <v>451.85</v>
      </c>
      <c r="F191" s="228">
        <v>456.95</v>
      </c>
      <c r="G191" s="228">
        <v>-5.0999999999999996</v>
      </c>
      <c r="H191" s="229">
        <v>-1.12E-2</v>
      </c>
      <c r="I191" s="228">
        <v>450.35</v>
      </c>
      <c r="J191" s="228">
        <v>455.25</v>
      </c>
      <c r="K191" s="228">
        <v>-4.9000000000000004</v>
      </c>
      <c r="L191" s="229">
        <v>-1.0800000000000001E-2</v>
      </c>
      <c r="M191" s="228">
        <v>451.85</v>
      </c>
      <c r="N191" s="228">
        <v>456.95</v>
      </c>
      <c r="O191" s="228">
        <v>-5.0999999999999996</v>
      </c>
      <c r="P191" s="229">
        <v>-1.12E-2</v>
      </c>
      <c r="Q191" s="228">
        <v>453.7</v>
      </c>
      <c r="R191" s="228">
        <v>458.6</v>
      </c>
      <c r="S191" s="228">
        <v>-4.9000000000000004</v>
      </c>
      <c r="T191" s="229">
        <v>-1.0699999999999999E-2</v>
      </c>
      <c r="U191" s="228">
        <v>455.5</v>
      </c>
      <c r="V191" s="228">
        <v>459.3</v>
      </c>
      <c r="W191" s="228">
        <v>-3.8</v>
      </c>
      <c r="X191" s="229">
        <v>-8.3000000000000001E-3</v>
      </c>
      <c r="Y191" s="228">
        <v>1.5</v>
      </c>
      <c r="Z191" s="228">
        <v>1.7</v>
      </c>
      <c r="AA191" s="228">
        <v>-0.2</v>
      </c>
      <c r="AB191" s="229">
        <v>3.3E-3</v>
      </c>
      <c r="AC191" s="228">
        <v>1.5</v>
      </c>
      <c r="AD191" s="228">
        <v>1.7</v>
      </c>
      <c r="AE191" s="228">
        <v>-0.2</v>
      </c>
      <c r="AF191" s="229">
        <v>3.3E-3</v>
      </c>
      <c r="AG191" s="228">
        <v>3.35</v>
      </c>
      <c r="AH191" s="228">
        <v>3.35</v>
      </c>
      <c r="AI191" s="228">
        <v>0</v>
      </c>
      <c r="AJ191" s="229">
        <v>7.4000000000000003E-3</v>
      </c>
      <c r="AK191" s="228">
        <v>5.15</v>
      </c>
      <c r="AL191" s="228">
        <v>4.05</v>
      </c>
      <c r="AM191" s="228">
        <v>1.1000000000000001</v>
      </c>
      <c r="AN191" s="229">
        <v>1.14E-2</v>
      </c>
      <c r="AO191" s="228">
        <v>452.1</v>
      </c>
      <c r="AP191" s="228">
        <v>453.17</v>
      </c>
      <c r="AQ191" s="228">
        <v>0</v>
      </c>
      <c r="AR191" s="230">
        <v>5269950</v>
      </c>
      <c r="AS191" s="230">
        <v>9536100</v>
      </c>
      <c r="AT191" s="230">
        <v>-4266150</v>
      </c>
      <c r="AU191" s="229">
        <v>-0.44740000000000002</v>
      </c>
      <c r="AV191" s="230">
        <v>4411050</v>
      </c>
      <c r="AW191" s="230">
        <v>8181600</v>
      </c>
      <c r="AX191" s="230">
        <v>-3770550</v>
      </c>
      <c r="AY191" s="229">
        <v>-0.46089999999999998</v>
      </c>
      <c r="AZ191" s="230">
        <v>813750</v>
      </c>
      <c r="BA191" s="230">
        <v>1284150</v>
      </c>
      <c r="BB191" s="230">
        <v>-470400</v>
      </c>
      <c r="BC191" s="229">
        <v>-0.36630000000000001</v>
      </c>
      <c r="BD191" s="230">
        <v>45150</v>
      </c>
      <c r="BE191" s="230">
        <v>70350</v>
      </c>
      <c r="BF191" s="230">
        <v>-25200</v>
      </c>
      <c r="BG191" s="229">
        <v>-0.35820000000000002</v>
      </c>
      <c r="BH191" s="230">
        <v>10099950</v>
      </c>
      <c r="BI191" s="230">
        <v>29442000</v>
      </c>
      <c r="BJ191" s="230">
        <v>-19342050</v>
      </c>
      <c r="BK191" s="229">
        <v>-0.65700000000000003</v>
      </c>
      <c r="BL191" s="230">
        <v>5288850</v>
      </c>
      <c r="BM191" s="230">
        <v>7641900</v>
      </c>
      <c r="BN191" s="230">
        <v>-2353050</v>
      </c>
      <c r="BO191" s="229">
        <v>-0.30790000000000001</v>
      </c>
      <c r="BP191" s="230">
        <v>20658750</v>
      </c>
      <c r="BQ191" s="230">
        <v>46620000</v>
      </c>
      <c r="BR191" s="230">
        <v>-25961250</v>
      </c>
      <c r="BS191" s="229">
        <v>-0.55689999999999995</v>
      </c>
      <c r="BT191" s="230">
        <v>5545249</v>
      </c>
      <c r="BU191" s="230">
        <v>5406094</v>
      </c>
      <c r="BV191" s="230">
        <v>139155</v>
      </c>
      <c r="BW191" s="229">
        <v>2.5700000000000001E-2</v>
      </c>
      <c r="BX191" s="230">
        <v>28085400</v>
      </c>
      <c r="BY191" s="230">
        <v>26521950</v>
      </c>
      <c r="BZ191" s="230">
        <v>1563450</v>
      </c>
      <c r="CA191" s="229">
        <v>5.8900000000000001E-2</v>
      </c>
      <c r="CB191" s="230">
        <v>25590600</v>
      </c>
      <c r="CC191" s="230">
        <v>24292800</v>
      </c>
      <c r="CD191" s="230">
        <v>1297800</v>
      </c>
      <c r="CE191" s="229">
        <v>5.3400000000000003E-2</v>
      </c>
      <c r="CF191" s="230">
        <v>2369850</v>
      </c>
      <c r="CG191" s="230">
        <v>2134650</v>
      </c>
      <c r="CH191" s="230">
        <v>235200</v>
      </c>
      <c r="CI191" s="229">
        <v>0.11020000000000001</v>
      </c>
      <c r="CJ191" s="230">
        <v>124950</v>
      </c>
      <c r="CK191" s="230">
        <v>94500</v>
      </c>
      <c r="CL191" s="230">
        <v>30450</v>
      </c>
      <c r="CM191" s="229">
        <v>0.32219999999999999</v>
      </c>
      <c r="CN191" s="230">
        <v>5234250</v>
      </c>
      <c r="CO191" s="230">
        <v>5133450</v>
      </c>
      <c r="CP191" s="230">
        <v>100800</v>
      </c>
      <c r="CQ191" s="229">
        <v>1.9599999999999999E-2</v>
      </c>
      <c r="CR191" s="230">
        <v>3271800</v>
      </c>
      <c r="CS191" s="230">
        <v>2972550</v>
      </c>
      <c r="CT191" s="230">
        <v>299250</v>
      </c>
      <c r="CU191" s="229">
        <v>0.1007</v>
      </c>
      <c r="CV191" s="230">
        <v>36591450</v>
      </c>
      <c r="CW191" s="230">
        <v>34627950</v>
      </c>
      <c r="CX191" s="230">
        <v>1963500</v>
      </c>
      <c r="CY191" s="229">
        <v>5.67E-2</v>
      </c>
      <c r="CZ191" s="228">
        <v>38.72</v>
      </c>
      <c r="DA191" s="228">
        <v>38.67</v>
      </c>
      <c r="DB191" s="228">
        <v>0.05</v>
      </c>
      <c r="DC191" s="228">
        <v>0.05</v>
      </c>
      <c r="DD191" s="228">
        <v>42.14</v>
      </c>
      <c r="DE191" s="228">
        <v>42.22</v>
      </c>
      <c r="DF191" s="228">
        <v>-3.42</v>
      </c>
      <c r="DG191" s="228">
        <v>-0.08</v>
      </c>
      <c r="DH191" s="228">
        <v>38.96</v>
      </c>
      <c r="DI191" s="228">
        <v>38.78</v>
      </c>
      <c r="DJ191" s="228">
        <v>0.18</v>
      </c>
      <c r="DK191" s="228">
        <v>0.18</v>
      </c>
      <c r="DL191" s="228">
        <v>38.270000000000003</v>
      </c>
      <c r="DM191" s="228">
        <v>38.22</v>
      </c>
      <c r="DN191" s="228">
        <v>0.05</v>
      </c>
      <c r="DO191" s="228">
        <v>0.05</v>
      </c>
      <c r="DP191" s="228">
        <v>0.63</v>
      </c>
      <c r="DQ191" s="228">
        <v>0.57999999999999996</v>
      </c>
      <c r="DR191" s="228">
        <v>0.05</v>
      </c>
      <c r="DS191" s="229">
        <v>8.6199999999999999E-2</v>
      </c>
      <c r="DT191" s="228">
        <v>500</v>
      </c>
      <c r="DU191" s="228">
        <v>440</v>
      </c>
      <c r="DV191" s="228">
        <v>0.52</v>
      </c>
      <c r="DW191" s="228">
        <v>0.26</v>
      </c>
      <c r="DX191" s="228">
        <v>0.26</v>
      </c>
      <c r="DY191" s="229">
        <v>1</v>
      </c>
      <c r="DZ191" s="229">
        <v>8.8800000000000004E-2</v>
      </c>
      <c r="EA191" s="230">
        <v>2229150</v>
      </c>
      <c r="EB191" s="229">
        <v>4.1000000000000003E-3</v>
      </c>
      <c r="EC191" s="229">
        <v>8.8800000000000004E-2</v>
      </c>
      <c r="ED191" s="228">
        <v>1.07</v>
      </c>
      <c r="EE191" s="229">
        <v>2.3999999999999998E-3</v>
      </c>
      <c r="EF191" s="230">
        <v>2964558</v>
      </c>
      <c r="EG191" s="230">
        <v>2141673</v>
      </c>
      <c r="EH191" s="229">
        <v>0.38419999999999999</v>
      </c>
      <c r="EI191" s="229">
        <v>0.53459999999999996</v>
      </c>
      <c r="EJ191" s="231">
        <v>47936.53</v>
      </c>
      <c r="EK191" s="231">
        <v>24155.68</v>
      </c>
      <c r="EL191" s="231">
        <v>23835.59</v>
      </c>
      <c r="EM191" s="228">
        <v>0</v>
      </c>
      <c r="EN191" s="231">
        <v>95927.8</v>
      </c>
      <c r="EO191" s="231">
        <v>220077.14</v>
      </c>
      <c r="EP191" s="231">
        <v>-124149.34</v>
      </c>
      <c r="EQ191" s="229">
        <v>-0.56410000000000005</v>
      </c>
      <c r="ER191" s="231">
        <v>25288</v>
      </c>
      <c r="ES191" s="231">
        <v>14251</v>
      </c>
      <c r="ET191" s="231">
        <v>126952</v>
      </c>
      <c r="EU191" s="231">
        <v>89502064</v>
      </c>
      <c r="EV191" s="231">
        <v>166492</v>
      </c>
      <c r="EW191" s="231">
        <v>158930</v>
      </c>
      <c r="EX191" s="231">
        <v>7562</v>
      </c>
      <c r="EY191" s="229">
        <v>4.7600000000000003E-2</v>
      </c>
      <c r="EZ191" s="229">
        <v>0.4088</v>
      </c>
      <c r="FA191" s="227" t="s">
        <v>567</v>
      </c>
      <c r="FB191" s="161">
        <f t="shared" si="4"/>
        <v>0</v>
      </c>
    </row>
    <row r="192" spans="1:158" ht="17.25" thickBot="1" x14ac:dyDescent="0.3">
      <c r="A192" s="226">
        <v>45889</v>
      </c>
      <c r="B192" s="227" t="s">
        <v>197</v>
      </c>
      <c r="C192" s="227" t="s">
        <v>286</v>
      </c>
      <c r="D192" s="228">
        <v>200</v>
      </c>
      <c r="E192" s="231">
        <v>2926.5</v>
      </c>
      <c r="F192" s="231">
        <v>2944.5</v>
      </c>
      <c r="G192" s="228">
        <v>-18</v>
      </c>
      <c r="H192" s="229">
        <v>-6.1000000000000004E-3</v>
      </c>
      <c r="I192" s="231">
        <v>2924.2</v>
      </c>
      <c r="J192" s="231">
        <v>2929.6</v>
      </c>
      <c r="K192" s="228">
        <v>-5.4</v>
      </c>
      <c r="L192" s="229">
        <v>-1.8E-3</v>
      </c>
      <c r="M192" s="231">
        <v>2926.5</v>
      </c>
      <c r="N192" s="231">
        <v>2944.5</v>
      </c>
      <c r="O192" s="228">
        <v>-18</v>
      </c>
      <c r="P192" s="229">
        <v>-6.1000000000000004E-3</v>
      </c>
      <c r="Q192" s="231">
        <v>2943.9</v>
      </c>
      <c r="R192" s="231">
        <v>2958.2</v>
      </c>
      <c r="S192" s="228">
        <v>-14.3</v>
      </c>
      <c r="T192" s="229">
        <v>-4.7999999999999996E-3</v>
      </c>
      <c r="U192" s="231">
        <v>2956.9</v>
      </c>
      <c r="V192" s="231">
        <v>2974.7</v>
      </c>
      <c r="W192" s="228">
        <v>-17.8</v>
      </c>
      <c r="X192" s="229">
        <v>-6.0000000000000001E-3</v>
      </c>
      <c r="Y192" s="228">
        <v>2.2999999999999998</v>
      </c>
      <c r="Z192" s="228">
        <v>14.9</v>
      </c>
      <c r="AA192" s="228">
        <v>-12.6</v>
      </c>
      <c r="AB192" s="229">
        <v>8.0000000000000004E-4</v>
      </c>
      <c r="AC192" s="228">
        <v>2.2999999999999998</v>
      </c>
      <c r="AD192" s="228">
        <v>14.9</v>
      </c>
      <c r="AE192" s="228">
        <v>-12.6</v>
      </c>
      <c r="AF192" s="229">
        <v>8.0000000000000004E-4</v>
      </c>
      <c r="AG192" s="228">
        <v>19.7</v>
      </c>
      <c r="AH192" s="228">
        <v>28.6</v>
      </c>
      <c r="AI192" s="228">
        <v>-8.9</v>
      </c>
      <c r="AJ192" s="229">
        <v>6.7000000000000002E-3</v>
      </c>
      <c r="AK192" s="228">
        <v>32.700000000000003</v>
      </c>
      <c r="AL192" s="228">
        <v>45.1</v>
      </c>
      <c r="AM192" s="228">
        <v>-12.4</v>
      </c>
      <c r="AN192" s="229">
        <v>1.12E-2</v>
      </c>
      <c r="AO192" s="231">
        <v>2944.83</v>
      </c>
      <c r="AP192" s="231">
        <v>2957.39</v>
      </c>
      <c r="AQ192" s="228">
        <v>0</v>
      </c>
      <c r="AR192" s="230">
        <v>1578600</v>
      </c>
      <c r="AS192" s="230">
        <v>1755000</v>
      </c>
      <c r="AT192" s="230">
        <v>-176400</v>
      </c>
      <c r="AU192" s="229">
        <v>-0.10050000000000001</v>
      </c>
      <c r="AV192" s="230">
        <v>1311600</v>
      </c>
      <c r="AW192" s="230">
        <v>1503200</v>
      </c>
      <c r="AX192" s="230">
        <v>-191600</v>
      </c>
      <c r="AY192" s="229">
        <v>-0.1275</v>
      </c>
      <c r="AZ192" s="230">
        <v>259000</v>
      </c>
      <c r="BA192" s="230">
        <v>245200</v>
      </c>
      <c r="BB192" s="230">
        <v>13800</v>
      </c>
      <c r="BC192" s="229">
        <v>5.6300000000000003E-2</v>
      </c>
      <c r="BD192" s="230">
        <v>8000</v>
      </c>
      <c r="BE192" s="230">
        <v>6600</v>
      </c>
      <c r="BF192" s="230">
        <v>1400</v>
      </c>
      <c r="BG192" s="229">
        <v>0.21210000000000001</v>
      </c>
      <c r="BH192" s="230">
        <v>5918000</v>
      </c>
      <c r="BI192" s="230">
        <v>5840800</v>
      </c>
      <c r="BJ192" s="230">
        <v>77200</v>
      </c>
      <c r="BK192" s="229">
        <v>1.32E-2</v>
      </c>
      <c r="BL192" s="230">
        <v>2165400</v>
      </c>
      <c r="BM192" s="230">
        <v>2041600</v>
      </c>
      <c r="BN192" s="230">
        <v>123800</v>
      </c>
      <c r="BO192" s="229">
        <v>6.0600000000000001E-2</v>
      </c>
      <c r="BP192" s="230">
        <v>9662000</v>
      </c>
      <c r="BQ192" s="230">
        <v>9637400</v>
      </c>
      <c r="BR192" s="230">
        <v>24600</v>
      </c>
      <c r="BS192" s="229">
        <v>2.5999999999999999E-3</v>
      </c>
      <c r="BT192" s="230">
        <v>749583</v>
      </c>
      <c r="BU192" s="230">
        <v>1039278</v>
      </c>
      <c r="BV192" s="230">
        <v>-289695</v>
      </c>
      <c r="BW192" s="229">
        <v>-0.2787</v>
      </c>
      <c r="BX192" s="230">
        <v>3803000</v>
      </c>
      <c r="BY192" s="230">
        <v>3958800</v>
      </c>
      <c r="BZ192" s="230">
        <v>-155800</v>
      </c>
      <c r="CA192" s="229">
        <v>-3.9399999999999998E-2</v>
      </c>
      <c r="CB192" s="230">
        <v>3587600</v>
      </c>
      <c r="CC192" s="230">
        <v>3762000</v>
      </c>
      <c r="CD192" s="230">
        <v>-174400</v>
      </c>
      <c r="CE192" s="229">
        <v>-4.6399999999999997E-2</v>
      </c>
      <c r="CF192" s="230">
        <v>201400</v>
      </c>
      <c r="CG192" s="230">
        <v>183600</v>
      </c>
      <c r="CH192" s="230">
        <v>17800</v>
      </c>
      <c r="CI192" s="229">
        <v>9.69E-2</v>
      </c>
      <c r="CJ192" s="230">
        <v>14000</v>
      </c>
      <c r="CK192" s="230">
        <v>13200</v>
      </c>
      <c r="CL192" s="228">
        <v>800</v>
      </c>
      <c r="CM192" s="229">
        <v>6.0600000000000001E-2</v>
      </c>
      <c r="CN192" s="230">
        <v>2661000</v>
      </c>
      <c r="CO192" s="230">
        <v>2193600</v>
      </c>
      <c r="CP192" s="230">
        <v>467400</v>
      </c>
      <c r="CQ192" s="229">
        <v>0.21310000000000001</v>
      </c>
      <c r="CR192" s="230">
        <v>1343400</v>
      </c>
      <c r="CS192" s="230">
        <v>1168000</v>
      </c>
      <c r="CT192" s="230">
        <v>175400</v>
      </c>
      <c r="CU192" s="229">
        <v>0.1502</v>
      </c>
      <c r="CV192" s="230">
        <v>7807400</v>
      </c>
      <c r="CW192" s="230">
        <v>7320400</v>
      </c>
      <c r="CX192" s="230">
        <v>487000</v>
      </c>
      <c r="CY192" s="229">
        <v>6.6500000000000004E-2</v>
      </c>
      <c r="CZ192" s="228">
        <v>33.630000000000003</v>
      </c>
      <c r="DA192" s="228">
        <v>30.87</v>
      </c>
      <c r="DB192" s="228">
        <v>2.76</v>
      </c>
      <c r="DC192" s="228">
        <v>2.76</v>
      </c>
      <c r="DD192" s="228">
        <v>33.71</v>
      </c>
      <c r="DE192" s="228">
        <v>33.79</v>
      </c>
      <c r="DF192" s="228">
        <v>-0.08</v>
      </c>
      <c r="DG192" s="228">
        <v>-0.08</v>
      </c>
      <c r="DH192" s="228">
        <v>34.14</v>
      </c>
      <c r="DI192" s="228">
        <v>31.18</v>
      </c>
      <c r="DJ192" s="228">
        <v>2.96</v>
      </c>
      <c r="DK192" s="228">
        <v>2.96</v>
      </c>
      <c r="DL192" s="228">
        <v>32.22</v>
      </c>
      <c r="DM192" s="228">
        <v>29.97</v>
      </c>
      <c r="DN192" s="228">
        <v>2.25</v>
      </c>
      <c r="DO192" s="228">
        <v>2.25</v>
      </c>
      <c r="DP192" s="228">
        <v>0.5</v>
      </c>
      <c r="DQ192" s="228">
        <v>0.53</v>
      </c>
      <c r="DR192" s="228">
        <v>-0.03</v>
      </c>
      <c r="DS192" s="229">
        <v>-5.6599999999999998E-2</v>
      </c>
      <c r="DT192" s="231">
        <v>3000</v>
      </c>
      <c r="DU192" s="231">
        <v>3000</v>
      </c>
      <c r="DV192" s="228">
        <v>0.37</v>
      </c>
      <c r="DW192" s="228">
        <v>0.35</v>
      </c>
      <c r="DX192" s="228">
        <v>0.02</v>
      </c>
      <c r="DY192" s="229">
        <v>5.7099999999999998E-2</v>
      </c>
      <c r="DZ192" s="229">
        <v>5.6599999999999998E-2</v>
      </c>
      <c r="EA192" s="230">
        <v>196800</v>
      </c>
      <c r="EB192" s="229">
        <v>5.8999999999999999E-3</v>
      </c>
      <c r="EC192" s="229">
        <v>5.6599999999999998E-2</v>
      </c>
      <c r="ED192" s="228">
        <v>12.56</v>
      </c>
      <c r="EE192" s="229">
        <v>4.3E-3</v>
      </c>
      <c r="EF192" s="230">
        <v>329460</v>
      </c>
      <c r="EG192" s="230">
        <v>742471</v>
      </c>
      <c r="EH192" s="229">
        <v>-0.55630000000000002</v>
      </c>
      <c r="EI192" s="229">
        <v>0.4395</v>
      </c>
      <c r="EJ192" s="231">
        <v>181065.96</v>
      </c>
      <c r="EK192" s="231">
        <v>63236.87</v>
      </c>
      <c r="EL192" s="231">
        <v>46521.51</v>
      </c>
      <c r="EM192" s="228">
        <v>0</v>
      </c>
      <c r="EN192" s="231">
        <v>290824.34000000003</v>
      </c>
      <c r="EO192" s="231">
        <v>289639.65000000002</v>
      </c>
      <c r="EP192" s="231">
        <v>1184.69</v>
      </c>
      <c r="EQ192" s="229">
        <v>4.1000000000000003E-3</v>
      </c>
      <c r="ER192" s="231">
        <v>82369</v>
      </c>
      <c r="ES192" s="231">
        <v>38979</v>
      </c>
      <c r="ET192" s="231">
        <v>111334</v>
      </c>
      <c r="EU192" s="231">
        <v>29488465</v>
      </c>
      <c r="EV192" s="231">
        <v>232682</v>
      </c>
      <c r="EW192" s="231">
        <v>218705</v>
      </c>
      <c r="EX192" s="231">
        <v>13977</v>
      </c>
      <c r="EY192" s="229">
        <v>6.3899999999999998E-2</v>
      </c>
      <c r="EZ192" s="229">
        <v>0.26479999999999998</v>
      </c>
      <c r="FA192" s="227" t="s">
        <v>568</v>
      </c>
      <c r="FB192" s="161">
        <f t="shared" si="4"/>
        <v>0</v>
      </c>
    </row>
    <row r="193" spans="1:158" ht="17.25" thickBot="1" x14ac:dyDescent="0.3">
      <c r="A193" s="226">
        <v>45889</v>
      </c>
      <c r="B193" s="227" t="s">
        <v>170</v>
      </c>
      <c r="C193" s="227" t="s">
        <v>288</v>
      </c>
      <c r="D193" s="228">
        <v>350</v>
      </c>
      <c r="E193" s="231">
        <v>1633</v>
      </c>
      <c r="F193" s="231">
        <v>1633.5</v>
      </c>
      <c r="G193" s="228">
        <v>-0.5</v>
      </c>
      <c r="H193" s="229">
        <v>-2.9999999999999997E-4</v>
      </c>
      <c r="I193" s="231">
        <v>1633.1</v>
      </c>
      <c r="J193" s="231">
        <v>1626.6</v>
      </c>
      <c r="K193" s="228">
        <v>6.5</v>
      </c>
      <c r="L193" s="229">
        <v>4.0000000000000001E-3</v>
      </c>
      <c r="M193" s="231">
        <v>1633</v>
      </c>
      <c r="N193" s="231">
        <v>1633.5</v>
      </c>
      <c r="O193" s="228">
        <v>-0.5</v>
      </c>
      <c r="P193" s="229">
        <v>-2.9999999999999997E-4</v>
      </c>
      <c r="Q193" s="231">
        <v>1642.5</v>
      </c>
      <c r="R193" s="231">
        <v>1642.5</v>
      </c>
      <c r="S193" s="228">
        <v>0</v>
      </c>
      <c r="T193" s="229">
        <v>0</v>
      </c>
      <c r="U193" s="231">
        <v>1650.7</v>
      </c>
      <c r="V193" s="231">
        <v>1652.8</v>
      </c>
      <c r="W193" s="228">
        <v>-2.1</v>
      </c>
      <c r="X193" s="229">
        <v>-1.2999999999999999E-3</v>
      </c>
      <c r="Y193" s="228">
        <v>-0.1</v>
      </c>
      <c r="Z193" s="228">
        <v>6.9</v>
      </c>
      <c r="AA193" s="228">
        <v>-7</v>
      </c>
      <c r="AB193" s="229">
        <v>-1E-4</v>
      </c>
      <c r="AC193" s="228">
        <v>-0.1</v>
      </c>
      <c r="AD193" s="228">
        <v>6.9</v>
      </c>
      <c r="AE193" s="228">
        <v>-7</v>
      </c>
      <c r="AF193" s="229">
        <v>-1E-4</v>
      </c>
      <c r="AG193" s="228">
        <v>9.4</v>
      </c>
      <c r="AH193" s="228">
        <v>15.9</v>
      </c>
      <c r="AI193" s="228">
        <v>-6.5</v>
      </c>
      <c r="AJ193" s="229">
        <v>5.7999999999999996E-3</v>
      </c>
      <c r="AK193" s="228">
        <v>17.600000000000001</v>
      </c>
      <c r="AL193" s="228">
        <v>26.2</v>
      </c>
      <c r="AM193" s="228">
        <v>-8.6</v>
      </c>
      <c r="AN193" s="229">
        <v>1.0800000000000001E-2</v>
      </c>
      <c r="AO193" s="231">
        <v>1628.61</v>
      </c>
      <c r="AP193" s="231">
        <v>1637.04</v>
      </c>
      <c r="AQ193" s="228">
        <v>0</v>
      </c>
      <c r="AR193" s="230">
        <v>2077250</v>
      </c>
      <c r="AS193" s="230">
        <v>2040150</v>
      </c>
      <c r="AT193" s="230">
        <v>37100</v>
      </c>
      <c r="AU193" s="229">
        <v>1.8200000000000001E-2</v>
      </c>
      <c r="AV193" s="230">
        <v>1669150</v>
      </c>
      <c r="AW193" s="230">
        <v>1623650</v>
      </c>
      <c r="AX193" s="230">
        <v>45500</v>
      </c>
      <c r="AY193" s="229">
        <v>2.8000000000000001E-2</v>
      </c>
      <c r="AZ193" s="230">
        <v>393750</v>
      </c>
      <c r="BA193" s="230">
        <v>383950</v>
      </c>
      <c r="BB193" s="230">
        <v>9800</v>
      </c>
      <c r="BC193" s="229">
        <v>2.5499999999999998E-2</v>
      </c>
      <c r="BD193" s="230">
        <v>14350</v>
      </c>
      <c r="BE193" s="230">
        <v>32550</v>
      </c>
      <c r="BF193" s="230">
        <v>-18200</v>
      </c>
      <c r="BG193" s="229">
        <v>-0.55910000000000004</v>
      </c>
      <c r="BH193" s="230">
        <v>6093150</v>
      </c>
      <c r="BI193" s="230">
        <v>5607700</v>
      </c>
      <c r="BJ193" s="230">
        <v>485450</v>
      </c>
      <c r="BK193" s="229">
        <v>8.6599999999999996E-2</v>
      </c>
      <c r="BL193" s="230">
        <v>4902450</v>
      </c>
      <c r="BM193" s="230">
        <v>3981600</v>
      </c>
      <c r="BN193" s="230">
        <v>920850</v>
      </c>
      <c r="BO193" s="229">
        <v>0.23130000000000001</v>
      </c>
      <c r="BP193" s="230">
        <v>13072850</v>
      </c>
      <c r="BQ193" s="230">
        <v>11629450</v>
      </c>
      <c r="BR193" s="230">
        <v>1443400</v>
      </c>
      <c r="BS193" s="229">
        <v>0.1241</v>
      </c>
      <c r="BT193" s="230">
        <v>1905243</v>
      </c>
      <c r="BU193" s="230">
        <v>2731860</v>
      </c>
      <c r="BV193" s="230">
        <v>-826617</v>
      </c>
      <c r="BW193" s="229">
        <v>-0.30259999999999998</v>
      </c>
      <c r="BX193" s="230">
        <v>16738400</v>
      </c>
      <c r="BY193" s="230">
        <v>17038350</v>
      </c>
      <c r="BZ193" s="230">
        <v>-299950</v>
      </c>
      <c r="CA193" s="229">
        <v>-1.7600000000000001E-2</v>
      </c>
      <c r="CB193" s="230">
        <v>14760900</v>
      </c>
      <c r="CC193" s="230">
        <v>15282400</v>
      </c>
      <c r="CD193" s="230">
        <v>-521500</v>
      </c>
      <c r="CE193" s="229">
        <v>-3.4099999999999998E-2</v>
      </c>
      <c r="CF193" s="230">
        <v>1048950</v>
      </c>
      <c r="CG193" s="230">
        <v>831600</v>
      </c>
      <c r="CH193" s="230">
        <v>217350</v>
      </c>
      <c r="CI193" s="229">
        <v>0.26140000000000002</v>
      </c>
      <c r="CJ193" s="230">
        <v>928550</v>
      </c>
      <c r="CK193" s="230">
        <v>924350</v>
      </c>
      <c r="CL193" s="230">
        <v>4200</v>
      </c>
      <c r="CM193" s="229">
        <v>4.4999999999999997E-3</v>
      </c>
      <c r="CN193" s="230">
        <v>6765500</v>
      </c>
      <c r="CO193" s="230">
        <v>6961500</v>
      </c>
      <c r="CP193" s="230">
        <v>-196000</v>
      </c>
      <c r="CQ193" s="229">
        <v>-2.8199999999999999E-2</v>
      </c>
      <c r="CR193" s="230">
        <v>4372900</v>
      </c>
      <c r="CS193" s="230">
        <v>4554900</v>
      </c>
      <c r="CT193" s="230">
        <v>-182000</v>
      </c>
      <c r="CU193" s="229">
        <v>-0.04</v>
      </c>
      <c r="CV193" s="230">
        <v>27876800</v>
      </c>
      <c r="CW193" s="230">
        <v>28554750</v>
      </c>
      <c r="CX193" s="230">
        <v>-677950</v>
      </c>
      <c r="CY193" s="229">
        <v>-2.3699999999999999E-2</v>
      </c>
      <c r="CZ193" s="228">
        <v>21.42</v>
      </c>
      <c r="DA193" s="228">
        <v>21.76</v>
      </c>
      <c r="DB193" s="228">
        <v>-0.34</v>
      </c>
      <c r="DC193" s="228">
        <v>-0.34</v>
      </c>
      <c r="DD193" s="228">
        <v>24.47</v>
      </c>
      <c r="DE193" s="228">
        <v>24.53</v>
      </c>
      <c r="DF193" s="228">
        <v>-3.05</v>
      </c>
      <c r="DG193" s="228">
        <v>-0.06</v>
      </c>
      <c r="DH193" s="228">
        <v>21.08</v>
      </c>
      <c r="DI193" s="228">
        <v>21.39</v>
      </c>
      <c r="DJ193" s="228">
        <v>-0.31</v>
      </c>
      <c r="DK193" s="228">
        <v>-0.31</v>
      </c>
      <c r="DL193" s="228">
        <v>21.85</v>
      </c>
      <c r="DM193" s="228">
        <v>22.29</v>
      </c>
      <c r="DN193" s="228">
        <v>-0.44</v>
      </c>
      <c r="DO193" s="228">
        <v>-0.44</v>
      </c>
      <c r="DP193" s="228">
        <v>0.65</v>
      </c>
      <c r="DQ193" s="228">
        <v>0.65</v>
      </c>
      <c r="DR193" s="228">
        <v>0</v>
      </c>
      <c r="DS193" s="229">
        <v>0</v>
      </c>
      <c r="DT193" s="231">
        <v>1700</v>
      </c>
      <c r="DU193" s="231">
        <v>1500</v>
      </c>
      <c r="DV193" s="228">
        <v>0.8</v>
      </c>
      <c r="DW193" s="228">
        <v>0.71</v>
      </c>
      <c r="DX193" s="228">
        <v>0.09</v>
      </c>
      <c r="DY193" s="229">
        <v>0.1268</v>
      </c>
      <c r="DZ193" s="229">
        <v>0.1181</v>
      </c>
      <c r="EA193" s="230">
        <v>1755950</v>
      </c>
      <c r="EB193" s="229">
        <v>5.7999999999999996E-3</v>
      </c>
      <c r="EC193" s="229">
        <v>0.1181</v>
      </c>
      <c r="ED193" s="228">
        <v>8.43</v>
      </c>
      <c r="EE193" s="229">
        <v>5.1999999999999998E-3</v>
      </c>
      <c r="EF193" s="230">
        <v>1359717</v>
      </c>
      <c r="EG193" s="230">
        <v>2091816</v>
      </c>
      <c r="EH193" s="229">
        <v>-0.35</v>
      </c>
      <c r="EI193" s="229">
        <v>0.7137</v>
      </c>
      <c r="EJ193" s="231">
        <v>102618.81</v>
      </c>
      <c r="EK193" s="231">
        <v>78234.490000000005</v>
      </c>
      <c r="EL193" s="231">
        <v>33865.980000000003</v>
      </c>
      <c r="EM193" s="228">
        <v>0</v>
      </c>
      <c r="EN193" s="231">
        <v>214719.28</v>
      </c>
      <c r="EO193" s="231">
        <v>191133.45</v>
      </c>
      <c r="EP193" s="231">
        <v>23585.83</v>
      </c>
      <c r="EQ193" s="229">
        <v>0.1234</v>
      </c>
      <c r="ER193" s="231">
        <v>116535</v>
      </c>
      <c r="ES193" s="231">
        <v>68105</v>
      </c>
      <c r="ET193" s="231">
        <v>273602</v>
      </c>
      <c r="EU193" s="231">
        <v>218440087</v>
      </c>
      <c r="EV193" s="231">
        <v>458242</v>
      </c>
      <c r="EW193" s="231">
        <v>469372</v>
      </c>
      <c r="EX193" s="231">
        <v>-11130</v>
      </c>
      <c r="EY193" s="229">
        <v>-2.3699999999999999E-2</v>
      </c>
      <c r="EZ193" s="229">
        <v>0.12759999999999999</v>
      </c>
      <c r="FA193" s="227" t="s">
        <v>568</v>
      </c>
      <c r="FB193" s="161">
        <f t="shared" si="4"/>
        <v>0</v>
      </c>
    </row>
    <row r="194" spans="1:158" ht="17.25" thickBot="1" x14ac:dyDescent="0.3">
      <c r="A194" s="226">
        <v>45889</v>
      </c>
      <c r="B194" s="227" t="s">
        <v>184</v>
      </c>
      <c r="C194" s="227" t="s">
        <v>575</v>
      </c>
      <c r="D194" s="228">
        <v>175</v>
      </c>
      <c r="E194" s="231">
        <v>4553.5</v>
      </c>
      <c r="F194" s="231">
        <v>4605.2</v>
      </c>
      <c r="G194" s="228">
        <v>-51.7</v>
      </c>
      <c r="H194" s="229">
        <v>-1.12E-2</v>
      </c>
      <c r="I194" s="231">
        <v>4541.6000000000004</v>
      </c>
      <c r="J194" s="231">
        <v>4598.1000000000004</v>
      </c>
      <c r="K194" s="228">
        <v>-56.5</v>
      </c>
      <c r="L194" s="229">
        <v>-1.23E-2</v>
      </c>
      <c r="M194" s="231">
        <v>4553.5</v>
      </c>
      <c r="N194" s="231">
        <v>4605.2</v>
      </c>
      <c r="O194" s="228">
        <v>-51.7</v>
      </c>
      <c r="P194" s="229">
        <v>-1.12E-2</v>
      </c>
      <c r="Q194" s="231">
        <v>4578.5</v>
      </c>
      <c r="R194" s="231">
        <v>4629.3999999999996</v>
      </c>
      <c r="S194" s="228">
        <v>-50.9</v>
      </c>
      <c r="T194" s="229">
        <v>-1.0999999999999999E-2</v>
      </c>
      <c r="U194" s="231">
        <v>4596</v>
      </c>
      <c r="V194" s="231">
        <v>4652</v>
      </c>
      <c r="W194" s="228">
        <v>-56</v>
      </c>
      <c r="X194" s="229">
        <v>-1.2E-2</v>
      </c>
      <c r="Y194" s="228">
        <v>11.9</v>
      </c>
      <c r="Z194" s="228">
        <v>7.1</v>
      </c>
      <c r="AA194" s="228">
        <v>4.8</v>
      </c>
      <c r="AB194" s="229">
        <v>2.5999999999999999E-3</v>
      </c>
      <c r="AC194" s="228">
        <v>11.9</v>
      </c>
      <c r="AD194" s="228">
        <v>7.1</v>
      </c>
      <c r="AE194" s="228">
        <v>4.8</v>
      </c>
      <c r="AF194" s="229">
        <v>2.5999999999999999E-3</v>
      </c>
      <c r="AG194" s="228">
        <v>36.9</v>
      </c>
      <c r="AH194" s="228">
        <v>31.3</v>
      </c>
      <c r="AI194" s="228">
        <v>5.6</v>
      </c>
      <c r="AJ194" s="229">
        <v>8.0999999999999996E-3</v>
      </c>
      <c r="AK194" s="228">
        <v>54.4</v>
      </c>
      <c r="AL194" s="228">
        <v>53.9</v>
      </c>
      <c r="AM194" s="228">
        <v>0.5</v>
      </c>
      <c r="AN194" s="229">
        <v>1.2E-2</v>
      </c>
      <c r="AO194" s="231">
        <v>4587.88</v>
      </c>
      <c r="AP194" s="231">
        <v>4608.84</v>
      </c>
      <c r="AQ194" s="228">
        <v>0</v>
      </c>
      <c r="AR194" s="230">
        <v>274050</v>
      </c>
      <c r="AS194" s="230">
        <v>353850</v>
      </c>
      <c r="AT194" s="230">
        <v>-79800</v>
      </c>
      <c r="AU194" s="229">
        <v>-0.22550000000000001</v>
      </c>
      <c r="AV194" s="230">
        <v>233100</v>
      </c>
      <c r="AW194" s="230">
        <v>299425</v>
      </c>
      <c r="AX194" s="230">
        <v>-66325</v>
      </c>
      <c r="AY194" s="229">
        <v>-0.2215</v>
      </c>
      <c r="AZ194" s="230">
        <v>39025</v>
      </c>
      <c r="BA194" s="230">
        <v>49875</v>
      </c>
      <c r="BB194" s="230">
        <v>-10850</v>
      </c>
      <c r="BC194" s="229">
        <v>-0.2175</v>
      </c>
      <c r="BD194" s="230">
        <v>1925</v>
      </c>
      <c r="BE194" s="230">
        <v>4550</v>
      </c>
      <c r="BF194" s="230">
        <v>-2625</v>
      </c>
      <c r="BG194" s="229">
        <v>-0.57689999999999997</v>
      </c>
      <c r="BH194" s="230">
        <v>777875</v>
      </c>
      <c r="BI194" s="230">
        <v>1746325</v>
      </c>
      <c r="BJ194" s="230">
        <v>-968450</v>
      </c>
      <c r="BK194" s="229">
        <v>-0.55459999999999998</v>
      </c>
      <c r="BL194" s="230">
        <v>272825</v>
      </c>
      <c r="BM194" s="230">
        <v>680050</v>
      </c>
      <c r="BN194" s="230">
        <v>-407225</v>
      </c>
      <c r="BO194" s="229">
        <v>-0.5988</v>
      </c>
      <c r="BP194" s="230">
        <v>1324750</v>
      </c>
      <c r="BQ194" s="230">
        <v>2780225</v>
      </c>
      <c r="BR194" s="230">
        <v>-1455475</v>
      </c>
      <c r="BS194" s="229">
        <v>-0.52349999999999997</v>
      </c>
      <c r="BT194" s="230">
        <v>142022</v>
      </c>
      <c r="BU194" s="230">
        <v>295977</v>
      </c>
      <c r="BV194" s="230">
        <v>-153955</v>
      </c>
      <c r="BW194" s="229">
        <v>-0.5202</v>
      </c>
      <c r="BX194" s="230">
        <v>1438500</v>
      </c>
      <c r="BY194" s="230">
        <v>1449875</v>
      </c>
      <c r="BZ194" s="230">
        <v>-11375</v>
      </c>
      <c r="CA194" s="229">
        <v>-7.7999999999999996E-3</v>
      </c>
      <c r="CB194" s="230">
        <v>1365350</v>
      </c>
      <c r="CC194" s="230">
        <v>1389850</v>
      </c>
      <c r="CD194" s="230">
        <v>-24500</v>
      </c>
      <c r="CE194" s="229">
        <v>-1.7600000000000001E-2</v>
      </c>
      <c r="CF194" s="230">
        <v>70000</v>
      </c>
      <c r="CG194" s="230">
        <v>56700</v>
      </c>
      <c r="CH194" s="230">
        <v>13300</v>
      </c>
      <c r="CI194" s="229">
        <v>0.2346</v>
      </c>
      <c r="CJ194" s="230">
        <v>3150</v>
      </c>
      <c r="CK194" s="230">
        <v>3325</v>
      </c>
      <c r="CL194" s="228">
        <v>-175</v>
      </c>
      <c r="CM194" s="229">
        <v>-5.2600000000000001E-2</v>
      </c>
      <c r="CN194" s="230">
        <v>300825</v>
      </c>
      <c r="CO194" s="230">
        <v>291725</v>
      </c>
      <c r="CP194" s="230">
        <v>9100</v>
      </c>
      <c r="CQ194" s="229">
        <v>3.1199999999999999E-2</v>
      </c>
      <c r="CR194" s="230">
        <v>226625</v>
      </c>
      <c r="CS194" s="230">
        <v>246575</v>
      </c>
      <c r="CT194" s="230">
        <v>-19950</v>
      </c>
      <c r="CU194" s="229">
        <v>-8.09E-2</v>
      </c>
      <c r="CV194" s="230">
        <v>1965950</v>
      </c>
      <c r="CW194" s="230">
        <v>1988175</v>
      </c>
      <c r="CX194" s="230">
        <v>-22225</v>
      </c>
      <c r="CY194" s="229">
        <v>-1.12E-2</v>
      </c>
      <c r="CZ194" s="228">
        <v>29.82</v>
      </c>
      <c r="DA194" s="228">
        <v>31.5</v>
      </c>
      <c r="DB194" s="228">
        <v>-1.68</v>
      </c>
      <c r="DC194" s="228">
        <v>-1.68</v>
      </c>
      <c r="DD194" s="228">
        <v>43.97</v>
      </c>
      <c r="DE194" s="228">
        <v>44.05</v>
      </c>
      <c r="DF194" s="228">
        <v>-14.15</v>
      </c>
      <c r="DG194" s="228">
        <v>-0.08</v>
      </c>
      <c r="DH194" s="228">
        <v>29.78</v>
      </c>
      <c r="DI194" s="228">
        <v>31.23</v>
      </c>
      <c r="DJ194" s="228">
        <v>-1.45</v>
      </c>
      <c r="DK194" s="228">
        <v>-1.45</v>
      </c>
      <c r="DL194" s="228">
        <v>29.94</v>
      </c>
      <c r="DM194" s="228">
        <v>32.21</v>
      </c>
      <c r="DN194" s="228">
        <v>-2.27</v>
      </c>
      <c r="DO194" s="228">
        <v>-2.27</v>
      </c>
      <c r="DP194" s="228">
        <v>0.75</v>
      </c>
      <c r="DQ194" s="228">
        <v>0.85</v>
      </c>
      <c r="DR194" s="228">
        <v>-0.1</v>
      </c>
      <c r="DS194" s="229">
        <v>-0.1176</v>
      </c>
      <c r="DT194" s="231">
        <v>4600</v>
      </c>
      <c r="DU194" s="231">
        <v>4100</v>
      </c>
      <c r="DV194" s="228">
        <v>0.35</v>
      </c>
      <c r="DW194" s="228">
        <v>0.39</v>
      </c>
      <c r="DX194" s="228">
        <v>-0.04</v>
      </c>
      <c r="DY194" s="229">
        <v>-0.1026</v>
      </c>
      <c r="DZ194" s="229">
        <v>5.0900000000000001E-2</v>
      </c>
      <c r="EA194" s="230">
        <v>60025</v>
      </c>
      <c r="EB194" s="229">
        <v>5.4999999999999997E-3</v>
      </c>
      <c r="EC194" s="229">
        <v>5.0900000000000001E-2</v>
      </c>
      <c r="ED194" s="228">
        <v>20.96</v>
      </c>
      <c r="EE194" s="229">
        <v>4.5999999999999999E-3</v>
      </c>
      <c r="EF194" s="230">
        <v>62991</v>
      </c>
      <c r="EG194" s="230">
        <v>133098</v>
      </c>
      <c r="EH194" s="229">
        <v>-0.52669999999999995</v>
      </c>
      <c r="EI194" s="229">
        <v>0.44350000000000001</v>
      </c>
      <c r="EJ194" s="231">
        <v>36938.46</v>
      </c>
      <c r="EK194" s="231">
        <v>12163.84</v>
      </c>
      <c r="EL194" s="231">
        <v>12581.98</v>
      </c>
      <c r="EM194" s="228">
        <v>0</v>
      </c>
      <c r="EN194" s="231">
        <v>61684.28</v>
      </c>
      <c r="EO194" s="231">
        <v>128770.42</v>
      </c>
      <c r="EP194" s="231">
        <v>-67086.14</v>
      </c>
      <c r="EQ194" s="229">
        <v>-0.52100000000000002</v>
      </c>
      <c r="ER194" s="231">
        <v>13820</v>
      </c>
      <c r="ES194" s="231">
        <v>9614</v>
      </c>
      <c r="ET194" s="231">
        <v>65521</v>
      </c>
      <c r="EU194" s="231">
        <v>12981810</v>
      </c>
      <c r="EV194" s="231">
        <v>88955</v>
      </c>
      <c r="EW194" s="231">
        <v>90743</v>
      </c>
      <c r="EX194" s="231">
        <v>-1788</v>
      </c>
      <c r="EY194" s="229">
        <v>-1.9699999999999999E-2</v>
      </c>
      <c r="EZ194" s="229">
        <v>0.15140000000000001</v>
      </c>
      <c r="FA194" s="227" t="s">
        <v>568</v>
      </c>
      <c r="FB194" s="161">
        <f t="shared" si="4"/>
        <v>0</v>
      </c>
    </row>
    <row r="195" spans="1:158" ht="17.25" thickBot="1" x14ac:dyDescent="0.3">
      <c r="A195" s="226">
        <v>45889</v>
      </c>
      <c r="B195" s="227" t="s">
        <v>161</v>
      </c>
      <c r="C195" s="227" t="s">
        <v>686</v>
      </c>
      <c r="D195" s="228">
        <v>8000</v>
      </c>
      <c r="E195" s="228">
        <v>59.97</v>
      </c>
      <c r="F195" s="228">
        <v>59.76</v>
      </c>
      <c r="G195" s="228">
        <v>0.21</v>
      </c>
      <c r="H195" s="229">
        <v>3.5000000000000001E-3</v>
      </c>
      <c r="I195" s="228">
        <v>59.85</v>
      </c>
      <c r="J195" s="228">
        <v>59.59</v>
      </c>
      <c r="K195" s="228">
        <v>0.26</v>
      </c>
      <c r="L195" s="229">
        <v>4.4000000000000003E-3</v>
      </c>
      <c r="M195" s="228">
        <v>59.97</v>
      </c>
      <c r="N195" s="228">
        <v>59.76</v>
      </c>
      <c r="O195" s="228">
        <v>0.21</v>
      </c>
      <c r="P195" s="229">
        <v>3.5000000000000001E-3</v>
      </c>
      <c r="Q195" s="228">
        <v>60.27</v>
      </c>
      <c r="R195" s="228">
        <v>60.07</v>
      </c>
      <c r="S195" s="228">
        <v>0.2</v>
      </c>
      <c r="T195" s="229">
        <v>3.3E-3</v>
      </c>
      <c r="U195" s="228">
        <v>60.59</v>
      </c>
      <c r="V195" s="228">
        <v>60.36</v>
      </c>
      <c r="W195" s="228">
        <v>0.23</v>
      </c>
      <c r="X195" s="229">
        <v>3.8E-3</v>
      </c>
      <c r="Y195" s="228">
        <v>0.12</v>
      </c>
      <c r="Z195" s="228">
        <v>0.17</v>
      </c>
      <c r="AA195" s="228">
        <v>-0.05</v>
      </c>
      <c r="AB195" s="229">
        <v>2E-3</v>
      </c>
      <c r="AC195" s="228">
        <v>0.12</v>
      </c>
      <c r="AD195" s="228">
        <v>0.17</v>
      </c>
      <c r="AE195" s="228">
        <v>-0.05</v>
      </c>
      <c r="AF195" s="229">
        <v>2E-3</v>
      </c>
      <c r="AG195" s="228">
        <v>0.42</v>
      </c>
      <c r="AH195" s="228">
        <v>0.48</v>
      </c>
      <c r="AI195" s="228">
        <v>-0.06</v>
      </c>
      <c r="AJ195" s="229">
        <v>7.0000000000000001E-3</v>
      </c>
      <c r="AK195" s="228">
        <v>0.74</v>
      </c>
      <c r="AL195" s="228">
        <v>0.77</v>
      </c>
      <c r="AM195" s="228">
        <v>-0.03</v>
      </c>
      <c r="AN195" s="229">
        <v>1.24E-2</v>
      </c>
      <c r="AO195" s="228">
        <v>59.95</v>
      </c>
      <c r="AP195" s="228">
        <v>60.23</v>
      </c>
      <c r="AQ195" s="228">
        <v>0</v>
      </c>
      <c r="AR195" s="230">
        <v>31480000</v>
      </c>
      <c r="AS195" s="230">
        <v>43392000</v>
      </c>
      <c r="AT195" s="230">
        <v>-11912000</v>
      </c>
      <c r="AU195" s="229">
        <v>-0.27450000000000002</v>
      </c>
      <c r="AV195" s="230">
        <v>25032000</v>
      </c>
      <c r="AW195" s="230">
        <v>34704000</v>
      </c>
      <c r="AX195" s="230">
        <v>-9672000</v>
      </c>
      <c r="AY195" s="229">
        <v>-0.2787</v>
      </c>
      <c r="AZ195" s="230">
        <v>5744000</v>
      </c>
      <c r="BA195" s="230">
        <v>7920000</v>
      </c>
      <c r="BB195" s="230">
        <v>-2176000</v>
      </c>
      <c r="BC195" s="229">
        <v>-0.2747</v>
      </c>
      <c r="BD195" s="230">
        <v>704000</v>
      </c>
      <c r="BE195" s="230">
        <v>768000</v>
      </c>
      <c r="BF195" s="230">
        <v>-64000</v>
      </c>
      <c r="BG195" s="229">
        <v>-8.3299999999999999E-2</v>
      </c>
      <c r="BH195" s="230">
        <v>120456000</v>
      </c>
      <c r="BI195" s="230">
        <v>194408000</v>
      </c>
      <c r="BJ195" s="230">
        <v>-73952000</v>
      </c>
      <c r="BK195" s="229">
        <v>-0.38040000000000002</v>
      </c>
      <c r="BL195" s="230">
        <v>32424000</v>
      </c>
      <c r="BM195" s="230">
        <v>45904000</v>
      </c>
      <c r="BN195" s="230">
        <v>-13480000</v>
      </c>
      <c r="BO195" s="229">
        <v>-0.29370000000000002</v>
      </c>
      <c r="BP195" s="230">
        <v>184360000</v>
      </c>
      <c r="BQ195" s="230">
        <v>283704000</v>
      </c>
      <c r="BR195" s="230">
        <v>-99344000</v>
      </c>
      <c r="BS195" s="229">
        <v>-0.35020000000000001</v>
      </c>
      <c r="BT195" s="230">
        <v>66135274</v>
      </c>
      <c r="BU195" s="230">
        <v>106766902</v>
      </c>
      <c r="BV195" s="230">
        <v>-40631628</v>
      </c>
      <c r="BW195" s="229">
        <v>-0.38059999999999999</v>
      </c>
      <c r="BX195" s="230">
        <v>120008000</v>
      </c>
      <c r="BY195" s="230">
        <v>115384000</v>
      </c>
      <c r="BZ195" s="230">
        <v>4624000</v>
      </c>
      <c r="CA195" s="229">
        <v>4.0099999999999997E-2</v>
      </c>
      <c r="CB195" s="230">
        <v>96984000</v>
      </c>
      <c r="CC195" s="230">
        <v>94600000</v>
      </c>
      <c r="CD195" s="230">
        <v>2384000</v>
      </c>
      <c r="CE195" s="229">
        <v>2.52E-2</v>
      </c>
      <c r="CF195" s="230">
        <v>18816000</v>
      </c>
      <c r="CG195" s="230">
        <v>16920000</v>
      </c>
      <c r="CH195" s="230">
        <v>1896000</v>
      </c>
      <c r="CI195" s="229">
        <v>0.11210000000000001</v>
      </c>
      <c r="CJ195" s="230">
        <v>4208000</v>
      </c>
      <c r="CK195" s="230">
        <v>3864000</v>
      </c>
      <c r="CL195" s="230">
        <v>344000</v>
      </c>
      <c r="CM195" s="229">
        <v>8.8999999999999996E-2</v>
      </c>
      <c r="CN195" s="230">
        <v>127272000</v>
      </c>
      <c r="CO195" s="230">
        <v>128480000</v>
      </c>
      <c r="CP195" s="230">
        <v>-1208000</v>
      </c>
      <c r="CQ195" s="229">
        <v>-9.4000000000000004E-3</v>
      </c>
      <c r="CR195" s="230">
        <v>54936000</v>
      </c>
      <c r="CS195" s="230">
        <v>48440000</v>
      </c>
      <c r="CT195" s="230">
        <v>6496000</v>
      </c>
      <c r="CU195" s="229">
        <v>0.1341</v>
      </c>
      <c r="CV195" s="230">
        <v>302216000</v>
      </c>
      <c r="CW195" s="230">
        <v>292304000</v>
      </c>
      <c r="CX195" s="230">
        <v>9912000</v>
      </c>
      <c r="CY195" s="229">
        <v>3.39E-2</v>
      </c>
      <c r="CZ195" s="228">
        <v>45.3</v>
      </c>
      <c r="DA195" s="228">
        <v>46.41</v>
      </c>
      <c r="DB195" s="228">
        <v>-1.1100000000000001</v>
      </c>
      <c r="DC195" s="228">
        <v>-1.1100000000000001</v>
      </c>
      <c r="DD195" s="228">
        <v>54.42</v>
      </c>
      <c r="DE195" s="228">
        <v>54.55</v>
      </c>
      <c r="DF195" s="228">
        <v>-9.1199999999999992</v>
      </c>
      <c r="DG195" s="228">
        <v>-0.13</v>
      </c>
      <c r="DH195" s="228">
        <v>46.42</v>
      </c>
      <c r="DI195" s="228">
        <v>46.96</v>
      </c>
      <c r="DJ195" s="228">
        <v>-0.54</v>
      </c>
      <c r="DK195" s="228">
        <v>-0.54</v>
      </c>
      <c r="DL195" s="228">
        <v>41.17</v>
      </c>
      <c r="DM195" s="228">
        <v>44.12</v>
      </c>
      <c r="DN195" s="228">
        <v>-2.95</v>
      </c>
      <c r="DO195" s="228">
        <v>-2.95</v>
      </c>
      <c r="DP195" s="228">
        <v>0.43</v>
      </c>
      <c r="DQ195" s="228">
        <v>0.38</v>
      </c>
      <c r="DR195" s="228">
        <v>0.05</v>
      </c>
      <c r="DS195" s="229">
        <v>0.13159999999999999</v>
      </c>
      <c r="DT195" s="228">
        <v>65</v>
      </c>
      <c r="DU195" s="228">
        <v>60</v>
      </c>
      <c r="DV195" s="228">
        <v>0.27</v>
      </c>
      <c r="DW195" s="228">
        <v>0.24</v>
      </c>
      <c r="DX195" s="228">
        <v>0.03</v>
      </c>
      <c r="DY195" s="229">
        <v>0.125</v>
      </c>
      <c r="DZ195" s="229">
        <v>0.19189999999999999</v>
      </c>
      <c r="EA195" s="230">
        <v>20784000</v>
      </c>
      <c r="EB195" s="229">
        <v>5.0000000000000001E-3</v>
      </c>
      <c r="EC195" s="229">
        <v>0.19189999999999999</v>
      </c>
      <c r="ED195" s="228">
        <v>0.28000000000000003</v>
      </c>
      <c r="EE195" s="229">
        <v>4.7000000000000002E-3</v>
      </c>
      <c r="EF195" s="230">
        <v>25328989</v>
      </c>
      <c r="EG195" s="230">
        <v>36139241</v>
      </c>
      <c r="EH195" s="229">
        <v>-0.29909999999999998</v>
      </c>
      <c r="EI195" s="229">
        <v>0.38300000000000001</v>
      </c>
      <c r="EJ195" s="231">
        <v>77593.75</v>
      </c>
      <c r="EK195" s="231">
        <v>19218.919999999998</v>
      </c>
      <c r="EL195" s="231">
        <v>18893.13</v>
      </c>
      <c r="EM195" s="228">
        <v>0</v>
      </c>
      <c r="EN195" s="231">
        <v>115705.8</v>
      </c>
      <c r="EO195" s="231">
        <v>174896.72</v>
      </c>
      <c r="EP195" s="231">
        <v>-59190.92</v>
      </c>
      <c r="EQ195" s="229">
        <v>-0.33839999999999998</v>
      </c>
      <c r="ER195" s="231">
        <v>83058</v>
      </c>
      <c r="ES195" s="231">
        <v>32184</v>
      </c>
      <c r="ET195" s="231">
        <v>72051</v>
      </c>
      <c r="EU195" s="231">
        <v>2418045131</v>
      </c>
      <c r="EV195" s="231">
        <v>187292</v>
      </c>
      <c r="EW195" s="231">
        <v>181188</v>
      </c>
      <c r="EX195" s="231">
        <v>6104</v>
      </c>
      <c r="EY195" s="229">
        <v>3.3700000000000001E-2</v>
      </c>
      <c r="EZ195" s="229">
        <v>0.125</v>
      </c>
      <c r="FA195" s="227" t="s">
        <v>555</v>
      </c>
      <c r="FB195" s="161">
        <f t="shared" ref="FB195:FB258" si="5">BX269-CB269</f>
        <v>0</v>
      </c>
    </row>
    <row r="196" spans="1:158" ht="17.25" thickBot="1" x14ac:dyDescent="0.3">
      <c r="A196" s="226">
        <v>45889</v>
      </c>
      <c r="B196" s="227" t="s">
        <v>170</v>
      </c>
      <c r="C196" s="227" t="s">
        <v>520</v>
      </c>
      <c r="D196" s="228">
        <v>1000</v>
      </c>
      <c r="E196" s="228">
        <v>668.55</v>
      </c>
      <c r="F196" s="228">
        <v>683.55</v>
      </c>
      <c r="G196" s="228">
        <v>-15</v>
      </c>
      <c r="H196" s="229">
        <v>-2.1899999999999999E-2</v>
      </c>
      <c r="I196" s="228">
        <v>667.45</v>
      </c>
      <c r="J196" s="228">
        <v>683.05</v>
      </c>
      <c r="K196" s="228">
        <v>-15.6</v>
      </c>
      <c r="L196" s="229">
        <v>-2.2800000000000001E-2</v>
      </c>
      <c r="M196" s="228">
        <v>668.55</v>
      </c>
      <c r="N196" s="228">
        <v>683.55</v>
      </c>
      <c r="O196" s="228">
        <v>-15</v>
      </c>
      <c r="P196" s="229">
        <v>-2.1899999999999999E-2</v>
      </c>
      <c r="Q196" s="228">
        <v>672.75</v>
      </c>
      <c r="R196" s="228">
        <v>687.45</v>
      </c>
      <c r="S196" s="228">
        <v>-14.7</v>
      </c>
      <c r="T196" s="229">
        <v>-2.1399999999999999E-2</v>
      </c>
      <c r="U196" s="228">
        <v>675.65</v>
      </c>
      <c r="V196" s="228">
        <v>690.35</v>
      </c>
      <c r="W196" s="228">
        <v>-14.7</v>
      </c>
      <c r="X196" s="229">
        <v>-2.1299999999999999E-2</v>
      </c>
      <c r="Y196" s="228">
        <v>1.1000000000000001</v>
      </c>
      <c r="Z196" s="228">
        <v>0.5</v>
      </c>
      <c r="AA196" s="228">
        <v>0.6</v>
      </c>
      <c r="AB196" s="229">
        <v>1.6000000000000001E-3</v>
      </c>
      <c r="AC196" s="228">
        <v>1.1000000000000001</v>
      </c>
      <c r="AD196" s="228">
        <v>0.5</v>
      </c>
      <c r="AE196" s="228">
        <v>0.6</v>
      </c>
      <c r="AF196" s="229">
        <v>1.6000000000000001E-3</v>
      </c>
      <c r="AG196" s="228">
        <v>5.3</v>
      </c>
      <c r="AH196" s="228">
        <v>4.4000000000000004</v>
      </c>
      <c r="AI196" s="228">
        <v>0.9</v>
      </c>
      <c r="AJ196" s="229">
        <v>7.9000000000000008E-3</v>
      </c>
      <c r="AK196" s="228">
        <v>8.1999999999999993</v>
      </c>
      <c r="AL196" s="228">
        <v>7.3</v>
      </c>
      <c r="AM196" s="228">
        <v>0.9</v>
      </c>
      <c r="AN196" s="229">
        <v>1.23E-2</v>
      </c>
      <c r="AO196" s="228">
        <v>673.41</v>
      </c>
      <c r="AP196" s="228">
        <v>677.3</v>
      </c>
      <c r="AQ196" s="228">
        <v>0</v>
      </c>
      <c r="AR196" s="230">
        <v>865000</v>
      </c>
      <c r="AS196" s="230">
        <v>1457000</v>
      </c>
      <c r="AT196" s="230">
        <v>-592000</v>
      </c>
      <c r="AU196" s="229">
        <v>-0.40629999999999999</v>
      </c>
      <c r="AV196" s="230">
        <v>682000</v>
      </c>
      <c r="AW196" s="230">
        <v>1260000</v>
      </c>
      <c r="AX196" s="230">
        <v>-578000</v>
      </c>
      <c r="AY196" s="229">
        <v>-0.4587</v>
      </c>
      <c r="AZ196" s="230">
        <v>172000</v>
      </c>
      <c r="BA196" s="230">
        <v>177000</v>
      </c>
      <c r="BB196" s="230">
        <v>-5000</v>
      </c>
      <c r="BC196" s="229">
        <v>-2.8199999999999999E-2</v>
      </c>
      <c r="BD196" s="230">
        <v>11000</v>
      </c>
      <c r="BE196" s="230">
        <v>20000</v>
      </c>
      <c r="BF196" s="230">
        <v>-9000</v>
      </c>
      <c r="BG196" s="229">
        <v>-0.45</v>
      </c>
      <c r="BH196" s="230">
        <v>1530000</v>
      </c>
      <c r="BI196" s="230">
        <v>2945000</v>
      </c>
      <c r="BJ196" s="230">
        <v>-1415000</v>
      </c>
      <c r="BK196" s="229">
        <v>-0.48049999999999998</v>
      </c>
      <c r="BL196" s="230">
        <v>1137000</v>
      </c>
      <c r="BM196" s="230">
        <v>1180000</v>
      </c>
      <c r="BN196" s="230">
        <v>-43000</v>
      </c>
      <c r="BO196" s="229">
        <v>-3.6400000000000002E-2</v>
      </c>
      <c r="BP196" s="230">
        <v>3532000</v>
      </c>
      <c r="BQ196" s="230">
        <v>5582000</v>
      </c>
      <c r="BR196" s="230">
        <v>-2050000</v>
      </c>
      <c r="BS196" s="229">
        <v>-0.36730000000000002</v>
      </c>
      <c r="BT196" s="230">
        <v>321404</v>
      </c>
      <c r="BU196" s="230">
        <v>882556</v>
      </c>
      <c r="BV196" s="230">
        <v>-561152</v>
      </c>
      <c r="BW196" s="229">
        <v>-0.63580000000000003</v>
      </c>
      <c r="BX196" s="230">
        <v>9095000</v>
      </c>
      <c r="BY196" s="230">
        <v>9073000</v>
      </c>
      <c r="BZ196" s="230">
        <v>22000</v>
      </c>
      <c r="CA196" s="229">
        <v>2.3999999999999998E-3</v>
      </c>
      <c r="CB196" s="230">
        <v>8756000</v>
      </c>
      <c r="CC196" s="230">
        <v>8833000</v>
      </c>
      <c r="CD196" s="230">
        <v>-77000</v>
      </c>
      <c r="CE196" s="229">
        <v>-8.6999999999999994E-3</v>
      </c>
      <c r="CF196" s="230">
        <v>314000</v>
      </c>
      <c r="CG196" s="230">
        <v>224000</v>
      </c>
      <c r="CH196" s="230">
        <v>90000</v>
      </c>
      <c r="CI196" s="229">
        <v>0.40179999999999999</v>
      </c>
      <c r="CJ196" s="230">
        <v>25000</v>
      </c>
      <c r="CK196" s="230">
        <v>16000</v>
      </c>
      <c r="CL196" s="230">
        <v>9000</v>
      </c>
      <c r="CM196" s="229">
        <v>0.5625</v>
      </c>
      <c r="CN196" s="230">
        <v>2601000</v>
      </c>
      <c r="CO196" s="230">
        <v>2585000</v>
      </c>
      <c r="CP196" s="230">
        <v>16000</v>
      </c>
      <c r="CQ196" s="229">
        <v>6.1999999999999998E-3</v>
      </c>
      <c r="CR196" s="230">
        <v>1721000</v>
      </c>
      <c r="CS196" s="230">
        <v>1611000</v>
      </c>
      <c r="CT196" s="230">
        <v>110000</v>
      </c>
      <c r="CU196" s="229">
        <v>6.83E-2</v>
      </c>
      <c r="CV196" s="230">
        <v>13417000</v>
      </c>
      <c r="CW196" s="230">
        <v>13269000</v>
      </c>
      <c r="CX196" s="230">
        <v>148000</v>
      </c>
      <c r="CY196" s="229">
        <v>1.12E-2</v>
      </c>
      <c r="CZ196" s="228">
        <v>27.55</v>
      </c>
      <c r="DA196" s="228">
        <v>26.36</v>
      </c>
      <c r="DB196" s="228">
        <v>1.19</v>
      </c>
      <c r="DC196" s="228">
        <v>1.19</v>
      </c>
      <c r="DD196" s="228">
        <v>34.25</v>
      </c>
      <c r="DE196" s="228">
        <v>34.19</v>
      </c>
      <c r="DF196" s="228">
        <v>-6.7</v>
      </c>
      <c r="DG196" s="228">
        <v>0.06</v>
      </c>
      <c r="DH196" s="228">
        <v>28.73</v>
      </c>
      <c r="DI196" s="228">
        <v>25.9</v>
      </c>
      <c r="DJ196" s="228">
        <v>2.83</v>
      </c>
      <c r="DK196" s="228">
        <v>2.83</v>
      </c>
      <c r="DL196" s="228">
        <v>25.97</v>
      </c>
      <c r="DM196" s="228">
        <v>27.5</v>
      </c>
      <c r="DN196" s="228">
        <v>-1.53</v>
      </c>
      <c r="DO196" s="228">
        <v>-1.53</v>
      </c>
      <c r="DP196" s="228">
        <v>0.66</v>
      </c>
      <c r="DQ196" s="228">
        <v>0.62</v>
      </c>
      <c r="DR196" s="228">
        <v>0.04</v>
      </c>
      <c r="DS196" s="229">
        <v>6.4500000000000002E-2</v>
      </c>
      <c r="DT196" s="228">
        <v>700</v>
      </c>
      <c r="DU196" s="228">
        <v>660</v>
      </c>
      <c r="DV196" s="228">
        <v>0.74</v>
      </c>
      <c r="DW196" s="228">
        <v>0.4</v>
      </c>
      <c r="DX196" s="228">
        <v>0.34</v>
      </c>
      <c r="DY196" s="229">
        <v>0.85</v>
      </c>
      <c r="DZ196" s="229">
        <v>3.73E-2</v>
      </c>
      <c r="EA196" s="230">
        <v>240000</v>
      </c>
      <c r="EB196" s="229">
        <v>6.3E-3</v>
      </c>
      <c r="EC196" s="229">
        <v>3.73E-2</v>
      </c>
      <c r="ED196" s="228">
        <v>3.89</v>
      </c>
      <c r="EE196" s="229">
        <v>5.7999999999999996E-3</v>
      </c>
      <c r="EF196" s="230">
        <v>177683</v>
      </c>
      <c r="EG196" s="230">
        <v>416833</v>
      </c>
      <c r="EH196" s="229">
        <v>-0.57369999999999999</v>
      </c>
      <c r="EI196" s="229">
        <v>0.55279999999999996</v>
      </c>
      <c r="EJ196" s="231">
        <v>10697.3</v>
      </c>
      <c r="EK196" s="231">
        <v>7528.64</v>
      </c>
      <c r="EL196" s="231">
        <v>5832.47</v>
      </c>
      <c r="EM196" s="228">
        <v>0</v>
      </c>
      <c r="EN196" s="231">
        <v>24058.41</v>
      </c>
      <c r="EO196" s="231">
        <v>38333.35</v>
      </c>
      <c r="EP196" s="231">
        <v>-14274.94</v>
      </c>
      <c r="EQ196" s="229">
        <v>-0.37240000000000001</v>
      </c>
      <c r="ER196" s="231">
        <v>18499</v>
      </c>
      <c r="ES196" s="231">
        <v>11476</v>
      </c>
      <c r="ET196" s="231">
        <v>60820</v>
      </c>
      <c r="EU196" s="231">
        <v>37877778</v>
      </c>
      <c r="EV196" s="231">
        <v>90795</v>
      </c>
      <c r="EW196" s="231">
        <v>91237</v>
      </c>
      <c r="EX196" s="228">
        <v>-442</v>
      </c>
      <c r="EY196" s="229">
        <v>-4.7999999999999996E-3</v>
      </c>
      <c r="EZ196" s="229">
        <v>0.35420000000000001</v>
      </c>
      <c r="FA196" s="227" t="s">
        <v>567</v>
      </c>
      <c r="FB196" s="161">
        <f t="shared" si="5"/>
        <v>0</v>
      </c>
    </row>
    <row r="197" spans="1:158" ht="17.25" thickBot="1" x14ac:dyDescent="0.3">
      <c r="A197" s="226">
        <v>45889</v>
      </c>
      <c r="B197" s="227" t="s">
        <v>498</v>
      </c>
      <c r="C197" s="227" t="s">
        <v>290</v>
      </c>
      <c r="D197" s="228">
        <v>650</v>
      </c>
      <c r="E197" s="228">
        <v>944.8</v>
      </c>
      <c r="F197" s="228">
        <v>950.8</v>
      </c>
      <c r="G197" s="228">
        <v>-6</v>
      </c>
      <c r="H197" s="229">
        <v>-6.3E-3</v>
      </c>
      <c r="I197" s="228">
        <v>944.65</v>
      </c>
      <c r="J197" s="228">
        <v>947.6</v>
      </c>
      <c r="K197" s="228">
        <v>-2.95</v>
      </c>
      <c r="L197" s="229">
        <v>-3.0999999999999999E-3</v>
      </c>
      <c r="M197" s="228">
        <v>944.8</v>
      </c>
      <c r="N197" s="228">
        <v>950.8</v>
      </c>
      <c r="O197" s="228">
        <v>-6</v>
      </c>
      <c r="P197" s="229">
        <v>-6.3E-3</v>
      </c>
      <c r="Q197" s="228">
        <v>950.6</v>
      </c>
      <c r="R197" s="228">
        <v>956.15</v>
      </c>
      <c r="S197" s="228">
        <v>-5.55</v>
      </c>
      <c r="T197" s="229">
        <v>-5.7999999999999996E-3</v>
      </c>
      <c r="U197" s="228">
        <v>0</v>
      </c>
      <c r="V197" s="228">
        <v>0</v>
      </c>
      <c r="W197" s="228">
        <v>0</v>
      </c>
      <c r="X197" s="229">
        <v>0</v>
      </c>
      <c r="Y197" s="228">
        <v>0.15</v>
      </c>
      <c r="Z197" s="228">
        <v>3.2</v>
      </c>
      <c r="AA197" s="228">
        <v>-3.05</v>
      </c>
      <c r="AB197" s="229">
        <v>2.0000000000000001E-4</v>
      </c>
      <c r="AC197" s="228">
        <v>0.15</v>
      </c>
      <c r="AD197" s="228">
        <v>3.2</v>
      </c>
      <c r="AE197" s="228">
        <v>-3.05</v>
      </c>
      <c r="AF197" s="229">
        <v>2.0000000000000001E-4</v>
      </c>
      <c r="AG197" s="228">
        <v>5.95</v>
      </c>
      <c r="AH197" s="228">
        <v>8.5500000000000007</v>
      </c>
      <c r="AI197" s="228">
        <v>-2.6</v>
      </c>
      <c r="AJ197" s="229">
        <v>6.3E-3</v>
      </c>
      <c r="AK197" s="228">
        <v>0</v>
      </c>
      <c r="AL197" s="228">
        <v>0</v>
      </c>
      <c r="AM197" s="228">
        <v>0</v>
      </c>
      <c r="AN197" s="229">
        <v>0</v>
      </c>
      <c r="AO197" s="228">
        <v>945.53</v>
      </c>
      <c r="AP197" s="228">
        <v>951.62</v>
      </c>
      <c r="AQ197" s="228">
        <v>0</v>
      </c>
      <c r="AR197" s="230">
        <v>876850</v>
      </c>
      <c r="AS197" s="230">
        <v>812500</v>
      </c>
      <c r="AT197" s="230">
        <v>64350</v>
      </c>
      <c r="AU197" s="229">
        <v>7.9200000000000007E-2</v>
      </c>
      <c r="AV197" s="230">
        <v>693550</v>
      </c>
      <c r="AW197" s="230">
        <v>647400</v>
      </c>
      <c r="AX197" s="230">
        <v>46150</v>
      </c>
      <c r="AY197" s="229">
        <v>7.1300000000000002E-2</v>
      </c>
      <c r="AZ197" s="230">
        <v>183300</v>
      </c>
      <c r="BA197" s="230">
        <v>165100</v>
      </c>
      <c r="BB197" s="230">
        <v>18200</v>
      </c>
      <c r="BC197" s="229">
        <v>0.11020000000000001</v>
      </c>
      <c r="BD197" s="228">
        <v>0</v>
      </c>
      <c r="BE197" s="228">
        <v>0</v>
      </c>
      <c r="BF197" s="228">
        <v>0</v>
      </c>
      <c r="BG197" s="229">
        <v>0</v>
      </c>
      <c r="BH197" s="230">
        <v>3222050</v>
      </c>
      <c r="BI197" s="230">
        <v>2781350</v>
      </c>
      <c r="BJ197" s="230">
        <v>440700</v>
      </c>
      <c r="BK197" s="229">
        <v>0.15840000000000001</v>
      </c>
      <c r="BL197" s="230">
        <v>793000</v>
      </c>
      <c r="BM197" s="230">
        <v>653900</v>
      </c>
      <c r="BN197" s="230">
        <v>139100</v>
      </c>
      <c r="BO197" s="229">
        <v>0.2127</v>
      </c>
      <c r="BP197" s="230">
        <v>4891900</v>
      </c>
      <c r="BQ197" s="230">
        <v>4247750</v>
      </c>
      <c r="BR197" s="230">
        <v>644150</v>
      </c>
      <c r="BS197" s="229">
        <v>0.15160000000000001</v>
      </c>
      <c r="BT197" s="230">
        <v>431247</v>
      </c>
      <c r="BU197" s="230">
        <v>352864</v>
      </c>
      <c r="BV197" s="230">
        <v>78383</v>
      </c>
      <c r="BW197" s="229">
        <v>0.22209999999999999</v>
      </c>
      <c r="BX197" s="230">
        <v>6317350</v>
      </c>
      <c r="BY197" s="230">
        <v>6297200</v>
      </c>
      <c r="BZ197" s="230">
        <v>20150</v>
      </c>
      <c r="CA197" s="229">
        <v>3.2000000000000002E-3</v>
      </c>
      <c r="CB197" s="230">
        <v>5877300</v>
      </c>
      <c r="CC197" s="230">
        <v>5932550</v>
      </c>
      <c r="CD197" s="230">
        <v>-55250</v>
      </c>
      <c r="CE197" s="229">
        <v>-9.2999999999999992E-3</v>
      </c>
      <c r="CF197" s="230">
        <v>440050</v>
      </c>
      <c r="CG197" s="230">
        <v>364650</v>
      </c>
      <c r="CH197" s="230">
        <v>75400</v>
      </c>
      <c r="CI197" s="229">
        <v>0.20680000000000001</v>
      </c>
      <c r="CJ197" s="228">
        <v>0</v>
      </c>
      <c r="CK197" s="228">
        <v>0</v>
      </c>
      <c r="CL197" s="228">
        <v>0</v>
      </c>
      <c r="CM197" s="229">
        <v>0</v>
      </c>
      <c r="CN197" s="230">
        <v>5809700</v>
      </c>
      <c r="CO197" s="230">
        <v>5658900</v>
      </c>
      <c r="CP197" s="230">
        <v>150800</v>
      </c>
      <c r="CQ197" s="229">
        <v>2.6599999999999999E-2</v>
      </c>
      <c r="CR197" s="230">
        <v>2803450</v>
      </c>
      <c r="CS197" s="230">
        <v>2782000</v>
      </c>
      <c r="CT197" s="230">
        <v>21450</v>
      </c>
      <c r="CU197" s="229">
        <v>7.7000000000000002E-3</v>
      </c>
      <c r="CV197" s="230">
        <v>14930500</v>
      </c>
      <c r="CW197" s="230">
        <v>14738100</v>
      </c>
      <c r="CX197" s="230">
        <v>192400</v>
      </c>
      <c r="CY197" s="229">
        <v>1.3100000000000001E-2</v>
      </c>
      <c r="CZ197" s="228">
        <v>27.59</v>
      </c>
      <c r="DA197" s="228">
        <v>28.37</v>
      </c>
      <c r="DB197" s="228">
        <v>-0.78</v>
      </c>
      <c r="DC197" s="228">
        <v>-0.78</v>
      </c>
      <c r="DD197" s="228">
        <v>35.89</v>
      </c>
      <c r="DE197" s="228">
        <v>35.97</v>
      </c>
      <c r="DF197" s="228">
        <v>-8.3000000000000007</v>
      </c>
      <c r="DG197" s="228">
        <v>-0.08</v>
      </c>
      <c r="DH197" s="228">
        <v>28</v>
      </c>
      <c r="DI197" s="228">
        <v>28.45</v>
      </c>
      <c r="DJ197" s="228">
        <v>-0.45</v>
      </c>
      <c r="DK197" s="228">
        <v>-0.45</v>
      </c>
      <c r="DL197" s="228">
        <v>25.9</v>
      </c>
      <c r="DM197" s="228">
        <v>28.02</v>
      </c>
      <c r="DN197" s="228">
        <v>-2.12</v>
      </c>
      <c r="DO197" s="228">
        <v>-2.12</v>
      </c>
      <c r="DP197" s="228">
        <v>0.48</v>
      </c>
      <c r="DQ197" s="228">
        <v>0.49</v>
      </c>
      <c r="DR197" s="228">
        <v>-0.01</v>
      </c>
      <c r="DS197" s="229">
        <v>-2.0400000000000001E-2</v>
      </c>
      <c r="DT197" s="231">
        <v>1000</v>
      </c>
      <c r="DU197" s="231">
        <v>1000</v>
      </c>
      <c r="DV197" s="228">
        <v>0.25</v>
      </c>
      <c r="DW197" s="228">
        <v>0.24</v>
      </c>
      <c r="DX197" s="228">
        <v>0.01</v>
      </c>
      <c r="DY197" s="229">
        <v>4.1700000000000001E-2</v>
      </c>
      <c r="DZ197" s="229">
        <v>6.9699999999999998E-2</v>
      </c>
      <c r="EA197" s="230">
        <v>364650</v>
      </c>
      <c r="EB197" s="229">
        <v>6.1000000000000004E-3</v>
      </c>
      <c r="EC197" s="229">
        <v>6.9699999999999998E-2</v>
      </c>
      <c r="ED197" s="228">
        <v>6.09</v>
      </c>
      <c r="EE197" s="229">
        <v>6.4000000000000003E-3</v>
      </c>
      <c r="EF197" s="230">
        <v>105520</v>
      </c>
      <c r="EG197" s="230">
        <v>176970</v>
      </c>
      <c r="EH197" s="229">
        <v>-0.4037</v>
      </c>
      <c r="EI197" s="229">
        <v>0.2447</v>
      </c>
      <c r="EJ197" s="231">
        <v>31657.61</v>
      </c>
      <c r="EK197" s="231">
        <v>7426.54</v>
      </c>
      <c r="EL197" s="231">
        <v>8302.01</v>
      </c>
      <c r="EM197" s="228">
        <v>0</v>
      </c>
      <c r="EN197" s="231">
        <v>47386.16</v>
      </c>
      <c r="EO197" s="231">
        <v>41469.910000000003</v>
      </c>
      <c r="EP197" s="231">
        <v>5916.25</v>
      </c>
      <c r="EQ197" s="229">
        <v>0.14269999999999999</v>
      </c>
      <c r="ER197" s="231">
        <v>58817</v>
      </c>
      <c r="ES197" s="231">
        <v>26419</v>
      </c>
      <c r="ET197" s="231">
        <v>59712</v>
      </c>
      <c r="EU197" s="231">
        <v>31600651</v>
      </c>
      <c r="EV197" s="231">
        <v>144948</v>
      </c>
      <c r="EW197" s="231">
        <v>143512</v>
      </c>
      <c r="EX197" s="231">
        <v>1436</v>
      </c>
      <c r="EY197" s="229">
        <v>0.01</v>
      </c>
      <c r="EZ197" s="229">
        <v>0.47249999999999998</v>
      </c>
      <c r="FA197" s="227" t="s">
        <v>567</v>
      </c>
      <c r="FB197" s="161">
        <f t="shared" si="5"/>
        <v>0</v>
      </c>
    </row>
    <row r="198" spans="1:158" ht="17.25" thickBot="1" x14ac:dyDescent="0.3">
      <c r="A198" s="226">
        <v>45889</v>
      </c>
      <c r="B198" s="227" t="s">
        <v>168</v>
      </c>
      <c r="C198" s="227" t="s">
        <v>291</v>
      </c>
      <c r="D198" s="228">
        <v>550</v>
      </c>
      <c r="E198" s="231">
        <v>1105.8</v>
      </c>
      <c r="F198" s="231">
        <v>1090.9000000000001</v>
      </c>
      <c r="G198" s="228">
        <v>14.9</v>
      </c>
      <c r="H198" s="229">
        <v>1.37E-2</v>
      </c>
      <c r="I198" s="231">
        <v>1105.3</v>
      </c>
      <c r="J198" s="231">
        <v>1085.8</v>
      </c>
      <c r="K198" s="228">
        <v>19.5</v>
      </c>
      <c r="L198" s="229">
        <v>1.7999999999999999E-2</v>
      </c>
      <c r="M198" s="231">
        <v>1105.8</v>
      </c>
      <c r="N198" s="231">
        <v>1090.9000000000001</v>
      </c>
      <c r="O198" s="228">
        <v>14.9</v>
      </c>
      <c r="P198" s="229">
        <v>1.37E-2</v>
      </c>
      <c r="Q198" s="231">
        <v>1111.7</v>
      </c>
      <c r="R198" s="231">
        <v>1098.3</v>
      </c>
      <c r="S198" s="228">
        <v>13.4</v>
      </c>
      <c r="T198" s="229">
        <v>1.2200000000000001E-2</v>
      </c>
      <c r="U198" s="231">
        <v>1117.7</v>
      </c>
      <c r="V198" s="231">
        <v>1104</v>
      </c>
      <c r="W198" s="228">
        <v>13.7</v>
      </c>
      <c r="X198" s="229">
        <v>1.24E-2</v>
      </c>
      <c r="Y198" s="228">
        <v>0.5</v>
      </c>
      <c r="Z198" s="228">
        <v>5.0999999999999996</v>
      </c>
      <c r="AA198" s="228">
        <v>-4.5999999999999996</v>
      </c>
      <c r="AB198" s="229">
        <v>5.0000000000000001E-4</v>
      </c>
      <c r="AC198" s="228">
        <v>0.5</v>
      </c>
      <c r="AD198" s="228">
        <v>5.0999999999999996</v>
      </c>
      <c r="AE198" s="228">
        <v>-4.5999999999999996</v>
      </c>
      <c r="AF198" s="229">
        <v>5.0000000000000001E-4</v>
      </c>
      <c r="AG198" s="228">
        <v>6.4</v>
      </c>
      <c r="AH198" s="228">
        <v>12.5</v>
      </c>
      <c r="AI198" s="228">
        <v>-6.1</v>
      </c>
      <c r="AJ198" s="229">
        <v>5.7999999999999996E-3</v>
      </c>
      <c r="AK198" s="228">
        <v>12.4</v>
      </c>
      <c r="AL198" s="228">
        <v>18.2</v>
      </c>
      <c r="AM198" s="228">
        <v>-5.8</v>
      </c>
      <c r="AN198" s="229">
        <v>1.12E-2</v>
      </c>
      <c r="AO198" s="231">
        <v>1097.0899999999999</v>
      </c>
      <c r="AP198" s="231">
        <v>1103</v>
      </c>
      <c r="AQ198" s="228">
        <v>0</v>
      </c>
      <c r="AR198" s="230">
        <v>3143250</v>
      </c>
      <c r="AS198" s="230">
        <v>1495450</v>
      </c>
      <c r="AT198" s="230">
        <v>1647800</v>
      </c>
      <c r="AU198" s="229">
        <v>1.1019000000000001</v>
      </c>
      <c r="AV198" s="230">
        <v>2615250</v>
      </c>
      <c r="AW198" s="230">
        <v>1290300</v>
      </c>
      <c r="AX198" s="230">
        <v>1324950</v>
      </c>
      <c r="AY198" s="229">
        <v>1.0268999999999999</v>
      </c>
      <c r="AZ198" s="230">
        <v>505450</v>
      </c>
      <c r="BA198" s="230">
        <v>197450</v>
      </c>
      <c r="BB198" s="230">
        <v>308000</v>
      </c>
      <c r="BC198" s="229">
        <v>1.5599000000000001</v>
      </c>
      <c r="BD198" s="230">
        <v>22550</v>
      </c>
      <c r="BE198" s="230">
        <v>7700</v>
      </c>
      <c r="BF198" s="230">
        <v>14850</v>
      </c>
      <c r="BG198" s="229">
        <v>1.9286000000000001</v>
      </c>
      <c r="BH198" s="230">
        <v>15787750</v>
      </c>
      <c r="BI198" s="230">
        <v>6400900</v>
      </c>
      <c r="BJ198" s="230">
        <v>9386850</v>
      </c>
      <c r="BK198" s="229">
        <v>1.4664999999999999</v>
      </c>
      <c r="BL198" s="230">
        <v>4208600</v>
      </c>
      <c r="BM198" s="230">
        <v>2909500</v>
      </c>
      <c r="BN198" s="230">
        <v>1299100</v>
      </c>
      <c r="BO198" s="229">
        <v>0.44650000000000001</v>
      </c>
      <c r="BP198" s="230">
        <v>23139600</v>
      </c>
      <c r="BQ198" s="230">
        <v>10805850</v>
      </c>
      <c r="BR198" s="230">
        <v>12333750</v>
      </c>
      <c r="BS198" s="229">
        <v>1.1414</v>
      </c>
      <c r="BT198" s="230">
        <v>918487</v>
      </c>
      <c r="BU198" s="230">
        <v>723408</v>
      </c>
      <c r="BV198" s="230">
        <v>195079</v>
      </c>
      <c r="BW198" s="229">
        <v>0.2697</v>
      </c>
      <c r="BX198" s="230">
        <v>14294500</v>
      </c>
      <c r="BY198" s="230">
        <v>14769150</v>
      </c>
      <c r="BZ198" s="230">
        <v>-474650</v>
      </c>
      <c r="CA198" s="229">
        <v>-3.2099999999999997E-2</v>
      </c>
      <c r="CB198" s="230">
        <v>13726350</v>
      </c>
      <c r="CC198" s="230">
        <v>14347300</v>
      </c>
      <c r="CD198" s="230">
        <v>-620950</v>
      </c>
      <c r="CE198" s="229">
        <v>-4.3299999999999998E-2</v>
      </c>
      <c r="CF198" s="230">
        <v>543950</v>
      </c>
      <c r="CG198" s="230">
        <v>404800</v>
      </c>
      <c r="CH198" s="230">
        <v>139150</v>
      </c>
      <c r="CI198" s="229">
        <v>0.34379999999999999</v>
      </c>
      <c r="CJ198" s="230">
        <v>24200</v>
      </c>
      <c r="CK198" s="230">
        <v>17050</v>
      </c>
      <c r="CL198" s="230">
        <v>7150</v>
      </c>
      <c r="CM198" s="229">
        <v>0.4194</v>
      </c>
      <c r="CN198" s="230">
        <v>3912150</v>
      </c>
      <c r="CO198" s="230">
        <v>3758700</v>
      </c>
      <c r="CP198" s="230">
        <v>153450</v>
      </c>
      <c r="CQ198" s="229">
        <v>4.0800000000000003E-2</v>
      </c>
      <c r="CR198" s="230">
        <v>2868250</v>
      </c>
      <c r="CS198" s="230">
        <v>2558600</v>
      </c>
      <c r="CT198" s="230">
        <v>309650</v>
      </c>
      <c r="CU198" s="229">
        <v>0.121</v>
      </c>
      <c r="CV198" s="230">
        <v>21074900</v>
      </c>
      <c r="CW198" s="230">
        <v>21086450</v>
      </c>
      <c r="CX198" s="230">
        <v>-11550</v>
      </c>
      <c r="CY198" s="229">
        <v>-5.0000000000000001E-4</v>
      </c>
      <c r="CZ198" s="228">
        <v>21.78</v>
      </c>
      <c r="DA198" s="228">
        <v>20.56</v>
      </c>
      <c r="DB198" s="228">
        <v>1.22</v>
      </c>
      <c r="DC198" s="228">
        <v>1.22</v>
      </c>
      <c r="DD198" s="228">
        <v>27.54</v>
      </c>
      <c r="DE198" s="228">
        <v>27.51</v>
      </c>
      <c r="DF198" s="228">
        <v>-5.76</v>
      </c>
      <c r="DG198" s="228">
        <v>0.03</v>
      </c>
      <c r="DH198" s="228">
        <v>21.73</v>
      </c>
      <c r="DI198" s="228">
        <v>20.18</v>
      </c>
      <c r="DJ198" s="228">
        <v>1.55</v>
      </c>
      <c r="DK198" s="228">
        <v>1.55</v>
      </c>
      <c r="DL198" s="228">
        <v>21.96</v>
      </c>
      <c r="DM198" s="228">
        <v>21.39</v>
      </c>
      <c r="DN198" s="228">
        <v>0.56999999999999995</v>
      </c>
      <c r="DO198" s="228">
        <v>0.56999999999999995</v>
      </c>
      <c r="DP198" s="228">
        <v>0.73</v>
      </c>
      <c r="DQ198" s="228">
        <v>0.68</v>
      </c>
      <c r="DR198" s="228">
        <v>0.05</v>
      </c>
      <c r="DS198" s="229">
        <v>7.3499999999999996E-2</v>
      </c>
      <c r="DT198" s="231">
        <v>1100</v>
      </c>
      <c r="DU198" s="231">
        <v>1050</v>
      </c>
      <c r="DV198" s="228">
        <v>0.27</v>
      </c>
      <c r="DW198" s="228">
        <v>0.45</v>
      </c>
      <c r="DX198" s="228">
        <v>-0.18</v>
      </c>
      <c r="DY198" s="229">
        <v>-0.4</v>
      </c>
      <c r="DZ198" s="229">
        <v>3.9699999999999999E-2</v>
      </c>
      <c r="EA198" s="230">
        <v>421850</v>
      </c>
      <c r="EB198" s="229">
        <v>5.3E-3</v>
      </c>
      <c r="EC198" s="229">
        <v>3.9699999999999999E-2</v>
      </c>
      <c r="ED198" s="228">
        <v>5.91</v>
      </c>
      <c r="EE198" s="229">
        <v>5.4000000000000003E-3</v>
      </c>
      <c r="EF198" s="230">
        <v>429736</v>
      </c>
      <c r="EG198" s="230">
        <v>344080</v>
      </c>
      <c r="EH198" s="229">
        <v>0.24890000000000001</v>
      </c>
      <c r="EI198" s="229">
        <v>0.46789999999999998</v>
      </c>
      <c r="EJ198" s="231">
        <v>176972.02</v>
      </c>
      <c r="EK198" s="231">
        <v>45401.5</v>
      </c>
      <c r="EL198" s="231">
        <v>34516.36</v>
      </c>
      <c r="EM198" s="228">
        <v>0</v>
      </c>
      <c r="EN198" s="231">
        <v>256889.88</v>
      </c>
      <c r="EO198" s="231">
        <v>117653.65</v>
      </c>
      <c r="EP198" s="231">
        <v>139236.23000000001</v>
      </c>
      <c r="EQ198" s="229">
        <v>1.1834</v>
      </c>
      <c r="ER198" s="231">
        <v>44286</v>
      </c>
      <c r="ES198" s="231">
        <v>29749</v>
      </c>
      <c r="ET198" s="231">
        <v>158104</v>
      </c>
      <c r="EU198" s="231">
        <v>130943056</v>
      </c>
      <c r="EV198" s="231">
        <v>232139</v>
      </c>
      <c r="EW198" s="231">
        <v>229661</v>
      </c>
      <c r="EX198" s="231">
        <v>2478</v>
      </c>
      <c r="EY198" s="229">
        <v>1.0800000000000001E-2</v>
      </c>
      <c r="EZ198" s="229">
        <v>0.16089999999999999</v>
      </c>
      <c r="FA198" s="227" t="s">
        <v>556</v>
      </c>
      <c r="FB198" s="161">
        <f t="shared" si="5"/>
        <v>0</v>
      </c>
    </row>
    <row r="199" spans="1:158" ht="17.25" thickBot="1" x14ac:dyDescent="0.3">
      <c r="A199" s="226">
        <v>45889</v>
      </c>
      <c r="B199" s="227" t="s">
        <v>221</v>
      </c>
      <c r="C199" s="227" t="s">
        <v>605</v>
      </c>
      <c r="D199" s="228">
        <v>100</v>
      </c>
      <c r="E199" s="231">
        <v>5745</v>
      </c>
      <c r="F199" s="231">
        <v>5734</v>
      </c>
      <c r="G199" s="228">
        <v>11</v>
      </c>
      <c r="H199" s="229">
        <v>1.9E-3</v>
      </c>
      <c r="I199" s="231">
        <v>5745.5</v>
      </c>
      <c r="J199" s="231">
        <v>5726.5</v>
      </c>
      <c r="K199" s="228">
        <v>19</v>
      </c>
      <c r="L199" s="229">
        <v>3.3E-3</v>
      </c>
      <c r="M199" s="231">
        <v>5745</v>
      </c>
      <c r="N199" s="231">
        <v>5734</v>
      </c>
      <c r="O199" s="228">
        <v>11</v>
      </c>
      <c r="P199" s="229">
        <v>1.9E-3</v>
      </c>
      <c r="Q199" s="231">
        <v>5726.5</v>
      </c>
      <c r="R199" s="231">
        <v>5713</v>
      </c>
      <c r="S199" s="228">
        <v>13.5</v>
      </c>
      <c r="T199" s="229">
        <v>2.3999999999999998E-3</v>
      </c>
      <c r="U199" s="231">
        <v>5721</v>
      </c>
      <c r="V199" s="231">
        <v>5697.5</v>
      </c>
      <c r="W199" s="228">
        <v>23.5</v>
      </c>
      <c r="X199" s="229">
        <v>4.1000000000000003E-3</v>
      </c>
      <c r="Y199" s="228">
        <v>-0.5</v>
      </c>
      <c r="Z199" s="228">
        <v>7.5</v>
      </c>
      <c r="AA199" s="228">
        <v>-8</v>
      </c>
      <c r="AB199" s="229">
        <v>-1E-4</v>
      </c>
      <c r="AC199" s="228">
        <v>-0.5</v>
      </c>
      <c r="AD199" s="228">
        <v>7.5</v>
      </c>
      <c r="AE199" s="228">
        <v>-8</v>
      </c>
      <c r="AF199" s="229">
        <v>-1E-4</v>
      </c>
      <c r="AG199" s="228">
        <v>-19</v>
      </c>
      <c r="AH199" s="228">
        <v>-13.5</v>
      </c>
      <c r="AI199" s="228">
        <v>-5.5</v>
      </c>
      <c r="AJ199" s="229">
        <v>-3.3E-3</v>
      </c>
      <c r="AK199" s="228">
        <v>-24.5</v>
      </c>
      <c r="AL199" s="228">
        <v>-29</v>
      </c>
      <c r="AM199" s="228">
        <v>4.5</v>
      </c>
      <c r="AN199" s="229">
        <v>-4.3E-3</v>
      </c>
      <c r="AO199" s="231">
        <v>5759.84</v>
      </c>
      <c r="AP199" s="231">
        <v>5741.4</v>
      </c>
      <c r="AQ199" s="228">
        <v>0</v>
      </c>
      <c r="AR199" s="230">
        <v>362100</v>
      </c>
      <c r="AS199" s="230">
        <v>216200</v>
      </c>
      <c r="AT199" s="230">
        <v>145900</v>
      </c>
      <c r="AU199" s="229">
        <v>0.67479999999999996</v>
      </c>
      <c r="AV199" s="230">
        <v>244400</v>
      </c>
      <c r="AW199" s="230">
        <v>158000</v>
      </c>
      <c r="AX199" s="230">
        <v>86400</v>
      </c>
      <c r="AY199" s="229">
        <v>0.54679999999999995</v>
      </c>
      <c r="AZ199" s="230">
        <v>109400</v>
      </c>
      <c r="BA199" s="230">
        <v>53200</v>
      </c>
      <c r="BB199" s="230">
        <v>56200</v>
      </c>
      <c r="BC199" s="229">
        <v>1.0564</v>
      </c>
      <c r="BD199" s="230">
        <v>8300</v>
      </c>
      <c r="BE199" s="230">
        <v>5000</v>
      </c>
      <c r="BF199" s="230">
        <v>3300</v>
      </c>
      <c r="BG199" s="229">
        <v>0.66</v>
      </c>
      <c r="BH199" s="230">
        <v>898000</v>
      </c>
      <c r="BI199" s="230">
        <v>574000</v>
      </c>
      <c r="BJ199" s="230">
        <v>324000</v>
      </c>
      <c r="BK199" s="229">
        <v>0.5645</v>
      </c>
      <c r="BL199" s="230">
        <v>266500</v>
      </c>
      <c r="BM199" s="230">
        <v>188600</v>
      </c>
      <c r="BN199" s="230">
        <v>77900</v>
      </c>
      <c r="BO199" s="229">
        <v>0.41299999999999998</v>
      </c>
      <c r="BP199" s="230">
        <v>1526600</v>
      </c>
      <c r="BQ199" s="230">
        <v>978800</v>
      </c>
      <c r="BR199" s="230">
        <v>547800</v>
      </c>
      <c r="BS199" s="229">
        <v>0.55969999999999998</v>
      </c>
      <c r="BT199" s="230">
        <v>142422</v>
      </c>
      <c r="BU199" s="230">
        <v>98672</v>
      </c>
      <c r="BV199" s="230">
        <v>43750</v>
      </c>
      <c r="BW199" s="229">
        <v>0.44340000000000002</v>
      </c>
      <c r="BX199" s="230">
        <v>2593900</v>
      </c>
      <c r="BY199" s="230">
        <v>2515200</v>
      </c>
      <c r="BZ199" s="230">
        <v>78700</v>
      </c>
      <c r="CA199" s="229">
        <v>3.1300000000000001E-2</v>
      </c>
      <c r="CB199" s="230">
        <v>2113900</v>
      </c>
      <c r="CC199" s="230">
        <v>2092000</v>
      </c>
      <c r="CD199" s="230">
        <v>21900</v>
      </c>
      <c r="CE199" s="229">
        <v>1.0500000000000001E-2</v>
      </c>
      <c r="CF199" s="230">
        <v>464000</v>
      </c>
      <c r="CG199" s="230">
        <v>411800</v>
      </c>
      <c r="CH199" s="230">
        <v>52200</v>
      </c>
      <c r="CI199" s="229">
        <v>0.1268</v>
      </c>
      <c r="CJ199" s="230">
        <v>16000</v>
      </c>
      <c r="CK199" s="230">
        <v>11400</v>
      </c>
      <c r="CL199" s="230">
        <v>4600</v>
      </c>
      <c r="CM199" s="229">
        <v>0.40350000000000003</v>
      </c>
      <c r="CN199" s="230">
        <v>543600</v>
      </c>
      <c r="CO199" s="230">
        <v>503700</v>
      </c>
      <c r="CP199" s="230">
        <v>39900</v>
      </c>
      <c r="CQ199" s="229">
        <v>7.9200000000000007E-2</v>
      </c>
      <c r="CR199" s="230">
        <v>287500</v>
      </c>
      <c r="CS199" s="230">
        <v>248700</v>
      </c>
      <c r="CT199" s="230">
        <v>38800</v>
      </c>
      <c r="CU199" s="229">
        <v>0.156</v>
      </c>
      <c r="CV199" s="230">
        <v>3425000</v>
      </c>
      <c r="CW199" s="230">
        <v>3267600</v>
      </c>
      <c r="CX199" s="230">
        <v>157400</v>
      </c>
      <c r="CY199" s="229">
        <v>4.82E-2</v>
      </c>
      <c r="CZ199" s="228">
        <v>30.15</v>
      </c>
      <c r="DA199" s="228">
        <v>30.1</v>
      </c>
      <c r="DB199" s="228">
        <v>0.05</v>
      </c>
      <c r="DC199" s="228">
        <v>0.05</v>
      </c>
      <c r="DD199" s="228">
        <v>37.619999999999997</v>
      </c>
      <c r="DE199" s="228">
        <v>37.72</v>
      </c>
      <c r="DF199" s="228">
        <v>-7.47</v>
      </c>
      <c r="DG199" s="228">
        <v>-0.1</v>
      </c>
      <c r="DH199" s="228">
        <v>30.53</v>
      </c>
      <c r="DI199" s="228">
        <v>30.51</v>
      </c>
      <c r="DJ199" s="228">
        <v>0.02</v>
      </c>
      <c r="DK199" s="228">
        <v>0.02</v>
      </c>
      <c r="DL199" s="228">
        <v>28.89</v>
      </c>
      <c r="DM199" s="228">
        <v>28.85</v>
      </c>
      <c r="DN199" s="228">
        <v>0.04</v>
      </c>
      <c r="DO199" s="228">
        <v>0.04</v>
      </c>
      <c r="DP199" s="228">
        <v>0.53</v>
      </c>
      <c r="DQ199" s="228">
        <v>0.49</v>
      </c>
      <c r="DR199" s="228">
        <v>0.04</v>
      </c>
      <c r="DS199" s="229">
        <v>8.1600000000000006E-2</v>
      </c>
      <c r="DT199" s="231">
        <v>6500</v>
      </c>
      <c r="DU199" s="231">
        <v>5600</v>
      </c>
      <c r="DV199" s="228">
        <v>0.3</v>
      </c>
      <c r="DW199" s="228">
        <v>0.33</v>
      </c>
      <c r="DX199" s="228">
        <v>-0.03</v>
      </c>
      <c r="DY199" s="229">
        <v>-9.0899999999999995E-2</v>
      </c>
      <c r="DZ199" s="229">
        <v>0.185</v>
      </c>
      <c r="EA199" s="230">
        <v>423200</v>
      </c>
      <c r="EB199" s="229">
        <v>-3.2000000000000002E-3</v>
      </c>
      <c r="EC199" s="229">
        <v>0.185</v>
      </c>
      <c r="ED199" s="228">
        <v>-18.440000000000001</v>
      </c>
      <c r="EE199" s="229">
        <v>-3.2000000000000002E-3</v>
      </c>
      <c r="EF199" s="230">
        <v>32253</v>
      </c>
      <c r="EG199" s="230">
        <v>25357</v>
      </c>
      <c r="EH199" s="229">
        <v>0.27200000000000002</v>
      </c>
      <c r="EI199" s="229">
        <v>0.22650000000000001</v>
      </c>
      <c r="EJ199" s="231">
        <v>53766.39</v>
      </c>
      <c r="EK199" s="231">
        <v>15252.21</v>
      </c>
      <c r="EL199" s="231">
        <v>20833.37</v>
      </c>
      <c r="EM199" s="228">
        <v>0</v>
      </c>
      <c r="EN199" s="231">
        <v>89851.97</v>
      </c>
      <c r="EO199" s="231">
        <v>57149.83</v>
      </c>
      <c r="EP199" s="231">
        <v>32702.14</v>
      </c>
      <c r="EQ199" s="229">
        <v>0.57220000000000004</v>
      </c>
      <c r="ER199" s="231">
        <v>33558</v>
      </c>
      <c r="ES199" s="231">
        <v>16468</v>
      </c>
      <c r="ET199" s="231">
        <v>148930</v>
      </c>
      <c r="EU199" s="231">
        <v>6987155</v>
      </c>
      <c r="EV199" s="231">
        <v>198956</v>
      </c>
      <c r="EW199" s="231">
        <v>189533</v>
      </c>
      <c r="EX199" s="231">
        <v>9423</v>
      </c>
      <c r="EY199" s="229">
        <v>4.9700000000000001E-2</v>
      </c>
      <c r="EZ199" s="229">
        <v>0.49020000000000002</v>
      </c>
      <c r="FA199" s="227" t="s">
        <v>555</v>
      </c>
      <c r="FB199" s="161">
        <f t="shared" si="5"/>
        <v>0</v>
      </c>
    </row>
    <row r="200" spans="1:158" ht="17.25" thickBot="1" x14ac:dyDescent="0.3">
      <c r="A200" s="226">
        <v>45889</v>
      </c>
      <c r="B200" s="227" t="s">
        <v>162</v>
      </c>
      <c r="C200" s="227" t="s">
        <v>292</v>
      </c>
      <c r="D200" s="228">
        <v>800</v>
      </c>
      <c r="E200" s="228">
        <v>691.25</v>
      </c>
      <c r="F200" s="228">
        <v>702.35</v>
      </c>
      <c r="G200" s="228">
        <v>-11.1</v>
      </c>
      <c r="H200" s="229">
        <v>-1.5800000000000002E-2</v>
      </c>
      <c r="I200" s="228">
        <v>689.6</v>
      </c>
      <c r="J200" s="228">
        <v>700.25</v>
      </c>
      <c r="K200" s="228">
        <v>-10.65</v>
      </c>
      <c r="L200" s="229">
        <v>-1.52E-2</v>
      </c>
      <c r="M200" s="228">
        <v>691.25</v>
      </c>
      <c r="N200" s="228">
        <v>702.35</v>
      </c>
      <c r="O200" s="228">
        <v>-11.1</v>
      </c>
      <c r="P200" s="229">
        <v>-1.5800000000000002E-2</v>
      </c>
      <c r="Q200" s="228">
        <v>695.2</v>
      </c>
      <c r="R200" s="228">
        <v>706.25</v>
      </c>
      <c r="S200" s="228">
        <v>-11.05</v>
      </c>
      <c r="T200" s="229">
        <v>-1.5599999999999999E-2</v>
      </c>
      <c r="U200" s="228">
        <v>697.4</v>
      </c>
      <c r="V200" s="228">
        <v>707.6</v>
      </c>
      <c r="W200" s="228">
        <v>-10.199999999999999</v>
      </c>
      <c r="X200" s="229">
        <v>-1.44E-2</v>
      </c>
      <c r="Y200" s="228">
        <v>1.65</v>
      </c>
      <c r="Z200" s="228">
        <v>2.1</v>
      </c>
      <c r="AA200" s="228">
        <v>-0.45</v>
      </c>
      <c r="AB200" s="229">
        <v>2.3999999999999998E-3</v>
      </c>
      <c r="AC200" s="228">
        <v>1.65</v>
      </c>
      <c r="AD200" s="228">
        <v>2.1</v>
      </c>
      <c r="AE200" s="228">
        <v>-0.45</v>
      </c>
      <c r="AF200" s="229">
        <v>2.3999999999999998E-3</v>
      </c>
      <c r="AG200" s="228">
        <v>5.6</v>
      </c>
      <c r="AH200" s="228">
        <v>6</v>
      </c>
      <c r="AI200" s="228">
        <v>-0.4</v>
      </c>
      <c r="AJ200" s="229">
        <v>8.0999999999999996E-3</v>
      </c>
      <c r="AK200" s="228">
        <v>7.8</v>
      </c>
      <c r="AL200" s="228">
        <v>7.35</v>
      </c>
      <c r="AM200" s="228">
        <v>0.45</v>
      </c>
      <c r="AN200" s="229">
        <v>1.1299999999999999E-2</v>
      </c>
      <c r="AO200" s="228">
        <v>693.78</v>
      </c>
      <c r="AP200" s="228">
        <v>697.46</v>
      </c>
      <c r="AQ200" s="228">
        <v>0</v>
      </c>
      <c r="AR200" s="230">
        <v>14681600</v>
      </c>
      <c r="AS200" s="230">
        <v>28492800</v>
      </c>
      <c r="AT200" s="230">
        <v>-13811200</v>
      </c>
      <c r="AU200" s="229">
        <v>-0.48470000000000002</v>
      </c>
      <c r="AV200" s="230">
        <v>9716000</v>
      </c>
      <c r="AW200" s="230">
        <v>22548800</v>
      </c>
      <c r="AX200" s="230">
        <v>-12832800</v>
      </c>
      <c r="AY200" s="229">
        <v>-0.56910000000000005</v>
      </c>
      <c r="AZ200" s="230">
        <v>4505600</v>
      </c>
      <c r="BA200" s="230">
        <v>5386400</v>
      </c>
      <c r="BB200" s="230">
        <v>-880800</v>
      </c>
      <c r="BC200" s="229">
        <v>-0.16350000000000001</v>
      </c>
      <c r="BD200" s="230">
        <v>460000</v>
      </c>
      <c r="BE200" s="230">
        <v>557600</v>
      </c>
      <c r="BF200" s="230">
        <v>-97600</v>
      </c>
      <c r="BG200" s="229">
        <v>-0.17499999999999999</v>
      </c>
      <c r="BH200" s="230">
        <v>70941600</v>
      </c>
      <c r="BI200" s="230">
        <v>245083200</v>
      </c>
      <c r="BJ200" s="230">
        <v>-174141600</v>
      </c>
      <c r="BK200" s="229">
        <v>-0.71050000000000002</v>
      </c>
      <c r="BL200" s="230">
        <v>46572000</v>
      </c>
      <c r="BM200" s="230">
        <v>112747200</v>
      </c>
      <c r="BN200" s="230">
        <v>-66175200</v>
      </c>
      <c r="BO200" s="229">
        <v>-0.58689999999999998</v>
      </c>
      <c r="BP200" s="230">
        <v>132195200</v>
      </c>
      <c r="BQ200" s="230">
        <v>386323200</v>
      </c>
      <c r="BR200" s="230">
        <v>-254128000</v>
      </c>
      <c r="BS200" s="229">
        <v>-0.65780000000000005</v>
      </c>
      <c r="BT200" s="230">
        <v>10552827</v>
      </c>
      <c r="BU200" s="230">
        <v>21412632</v>
      </c>
      <c r="BV200" s="230">
        <v>-10859805</v>
      </c>
      <c r="BW200" s="229">
        <v>-0.50719999999999998</v>
      </c>
      <c r="BX200" s="230">
        <v>81580000</v>
      </c>
      <c r="BY200" s="230">
        <v>80373600</v>
      </c>
      <c r="BZ200" s="230">
        <v>1206400</v>
      </c>
      <c r="CA200" s="229">
        <v>1.4999999999999999E-2</v>
      </c>
      <c r="CB200" s="230">
        <v>69048000</v>
      </c>
      <c r="CC200" s="230">
        <v>70764800</v>
      </c>
      <c r="CD200" s="230">
        <v>-1716800</v>
      </c>
      <c r="CE200" s="229">
        <v>-2.4299999999999999E-2</v>
      </c>
      <c r="CF200" s="230">
        <v>11571200</v>
      </c>
      <c r="CG200" s="230">
        <v>8845600</v>
      </c>
      <c r="CH200" s="230">
        <v>2725600</v>
      </c>
      <c r="CI200" s="229">
        <v>0.30809999999999998</v>
      </c>
      <c r="CJ200" s="230">
        <v>960800</v>
      </c>
      <c r="CK200" s="230">
        <v>763200</v>
      </c>
      <c r="CL200" s="230">
        <v>197600</v>
      </c>
      <c r="CM200" s="229">
        <v>0.25890000000000002</v>
      </c>
      <c r="CN200" s="230">
        <v>44988000</v>
      </c>
      <c r="CO200" s="230">
        <v>41160000</v>
      </c>
      <c r="CP200" s="230">
        <v>3828000</v>
      </c>
      <c r="CQ200" s="229">
        <v>9.2999999999999999E-2</v>
      </c>
      <c r="CR200" s="230">
        <v>36494400</v>
      </c>
      <c r="CS200" s="230">
        <v>39915200</v>
      </c>
      <c r="CT200" s="230">
        <v>-3420800</v>
      </c>
      <c r="CU200" s="229">
        <v>-8.5699999999999998E-2</v>
      </c>
      <c r="CV200" s="230">
        <v>163062400</v>
      </c>
      <c r="CW200" s="230">
        <v>161448800</v>
      </c>
      <c r="CX200" s="230">
        <v>1613600</v>
      </c>
      <c r="CY200" s="229">
        <v>0.01</v>
      </c>
      <c r="CZ200" s="228">
        <v>28.75</v>
      </c>
      <c r="DA200" s="228">
        <v>29.62</v>
      </c>
      <c r="DB200" s="228">
        <v>-0.87</v>
      </c>
      <c r="DC200" s="228">
        <v>-0.87</v>
      </c>
      <c r="DD200" s="228">
        <v>36.42</v>
      </c>
      <c r="DE200" s="228">
        <v>36.44</v>
      </c>
      <c r="DF200" s="228">
        <v>-7.67</v>
      </c>
      <c r="DG200" s="228">
        <v>-0.02</v>
      </c>
      <c r="DH200" s="228">
        <v>28.71</v>
      </c>
      <c r="DI200" s="228">
        <v>28.36</v>
      </c>
      <c r="DJ200" s="228">
        <v>0.35</v>
      </c>
      <c r="DK200" s="228">
        <v>0.35</v>
      </c>
      <c r="DL200" s="228">
        <v>28.81</v>
      </c>
      <c r="DM200" s="228">
        <v>32.35</v>
      </c>
      <c r="DN200" s="228">
        <v>-3.54</v>
      </c>
      <c r="DO200" s="228">
        <v>-3.54</v>
      </c>
      <c r="DP200" s="228">
        <v>0.81</v>
      </c>
      <c r="DQ200" s="228">
        <v>0.97</v>
      </c>
      <c r="DR200" s="228">
        <v>-0.16</v>
      </c>
      <c r="DS200" s="229">
        <v>-0.16489999999999999</v>
      </c>
      <c r="DT200" s="228">
        <v>700</v>
      </c>
      <c r="DU200" s="228">
        <v>700</v>
      </c>
      <c r="DV200" s="228">
        <v>0.66</v>
      </c>
      <c r="DW200" s="228">
        <v>0.46</v>
      </c>
      <c r="DX200" s="228">
        <v>0.2</v>
      </c>
      <c r="DY200" s="229">
        <v>0.43480000000000002</v>
      </c>
      <c r="DZ200" s="229">
        <v>0.15359999999999999</v>
      </c>
      <c r="EA200" s="230">
        <v>9608800</v>
      </c>
      <c r="EB200" s="229">
        <v>5.7000000000000002E-3</v>
      </c>
      <c r="EC200" s="229">
        <v>0.15359999999999999</v>
      </c>
      <c r="ED200" s="228">
        <v>3.68</v>
      </c>
      <c r="EE200" s="229">
        <v>5.3E-3</v>
      </c>
      <c r="EF200" s="230">
        <v>5530415</v>
      </c>
      <c r="EG200" s="230">
        <v>7138374</v>
      </c>
      <c r="EH200" s="229">
        <v>-0.2253</v>
      </c>
      <c r="EI200" s="229">
        <v>0.52410000000000001</v>
      </c>
      <c r="EJ200" s="231">
        <v>514695.63</v>
      </c>
      <c r="EK200" s="231">
        <v>318879.65000000002</v>
      </c>
      <c r="EL200" s="231">
        <v>102050.43</v>
      </c>
      <c r="EM200" s="228">
        <v>0</v>
      </c>
      <c r="EN200" s="231">
        <v>935625.71</v>
      </c>
      <c r="EO200" s="231">
        <v>2736075.95</v>
      </c>
      <c r="EP200" s="231">
        <v>-1800450.24</v>
      </c>
      <c r="EQ200" s="229">
        <v>-0.65800000000000003</v>
      </c>
      <c r="ER200" s="231">
        <v>323280</v>
      </c>
      <c r="ES200" s="231">
        <v>242026</v>
      </c>
      <c r="ET200" s="231">
        <v>564438</v>
      </c>
      <c r="EU200" s="231">
        <v>422818502</v>
      </c>
      <c r="EV200" s="231">
        <v>1129743</v>
      </c>
      <c r="EW200" s="231">
        <v>1125845</v>
      </c>
      <c r="EX200" s="231">
        <v>3898</v>
      </c>
      <c r="EY200" s="229">
        <v>3.5000000000000001E-3</v>
      </c>
      <c r="EZ200" s="229">
        <v>0.38569999999999999</v>
      </c>
      <c r="FA200" s="227" t="s">
        <v>567</v>
      </c>
      <c r="FB200" s="161">
        <f t="shared" si="5"/>
        <v>0</v>
      </c>
    </row>
    <row r="201" spans="1:158" ht="17.25" thickBot="1" x14ac:dyDescent="0.3">
      <c r="A201" s="226">
        <v>45889</v>
      </c>
      <c r="B201" s="227" t="s">
        <v>161</v>
      </c>
      <c r="C201" s="227" t="s">
        <v>293</v>
      </c>
      <c r="D201" s="228">
        <v>1450</v>
      </c>
      <c r="E201" s="228">
        <v>391.5</v>
      </c>
      <c r="F201" s="228">
        <v>389.95</v>
      </c>
      <c r="G201" s="228">
        <v>1.55</v>
      </c>
      <c r="H201" s="229">
        <v>4.0000000000000001E-3</v>
      </c>
      <c r="I201" s="228">
        <v>390.55</v>
      </c>
      <c r="J201" s="228">
        <v>389.15</v>
      </c>
      <c r="K201" s="228">
        <v>1.4</v>
      </c>
      <c r="L201" s="229">
        <v>3.5999999999999999E-3</v>
      </c>
      <c r="M201" s="228">
        <v>391.5</v>
      </c>
      <c r="N201" s="228">
        <v>389.95</v>
      </c>
      <c r="O201" s="228">
        <v>1.55</v>
      </c>
      <c r="P201" s="229">
        <v>4.0000000000000001E-3</v>
      </c>
      <c r="Q201" s="228">
        <v>393.75</v>
      </c>
      <c r="R201" s="228">
        <v>392.2</v>
      </c>
      <c r="S201" s="228">
        <v>1.55</v>
      </c>
      <c r="T201" s="229">
        <v>4.0000000000000001E-3</v>
      </c>
      <c r="U201" s="228">
        <v>395.7</v>
      </c>
      <c r="V201" s="228">
        <v>394.2</v>
      </c>
      <c r="W201" s="228">
        <v>1.5</v>
      </c>
      <c r="X201" s="229">
        <v>3.8E-3</v>
      </c>
      <c r="Y201" s="228">
        <v>0.95</v>
      </c>
      <c r="Z201" s="228">
        <v>0.8</v>
      </c>
      <c r="AA201" s="228">
        <v>0.15</v>
      </c>
      <c r="AB201" s="229">
        <v>2.3999999999999998E-3</v>
      </c>
      <c r="AC201" s="228">
        <v>0.95</v>
      </c>
      <c r="AD201" s="228">
        <v>0.8</v>
      </c>
      <c r="AE201" s="228">
        <v>0.15</v>
      </c>
      <c r="AF201" s="229">
        <v>2.3999999999999998E-3</v>
      </c>
      <c r="AG201" s="228">
        <v>3.2</v>
      </c>
      <c r="AH201" s="228">
        <v>3.05</v>
      </c>
      <c r="AI201" s="228">
        <v>0.15</v>
      </c>
      <c r="AJ201" s="229">
        <v>8.2000000000000007E-3</v>
      </c>
      <c r="AK201" s="228">
        <v>5.15</v>
      </c>
      <c r="AL201" s="228">
        <v>5.05</v>
      </c>
      <c r="AM201" s="228">
        <v>0.1</v>
      </c>
      <c r="AN201" s="229">
        <v>1.32E-2</v>
      </c>
      <c r="AO201" s="228">
        <v>391.64</v>
      </c>
      <c r="AP201" s="228">
        <v>393.91</v>
      </c>
      <c r="AQ201" s="228">
        <v>0</v>
      </c>
      <c r="AR201" s="230">
        <v>7706750</v>
      </c>
      <c r="AS201" s="230">
        <v>5829000</v>
      </c>
      <c r="AT201" s="230">
        <v>1877750</v>
      </c>
      <c r="AU201" s="229">
        <v>0.3221</v>
      </c>
      <c r="AV201" s="230">
        <v>5627450</v>
      </c>
      <c r="AW201" s="230">
        <v>4654500</v>
      </c>
      <c r="AX201" s="230">
        <v>972950</v>
      </c>
      <c r="AY201" s="229">
        <v>0.20899999999999999</v>
      </c>
      <c r="AZ201" s="230">
        <v>2002450</v>
      </c>
      <c r="BA201" s="230">
        <v>1090400</v>
      </c>
      <c r="BB201" s="230">
        <v>912050</v>
      </c>
      <c r="BC201" s="229">
        <v>0.83640000000000003</v>
      </c>
      <c r="BD201" s="230">
        <v>76850</v>
      </c>
      <c r="BE201" s="230">
        <v>84100</v>
      </c>
      <c r="BF201" s="230">
        <v>-7250</v>
      </c>
      <c r="BG201" s="229">
        <v>-8.6199999999999999E-2</v>
      </c>
      <c r="BH201" s="230">
        <v>28952150</v>
      </c>
      <c r="BI201" s="230">
        <v>20633500</v>
      </c>
      <c r="BJ201" s="230">
        <v>8318650</v>
      </c>
      <c r="BK201" s="229">
        <v>0.4032</v>
      </c>
      <c r="BL201" s="230">
        <v>15773100</v>
      </c>
      <c r="BM201" s="230">
        <v>14176650</v>
      </c>
      <c r="BN201" s="230">
        <v>1596450</v>
      </c>
      <c r="BO201" s="229">
        <v>0.11260000000000001</v>
      </c>
      <c r="BP201" s="230">
        <v>52432000</v>
      </c>
      <c r="BQ201" s="230">
        <v>40639150</v>
      </c>
      <c r="BR201" s="230">
        <v>11792850</v>
      </c>
      <c r="BS201" s="229">
        <v>0.29020000000000001</v>
      </c>
      <c r="BT201" s="230">
        <v>3181720</v>
      </c>
      <c r="BU201" s="230">
        <v>2158880</v>
      </c>
      <c r="BV201" s="230">
        <v>1022840</v>
      </c>
      <c r="BW201" s="229">
        <v>0.4738</v>
      </c>
      <c r="BX201" s="230">
        <v>71879400</v>
      </c>
      <c r="BY201" s="230">
        <v>72283950</v>
      </c>
      <c r="BZ201" s="230">
        <v>-404550</v>
      </c>
      <c r="CA201" s="229">
        <v>-5.5999999999999999E-3</v>
      </c>
      <c r="CB201" s="230">
        <v>67314800</v>
      </c>
      <c r="CC201" s="230">
        <v>69018550</v>
      </c>
      <c r="CD201" s="230">
        <v>-1703750</v>
      </c>
      <c r="CE201" s="229">
        <v>-2.47E-2</v>
      </c>
      <c r="CF201" s="230">
        <v>4157150</v>
      </c>
      <c r="CG201" s="230">
        <v>2894200</v>
      </c>
      <c r="CH201" s="230">
        <v>1262950</v>
      </c>
      <c r="CI201" s="229">
        <v>0.43640000000000001</v>
      </c>
      <c r="CJ201" s="230">
        <v>407450</v>
      </c>
      <c r="CK201" s="230">
        <v>371200</v>
      </c>
      <c r="CL201" s="230">
        <v>36250</v>
      </c>
      <c r="CM201" s="229">
        <v>9.7699999999999995E-2</v>
      </c>
      <c r="CN201" s="230">
        <v>32400250</v>
      </c>
      <c r="CO201" s="230">
        <v>31659300</v>
      </c>
      <c r="CP201" s="230">
        <v>740950</v>
      </c>
      <c r="CQ201" s="229">
        <v>2.3400000000000001E-2</v>
      </c>
      <c r="CR201" s="230">
        <v>23645150</v>
      </c>
      <c r="CS201" s="230">
        <v>23469700</v>
      </c>
      <c r="CT201" s="230">
        <v>175450</v>
      </c>
      <c r="CU201" s="229">
        <v>7.4999999999999997E-3</v>
      </c>
      <c r="CV201" s="230">
        <v>127924800</v>
      </c>
      <c r="CW201" s="230">
        <v>127412950</v>
      </c>
      <c r="CX201" s="230">
        <v>511850</v>
      </c>
      <c r="CY201" s="229">
        <v>4.0000000000000001E-3</v>
      </c>
      <c r="CZ201" s="228">
        <v>23.15</v>
      </c>
      <c r="DA201" s="228">
        <v>24</v>
      </c>
      <c r="DB201" s="228">
        <v>-0.85</v>
      </c>
      <c r="DC201" s="228">
        <v>-0.85</v>
      </c>
      <c r="DD201" s="228">
        <v>35.56</v>
      </c>
      <c r="DE201" s="228">
        <v>35.65</v>
      </c>
      <c r="DF201" s="228">
        <v>-12.41</v>
      </c>
      <c r="DG201" s="228">
        <v>-0.09</v>
      </c>
      <c r="DH201" s="228">
        <v>22.87</v>
      </c>
      <c r="DI201" s="228">
        <v>23.77</v>
      </c>
      <c r="DJ201" s="228">
        <v>-0.9</v>
      </c>
      <c r="DK201" s="228">
        <v>-0.9</v>
      </c>
      <c r="DL201" s="228">
        <v>23.68</v>
      </c>
      <c r="DM201" s="228">
        <v>24.34</v>
      </c>
      <c r="DN201" s="228">
        <v>-0.66</v>
      </c>
      <c r="DO201" s="228">
        <v>-0.66</v>
      </c>
      <c r="DP201" s="228">
        <v>0.73</v>
      </c>
      <c r="DQ201" s="228">
        <v>0.74</v>
      </c>
      <c r="DR201" s="228">
        <v>-0.01</v>
      </c>
      <c r="DS201" s="229">
        <v>-1.35E-2</v>
      </c>
      <c r="DT201" s="228">
        <v>400</v>
      </c>
      <c r="DU201" s="228">
        <v>400</v>
      </c>
      <c r="DV201" s="228">
        <v>0.54</v>
      </c>
      <c r="DW201" s="228">
        <v>0.69</v>
      </c>
      <c r="DX201" s="228">
        <v>-0.15</v>
      </c>
      <c r="DY201" s="229">
        <v>-0.21740000000000001</v>
      </c>
      <c r="DZ201" s="229">
        <v>6.3500000000000001E-2</v>
      </c>
      <c r="EA201" s="230">
        <v>3265400</v>
      </c>
      <c r="EB201" s="229">
        <v>5.7000000000000002E-3</v>
      </c>
      <c r="EC201" s="229">
        <v>6.3500000000000001E-2</v>
      </c>
      <c r="ED201" s="228">
        <v>2.27</v>
      </c>
      <c r="EE201" s="229">
        <v>5.7999999999999996E-3</v>
      </c>
      <c r="EF201" s="230">
        <v>1398369</v>
      </c>
      <c r="EG201" s="230">
        <v>746973</v>
      </c>
      <c r="EH201" s="229">
        <v>0.872</v>
      </c>
      <c r="EI201" s="229">
        <v>0.4395</v>
      </c>
      <c r="EJ201" s="231">
        <v>116235.71</v>
      </c>
      <c r="EK201" s="231">
        <v>61215.54</v>
      </c>
      <c r="EL201" s="231">
        <v>30231.62</v>
      </c>
      <c r="EM201" s="228">
        <v>0</v>
      </c>
      <c r="EN201" s="231">
        <v>207682.87</v>
      </c>
      <c r="EO201" s="231">
        <v>159911.72</v>
      </c>
      <c r="EP201" s="231">
        <v>47771.15</v>
      </c>
      <c r="EQ201" s="229">
        <v>0.29870000000000002</v>
      </c>
      <c r="ER201" s="231">
        <v>132717</v>
      </c>
      <c r="ES201" s="231">
        <v>92413</v>
      </c>
      <c r="ET201" s="231">
        <v>281518</v>
      </c>
      <c r="EU201" s="231">
        <v>339616396</v>
      </c>
      <c r="EV201" s="231">
        <v>506649</v>
      </c>
      <c r="EW201" s="231">
        <v>503171</v>
      </c>
      <c r="EX201" s="231">
        <v>3478</v>
      </c>
      <c r="EY201" s="229">
        <v>6.8999999999999999E-3</v>
      </c>
      <c r="EZ201" s="229">
        <v>0.37669999999999998</v>
      </c>
      <c r="FA201" s="227" t="s">
        <v>556</v>
      </c>
      <c r="FB201" s="161">
        <f t="shared" si="5"/>
        <v>0</v>
      </c>
    </row>
    <row r="202" spans="1:158" ht="17.25" thickBot="1" x14ac:dyDescent="0.3">
      <c r="A202" s="226">
        <v>45889</v>
      </c>
      <c r="B202" s="227" t="s">
        <v>227</v>
      </c>
      <c r="C202" s="227" t="s">
        <v>294</v>
      </c>
      <c r="D202" s="228">
        <v>5500</v>
      </c>
      <c r="E202" s="228">
        <v>162.43</v>
      </c>
      <c r="F202" s="228">
        <v>159.43</v>
      </c>
      <c r="G202" s="228">
        <v>3</v>
      </c>
      <c r="H202" s="229">
        <v>1.8800000000000001E-2</v>
      </c>
      <c r="I202" s="228">
        <v>161.91999999999999</v>
      </c>
      <c r="J202" s="228">
        <v>159.22999999999999</v>
      </c>
      <c r="K202" s="228">
        <v>2.69</v>
      </c>
      <c r="L202" s="229">
        <v>1.6899999999999998E-2</v>
      </c>
      <c r="M202" s="228">
        <v>162.43</v>
      </c>
      <c r="N202" s="228">
        <v>159.43</v>
      </c>
      <c r="O202" s="228">
        <v>3</v>
      </c>
      <c r="P202" s="229">
        <v>1.8800000000000001E-2</v>
      </c>
      <c r="Q202" s="228">
        <v>163.27000000000001</v>
      </c>
      <c r="R202" s="228">
        <v>160.32</v>
      </c>
      <c r="S202" s="228">
        <v>2.95</v>
      </c>
      <c r="T202" s="229">
        <v>1.84E-2</v>
      </c>
      <c r="U202" s="228">
        <v>164.09</v>
      </c>
      <c r="V202" s="228">
        <v>161.13</v>
      </c>
      <c r="W202" s="228">
        <v>2.96</v>
      </c>
      <c r="X202" s="229">
        <v>1.84E-2</v>
      </c>
      <c r="Y202" s="228">
        <v>0.51</v>
      </c>
      <c r="Z202" s="228">
        <v>0.2</v>
      </c>
      <c r="AA202" s="228">
        <v>0.31</v>
      </c>
      <c r="AB202" s="229">
        <v>3.0999999999999999E-3</v>
      </c>
      <c r="AC202" s="228">
        <v>0.51</v>
      </c>
      <c r="AD202" s="228">
        <v>0.2</v>
      </c>
      <c r="AE202" s="228">
        <v>0.31</v>
      </c>
      <c r="AF202" s="229">
        <v>3.0999999999999999E-3</v>
      </c>
      <c r="AG202" s="228">
        <v>1.35</v>
      </c>
      <c r="AH202" s="228">
        <v>1.0900000000000001</v>
      </c>
      <c r="AI202" s="228">
        <v>0.26</v>
      </c>
      <c r="AJ202" s="229">
        <v>8.3000000000000001E-3</v>
      </c>
      <c r="AK202" s="228">
        <v>2.17</v>
      </c>
      <c r="AL202" s="228">
        <v>1.9</v>
      </c>
      <c r="AM202" s="228">
        <v>0.27</v>
      </c>
      <c r="AN202" s="229">
        <v>1.34E-2</v>
      </c>
      <c r="AO202" s="228">
        <v>161.41</v>
      </c>
      <c r="AP202" s="228">
        <v>162.38</v>
      </c>
      <c r="AQ202" s="228">
        <v>0</v>
      </c>
      <c r="AR202" s="230">
        <v>61957500</v>
      </c>
      <c r="AS202" s="230">
        <v>29282000</v>
      </c>
      <c r="AT202" s="230">
        <v>32675500</v>
      </c>
      <c r="AU202" s="229">
        <v>1.1158999999999999</v>
      </c>
      <c r="AV202" s="230">
        <v>47822500</v>
      </c>
      <c r="AW202" s="230">
        <v>24766500</v>
      </c>
      <c r="AX202" s="230">
        <v>23056000</v>
      </c>
      <c r="AY202" s="229">
        <v>0.93089999999999995</v>
      </c>
      <c r="AZ202" s="230">
        <v>12864500</v>
      </c>
      <c r="BA202" s="230">
        <v>4070000</v>
      </c>
      <c r="BB202" s="230">
        <v>8794500</v>
      </c>
      <c r="BC202" s="229">
        <v>2.1608000000000001</v>
      </c>
      <c r="BD202" s="230">
        <v>1270500</v>
      </c>
      <c r="BE202" s="230">
        <v>445500</v>
      </c>
      <c r="BF202" s="230">
        <v>825000</v>
      </c>
      <c r="BG202" s="229">
        <v>1.8519000000000001</v>
      </c>
      <c r="BH202" s="230">
        <v>297968000</v>
      </c>
      <c r="BI202" s="230">
        <v>111364000</v>
      </c>
      <c r="BJ202" s="230">
        <v>186604000</v>
      </c>
      <c r="BK202" s="229">
        <v>1.6756</v>
      </c>
      <c r="BL202" s="230">
        <v>173178500</v>
      </c>
      <c r="BM202" s="230">
        <v>59796000</v>
      </c>
      <c r="BN202" s="230">
        <v>113382500</v>
      </c>
      <c r="BO202" s="229">
        <v>1.8962000000000001</v>
      </c>
      <c r="BP202" s="230">
        <v>533104000</v>
      </c>
      <c r="BQ202" s="230">
        <v>200442000</v>
      </c>
      <c r="BR202" s="230">
        <v>332662000</v>
      </c>
      <c r="BS202" s="229">
        <v>1.6596</v>
      </c>
      <c r="BT202" s="230">
        <v>29516252</v>
      </c>
      <c r="BU202" s="230">
        <v>21771659</v>
      </c>
      <c r="BV202" s="230">
        <v>7744593</v>
      </c>
      <c r="BW202" s="229">
        <v>0.35570000000000002</v>
      </c>
      <c r="BX202" s="230">
        <v>191746500</v>
      </c>
      <c r="BY202" s="230">
        <v>187687500</v>
      </c>
      <c r="BZ202" s="230">
        <v>4059000</v>
      </c>
      <c r="CA202" s="229">
        <v>2.1600000000000001E-2</v>
      </c>
      <c r="CB202" s="230">
        <v>168668500</v>
      </c>
      <c r="CC202" s="230">
        <v>169746500</v>
      </c>
      <c r="CD202" s="230">
        <v>-1078000</v>
      </c>
      <c r="CE202" s="229">
        <v>-6.4000000000000003E-3</v>
      </c>
      <c r="CF202" s="230">
        <v>18568000</v>
      </c>
      <c r="CG202" s="230">
        <v>13717000</v>
      </c>
      <c r="CH202" s="230">
        <v>4851000</v>
      </c>
      <c r="CI202" s="229">
        <v>0.35360000000000003</v>
      </c>
      <c r="CJ202" s="230">
        <v>4510000</v>
      </c>
      <c r="CK202" s="230">
        <v>4224000</v>
      </c>
      <c r="CL202" s="230">
        <v>286000</v>
      </c>
      <c r="CM202" s="229">
        <v>6.7699999999999996E-2</v>
      </c>
      <c r="CN202" s="230">
        <v>113690500</v>
      </c>
      <c r="CO202" s="230">
        <v>125471500</v>
      </c>
      <c r="CP202" s="230">
        <v>-11781000</v>
      </c>
      <c r="CQ202" s="229">
        <v>-9.3899999999999997E-2</v>
      </c>
      <c r="CR202" s="230">
        <v>72638500</v>
      </c>
      <c r="CS202" s="230">
        <v>67683000</v>
      </c>
      <c r="CT202" s="230">
        <v>4955500</v>
      </c>
      <c r="CU202" s="229">
        <v>7.3200000000000001E-2</v>
      </c>
      <c r="CV202" s="230">
        <v>378075500</v>
      </c>
      <c r="CW202" s="230">
        <v>380842000</v>
      </c>
      <c r="CX202" s="230">
        <v>-2766500</v>
      </c>
      <c r="CY202" s="229">
        <v>-7.3000000000000001E-3</v>
      </c>
      <c r="CZ202" s="228">
        <v>24.94</v>
      </c>
      <c r="DA202" s="228">
        <v>24.96</v>
      </c>
      <c r="DB202" s="228">
        <v>-0.02</v>
      </c>
      <c r="DC202" s="228">
        <v>-0.02</v>
      </c>
      <c r="DD202" s="228">
        <v>35.119999999999997</v>
      </c>
      <c r="DE202" s="228">
        <v>35.119999999999997</v>
      </c>
      <c r="DF202" s="228">
        <v>-10.18</v>
      </c>
      <c r="DG202" s="228">
        <v>0</v>
      </c>
      <c r="DH202" s="228">
        <v>24.65</v>
      </c>
      <c r="DI202" s="228">
        <v>24.78</v>
      </c>
      <c r="DJ202" s="228">
        <v>-0.13</v>
      </c>
      <c r="DK202" s="228">
        <v>-0.13</v>
      </c>
      <c r="DL202" s="228">
        <v>25.43</v>
      </c>
      <c r="DM202" s="228">
        <v>25.3</v>
      </c>
      <c r="DN202" s="228">
        <v>0.13</v>
      </c>
      <c r="DO202" s="228">
        <v>0.13</v>
      </c>
      <c r="DP202" s="228">
        <v>0.64</v>
      </c>
      <c r="DQ202" s="228">
        <v>0.54</v>
      </c>
      <c r="DR202" s="228">
        <v>0.1</v>
      </c>
      <c r="DS202" s="229">
        <v>0.1852</v>
      </c>
      <c r="DT202" s="228">
        <v>165</v>
      </c>
      <c r="DU202" s="228">
        <v>160</v>
      </c>
      <c r="DV202" s="228">
        <v>0.57999999999999996</v>
      </c>
      <c r="DW202" s="228">
        <v>0.54</v>
      </c>
      <c r="DX202" s="228">
        <v>0.04</v>
      </c>
      <c r="DY202" s="229">
        <v>7.4099999999999999E-2</v>
      </c>
      <c r="DZ202" s="229">
        <v>0.12039999999999999</v>
      </c>
      <c r="EA202" s="230">
        <v>17941000</v>
      </c>
      <c r="EB202" s="229">
        <v>5.1999999999999998E-3</v>
      </c>
      <c r="EC202" s="229">
        <v>0.12039999999999999</v>
      </c>
      <c r="ED202" s="228">
        <v>0.97</v>
      </c>
      <c r="EE202" s="229">
        <v>6.0000000000000001E-3</v>
      </c>
      <c r="EF202" s="230">
        <v>14161426</v>
      </c>
      <c r="EG202" s="230">
        <v>11081974</v>
      </c>
      <c r="EH202" s="229">
        <v>0.27789999999999998</v>
      </c>
      <c r="EI202" s="229">
        <v>0.4798</v>
      </c>
      <c r="EJ202" s="231">
        <v>497051.56</v>
      </c>
      <c r="EK202" s="231">
        <v>276361.90999999997</v>
      </c>
      <c r="EL202" s="231">
        <v>100155.36</v>
      </c>
      <c r="EM202" s="228">
        <v>0</v>
      </c>
      <c r="EN202" s="231">
        <v>873568.83</v>
      </c>
      <c r="EO202" s="231">
        <v>323350.67</v>
      </c>
      <c r="EP202" s="231">
        <v>550218.16</v>
      </c>
      <c r="EQ202" s="229">
        <v>1.7016</v>
      </c>
      <c r="ER202" s="231">
        <v>190700</v>
      </c>
      <c r="ES202" s="231">
        <v>111780</v>
      </c>
      <c r="ET202" s="231">
        <v>311685</v>
      </c>
      <c r="EU202" s="231">
        <v>1667975279</v>
      </c>
      <c r="EV202" s="231">
        <v>614165</v>
      </c>
      <c r="EW202" s="231">
        <v>612893</v>
      </c>
      <c r="EX202" s="231">
        <v>1272</v>
      </c>
      <c r="EY202" s="229">
        <v>2.0999999999999999E-3</v>
      </c>
      <c r="EZ202" s="229">
        <v>0.22670000000000001</v>
      </c>
      <c r="FA202" s="227" t="s">
        <v>555</v>
      </c>
      <c r="FB202" s="161">
        <f t="shared" si="5"/>
        <v>0</v>
      </c>
    </row>
    <row r="203" spans="1:158" ht="17.25" thickBot="1" x14ac:dyDescent="0.3">
      <c r="A203" s="226">
        <v>45889</v>
      </c>
      <c r="B203" s="227" t="s">
        <v>221</v>
      </c>
      <c r="C203" s="227" t="s">
        <v>665</v>
      </c>
      <c r="D203" s="228">
        <v>800</v>
      </c>
      <c r="E203" s="228">
        <v>689.85</v>
      </c>
      <c r="F203" s="228">
        <v>685.3</v>
      </c>
      <c r="G203" s="228">
        <v>4.55</v>
      </c>
      <c r="H203" s="229">
        <v>6.6E-3</v>
      </c>
      <c r="I203" s="228">
        <v>689</v>
      </c>
      <c r="J203" s="228">
        <v>682.75</v>
      </c>
      <c r="K203" s="228">
        <v>6.25</v>
      </c>
      <c r="L203" s="229">
        <v>9.1999999999999998E-3</v>
      </c>
      <c r="M203" s="228">
        <v>689.85</v>
      </c>
      <c r="N203" s="228">
        <v>685.3</v>
      </c>
      <c r="O203" s="228">
        <v>4.55</v>
      </c>
      <c r="P203" s="229">
        <v>6.6E-3</v>
      </c>
      <c r="Q203" s="228">
        <v>694</v>
      </c>
      <c r="R203" s="228">
        <v>688.85</v>
      </c>
      <c r="S203" s="228">
        <v>5.15</v>
      </c>
      <c r="T203" s="229">
        <v>7.4999999999999997E-3</v>
      </c>
      <c r="U203" s="228">
        <v>697.7</v>
      </c>
      <c r="V203" s="228">
        <v>691.85</v>
      </c>
      <c r="W203" s="228">
        <v>5.85</v>
      </c>
      <c r="X203" s="229">
        <v>8.5000000000000006E-3</v>
      </c>
      <c r="Y203" s="228">
        <v>0.85</v>
      </c>
      <c r="Z203" s="228">
        <v>2.5499999999999998</v>
      </c>
      <c r="AA203" s="228">
        <v>-1.7</v>
      </c>
      <c r="AB203" s="229">
        <v>1.1999999999999999E-3</v>
      </c>
      <c r="AC203" s="228">
        <v>0.85</v>
      </c>
      <c r="AD203" s="228">
        <v>2.5499999999999998</v>
      </c>
      <c r="AE203" s="228">
        <v>-1.7</v>
      </c>
      <c r="AF203" s="229">
        <v>1.1999999999999999E-3</v>
      </c>
      <c r="AG203" s="228">
        <v>5</v>
      </c>
      <c r="AH203" s="228">
        <v>6.1</v>
      </c>
      <c r="AI203" s="228">
        <v>-1.1000000000000001</v>
      </c>
      <c r="AJ203" s="229">
        <v>7.3000000000000001E-3</v>
      </c>
      <c r="AK203" s="228">
        <v>8.6999999999999993</v>
      </c>
      <c r="AL203" s="228">
        <v>9.1</v>
      </c>
      <c r="AM203" s="228">
        <v>-0.4</v>
      </c>
      <c r="AN203" s="229">
        <v>1.26E-2</v>
      </c>
      <c r="AO203" s="228">
        <v>690.72</v>
      </c>
      <c r="AP203" s="228">
        <v>694.45</v>
      </c>
      <c r="AQ203" s="228">
        <v>0</v>
      </c>
      <c r="AR203" s="230">
        <v>2132800</v>
      </c>
      <c r="AS203" s="230">
        <v>1936800</v>
      </c>
      <c r="AT203" s="230">
        <v>196000</v>
      </c>
      <c r="AU203" s="229">
        <v>0.1012</v>
      </c>
      <c r="AV203" s="230">
        <v>1503200</v>
      </c>
      <c r="AW203" s="230">
        <v>1416000</v>
      </c>
      <c r="AX203" s="230">
        <v>87200</v>
      </c>
      <c r="AY203" s="229">
        <v>6.1600000000000002E-2</v>
      </c>
      <c r="AZ203" s="230">
        <v>580000</v>
      </c>
      <c r="BA203" s="230">
        <v>489600</v>
      </c>
      <c r="BB203" s="230">
        <v>90400</v>
      </c>
      <c r="BC203" s="229">
        <v>0.18459999999999999</v>
      </c>
      <c r="BD203" s="230">
        <v>49600</v>
      </c>
      <c r="BE203" s="230">
        <v>31200</v>
      </c>
      <c r="BF203" s="230">
        <v>18400</v>
      </c>
      <c r="BG203" s="229">
        <v>0.5897</v>
      </c>
      <c r="BH203" s="230">
        <v>4489600</v>
      </c>
      <c r="BI203" s="230">
        <v>3665600</v>
      </c>
      <c r="BJ203" s="230">
        <v>824000</v>
      </c>
      <c r="BK203" s="229">
        <v>0.2248</v>
      </c>
      <c r="BL203" s="230">
        <v>1496000</v>
      </c>
      <c r="BM203" s="230">
        <v>1440000</v>
      </c>
      <c r="BN203" s="230">
        <v>56000</v>
      </c>
      <c r="BO203" s="229">
        <v>3.8899999999999997E-2</v>
      </c>
      <c r="BP203" s="230">
        <v>8118400</v>
      </c>
      <c r="BQ203" s="230">
        <v>7042400</v>
      </c>
      <c r="BR203" s="230">
        <v>1076000</v>
      </c>
      <c r="BS203" s="229">
        <v>0.15279999999999999</v>
      </c>
      <c r="BT203" s="230">
        <v>724998</v>
      </c>
      <c r="BU203" s="230">
        <v>654533</v>
      </c>
      <c r="BV203" s="230">
        <v>70465</v>
      </c>
      <c r="BW203" s="229">
        <v>0.1077</v>
      </c>
      <c r="BX203" s="230">
        <v>10622400</v>
      </c>
      <c r="BY203" s="230">
        <v>10818400</v>
      </c>
      <c r="BZ203" s="230">
        <v>-196000</v>
      </c>
      <c r="CA203" s="229">
        <v>-1.8100000000000002E-2</v>
      </c>
      <c r="CB203" s="230">
        <v>8913600</v>
      </c>
      <c r="CC203" s="230">
        <v>9262400</v>
      </c>
      <c r="CD203" s="230">
        <v>-348800</v>
      </c>
      <c r="CE203" s="229">
        <v>-3.7699999999999997E-2</v>
      </c>
      <c r="CF203" s="230">
        <v>1579200</v>
      </c>
      <c r="CG203" s="230">
        <v>1435200</v>
      </c>
      <c r="CH203" s="230">
        <v>144000</v>
      </c>
      <c r="CI203" s="229">
        <v>0.1003</v>
      </c>
      <c r="CJ203" s="230">
        <v>129600</v>
      </c>
      <c r="CK203" s="230">
        <v>120800</v>
      </c>
      <c r="CL203" s="230">
        <v>8800</v>
      </c>
      <c r="CM203" s="229">
        <v>7.2800000000000004E-2</v>
      </c>
      <c r="CN203" s="230">
        <v>3825600</v>
      </c>
      <c r="CO203" s="230">
        <v>3790400</v>
      </c>
      <c r="CP203" s="230">
        <v>35200</v>
      </c>
      <c r="CQ203" s="229">
        <v>9.2999999999999992E-3</v>
      </c>
      <c r="CR203" s="230">
        <v>2504800</v>
      </c>
      <c r="CS203" s="230">
        <v>2523200</v>
      </c>
      <c r="CT203" s="230">
        <v>-18400</v>
      </c>
      <c r="CU203" s="229">
        <v>-7.3000000000000001E-3</v>
      </c>
      <c r="CV203" s="230">
        <v>16952800</v>
      </c>
      <c r="CW203" s="230">
        <v>17132000</v>
      </c>
      <c r="CX203" s="230">
        <v>-179200</v>
      </c>
      <c r="CY203" s="229">
        <v>-1.0500000000000001E-2</v>
      </c>
      <c r="CZ203" s="228">
        <v>23.71</v>
      </c>
      <c r="DA203" s="228">
        <v>23.43</v>
      </c>
      <c r="DB203" s="228">
        <v>0.28000000000000003</v>
      </c>
      <c r="DC203" s="228">
        <v>0.28000000000000003</v>
      </c>
      <c r="DD203" s="228">
        <v>32.21</v>
      </c>
      <c r="DE203" s="228">
        <v>32.28</v>
      </c>
      <c r="DF203" s="228">
        <v>-8.5</v>
      </c>
      <c r="DG203" s="228">
        <v>-7.0000000000000007E-2</v>
      </c>
      <c r="DH203" s="228">
        <v>23.87</v>
      </c>
      <c r="DI203" s="228">
        <v>23.16</v>
      </c>
      <c r="DJ203" s="228">
        <v>0.71</v>
      </c>
      <c r="DK203" s="228">
        <v>0.71</v>
      </c>
      <c r="DL203" s="228">
        <v>23.21</v>
      </c>
      <c r="DM203" s="228">
        <v>24.09</v>
      </c>
      <c r="DN203" s="228">
        <v>-0.88</v>
      </c>
      <c r="DO203" s="228">
        <v>-0.88</v>
      </c>
      <c r="DP203" s="228">
        <v>0.65</v>
      </c>
      <c r="DQ203" s="228">
        <v>0.67</v>
      </c>
      <c r="DR203" s="228">
        <v>-0.02</v>
      </c>
      <c r="DS203" s="229">
        <v>-2.9899999999999999E-2</v>
      </c>
      <c r="DT203" s="228">
        <v>700</v>
      </c>
      <c r="DU203" s="228">
        <v>660</v>
      </c>
      <c r="DV203" s="228">
        <v>0.33</v>
      </c>
      <c r="DW203" s="228">
        <v>0.39</v>
      </c>
      <c r="DX203" s="228">
        <v>-0.06</v>
      </c>
      <c r="DY203" s="229">
        <v>-0.15379999999999999</v>
      </c>
      <c r="DZ203" s="229">
        <v>0.16089999999999999</v>
      </c>
      <c r="EA203" s="230">
        <v>1556000</v>
      </c>
      <c r="EB203" s="229">
        <v>6.0000000000000001E-3</v>
      </c>
      <c r="EC203" s="229">
        <v>0.16089999999999999</v>
      </c>
      <c r="ED203" s="228">
        <v>3.73</v>
      </c>
      <c r="EE203" s="229">
        <v>5.4000000000000003E-3</v>
      </c>
      <c r="EF203" s="230">
        <v>243670</v>
      </c>
      <c r="EG203" s="230">
        <v>294170</v>
      </c>
      <c r="EH203" s="229">
        <v>-0.17169999999999999</v>
      </c>
      <c r="EI203" s="229">
        <v>0.33610000000000001</v>
      </c>
      <c r="EJ203" s="231">
        <v>31817.57</v>
      </c>
      <c r="EK203" s="231">
        <v>10296.19</v>
      </c>
      <c r="EL203" s="231">
        <v>14757.05</v>
      </c>
      <c r="EM203" s="228">
        <v>0</v>
      </c>
      <c r="EN203" s="231">
        <v>56870.81</v>
      </c>
      <c r="EO203" s="231">
        <v>48523.05</v>
      </c>
      <c r="EP203" s="231">
        <v>8347.76</v>
      </c>
      <c r="EQ203" s="229">
        <v>0.17199999999999999</v>
      </c>
      <c r="ER203" s="231">
        <v>27412</v>
      </c>
      <c r="ES203" s="231">
        <v>17020</v>
      </c>
      <c r="ET203" s="231">
        <v>73354</v>
      </c>
      <c r="EU203" s="231">
        <v>36328758</v>
      </c>
      <c r="EV203" s="231">
        <v>117786</v>
      </c>
      <c r="EW203" s="231">
        <v>118462</v>
      </c>
      <c r="EX203" s="228">
        <v>-676</v>
      </c>
      <c r="EY203" s="229">
        <v>-5.7000000000000002E-3</v>
      </c>
      <c r="EZ203" s="229">
        <v>0.46660000000000001</v>
      </c>
      <c r="FA203" s="227" t="s">
        <v>556</v>
      </c>
      <c r="FB203" s="161">
        <f t="shared" si="5"/>
        <v>0</v>
      </c>
    </row>
    <row r="204" spans="1:158" ht="17.25" thickBot="1" x14ac:dyDescent="0.3">
      <c r="A204" s="226">
        <v>45889</v>
      </c>
      <c r="B204" s="227" t="s">
        <v>221</v>
      </c>
      <c r="C204" s="227" t="s">
        <v>295</v>
      </c>
      <c r="D204" s="228">
        <v>175</v>
      </c>
      <c r="E204" s="231">
        <v>3098.8</v>
      </c>
      <c r="F204" s="231">
        <v>3023.1</v>
      </c>
      <c r="G204" s="228">
        <v>75.7</v>
      </c>
      <c r="H204" s="229">
        <v>2.5000000000000001E-2</v>
      </c>
      <c r="I204" s="231">
        <v>3098.6</v>
      </c>
      <c r="J204" s="231">
        <v>3016.2</v>
      </c>
      <c r="K204" s="228">
        <v>82.4</v>
      </c>
      <c r="L204" s="229">
        <v>2.7300000000000001E-2</v>
      </c>
      <c r="M204" s="231">
        <v>3098.8</v>
      </c>
      <c r="N204" s="231">
        <v>3023.1</v>
      </c>
      <c r="O204" s="228">
        <v>75.7</v>
      </c>
      <c r="P204" s="229">
        <v>2.5000000000000001E-2</v>
      </c>
      <c r="Q204" s="231">
        <v>3116</v>
      </c>
      <c r="R204" s="231">
        <v>3041.1</v>
      </c>
      <c r="S204" s="228">
        <v>74.900000000000006</v>
      </c>
      <c r="T204" s="229">
        <v>2.46E-2</v>
      </c>
      <c r="U204" s="231">
        <v>3119.9</v>
      </c>
      <c r="V204" s="231">
        <v>3045.5</v>
      </c>
      <c r="W204" s="228">
        <v>74.400000000000006</v>
      </c>
      <c r="X204" s="229">
        <v>2.4400000000000002E-2</v>
      </c>
      <c r="Y204" s="228">
        <v>0.2</v>
      </c>
      <c r="Z204" s="228">
        <v>6.9</v>
      </c>
      <c r="AA204" s="228">
        <v>-6.7</v>
      </c>
      <c r="AB204" s="229">
        <v>1E-4</v>
      </c>
      <c r="AC204" s="228">
        <v>0.2</v>
      </c>
      <c r="AD204" s="228">
        <v>6.9</v>
      </c>
      <c r="AE204" s="228">
        <v>-6.7</v>
      </c>
      <c r="AF204" s="229">
        <v>1E-4</v>
      </c>
      <c r="AG204" s="228">
        <v>17.399999999999999</v>
      </c>
      <c r="AH204" s="228">
        <v>24.9</v>
      </c>
      <c r="AI204" s="228">
        <v>-7.5</v>
      </c>
      <c r="AJ204" s="229">
        <v>5.5999999999999999E-3</v>
      </c>
      <c r="AK204" s="228">
        <v>21.3</v>
      </c>
      <c r="AL204" s="228">
        <v>29.3</v>
      </c>
      <c r="AM204" s="228">
        <v>-8</v>
      </c>
      <c r="AN204" s="229">
        <v>6.8999999999999999E-3</v>
      </c>
      <c r="AO204" s="231">
        <v>3073.19</v>
      </c>
      <c r="AP204" s="231">
        <v>3091.39</v>
      </c>
      <c r="AQ204" s="228">
        <v>0</v>
      </c>
      <c r="AR204" s="230">
        <v>8830500</v>
      </c>
      <c r="AS204" s="230">
        <v>2683450</v>
      </c>
      <c r="AT204" s="230">
        <v>6147050</v>
      </c>
      <c r="AU204" s="229">
        <v>2.2907000000000002</v>
      </c>
      <c r="AV204" s="230">
        <v>6920200</v>
      </c>
      <c r="AW204" s="230">
        <v>1940050</v>
      </c>
      <c r="AX204" s="230">
        <v>4980150</v>
      </c>
      <c r="AY204" s="229">
        <v>2.5670000000000002</v>
      </c>
      <c r="AZ204" s="230">
        <v>1663725</v>
      </c>
      <c r="BA204" s="230">
        <v>636475</v>
      </c>
      <c r="BB204" s="230">
        <v>1027250</v>
      </c>
      <c r="BC204" s="229">
        <v>1.6140000000000001</v>
      </c>
      <c r="BD204" s="230">
        <v>246575</v>
      </c>
      <c r="BE204" s="230">
        <v>106925</v>
      </c>
      <c r="BF204" s="230">
        <v>139650</v>
      </c>
      <c r="BG204" s="229">
        <v>1.3061</v>
      </c>
      <c r="BH204" s="230">
        <v>60288725</v>
      </c>
      <c r="BI204" s="230">
        <v>14855575</v>
      </c>
      <c r="BJ204" s="230">
        <v>45433150</v>
      </c>
      <c r="BK204" s="229">
        <v>3.0583</v>
      </c>
      <c r="BL204" s="230">
        <v>25481400</v>
      </c>
      <c r="BM204" s="230">
        <v>6276025</v>
      </c>
      <c r="BN204" s="230">
        <v>19205375</v>
      </c>
      <c r="BO204" s="229">
        <v>3.0600999999999998</v>
      </c>
      <c r="BP204" s="230">
        <v>94600625</v>
      </c>
      <c r="BQ204" s="230">
        <v>23815050</v>
      </c>
      <c r="BR204" s="230">
        <v>70785575</v>
      </c>
      <c r="BS204" s="229">
        <v>2.9723000000000002</v>
      </c>
      <c r="BT204" s="230">
        <v>5055457</v>
      </c>
      <c r="BU204" s="230">
        <v>2816967</v>
      </c>
      <c r="BV204" s="230">
        <v>2238490</v>
      </c>
      <c r="BW204" s="229">
        <v>0.79459999999999997</v>
      </c>
      <c r="BX204" s="230">
        <v>31838975</v>
      </c>
      <c r="BY204" s="230">
        <v>32657975</v>
      </c>
      <c r="BZ204" s="230">
        <v>-819000</v>
      </c>
      <c r="CA204" s="229">
        <v>-2.5100000000000001E-2</v>
      </c>
      <c r="CB204" s="230">
        <v>26557475</v>
      </c>
      <c r="CC204" s="230">
        <v>27984425</v>
      </c>
      <c r="CD204" s="230">
        <v>-1426950</v>
      </c>
      <c r="CE204" s="229">
        <v>-5.0999999999999997E-2</v>
      </c>
      <c r="CF204" s="230">
        <v>4666550</v>
      </c>
      <c r="CG204" s="230">
        <v>4112500</v>
      </c>
      <c r="CH204" s="230">
        <v>554050</v>
      </c>
      <c r="CI204" s="229">
        <v>0.13469999999999999</v>
      </c>
      <c r="CJ204" s="230">
        <v>614950</v>
      </c>
      <c r="CK204" s="230">
        <v>561050</v>
      </c>
      <c r="CL204" s="230">
        <v>53900</v>
      </c>
      <c r="CM204" s="229">
        <v>9.6100000000000005E-2</v>
      </c>
      <c r="CN204" s="230">
        <v>18658500</v>
      </c>
      <c r="CO204" s="230">
        <v>22326150</v>
      </c>
      <c r="CP204" s="230">
        <v>-3667650</v>
      </c>
      <c r="CQ204" s="229">
        <v>-0.1643</v>
      </c>
      <c r="CR204" s="230">
        <v>12940550</v>
      </c>
      <c r="CS204" s="230">
        <v>13721925</v>
      </c>
      <c r="CT204" s="230">
        <v>-781375</v>
      </c>
      <c r="CU204" s="229">
        <v>-5.6899999999999999E-2</v>
      </c>
      <c r="CV204" s="230">
        <v>63438025</v>
      </c>
      <c r="CW204" s="230">
        <v>68706050</v>
      </c>
      <c r="CX204" s="230">
        <v>-5268025</v>
      </c>
      <c r="CY204" s="229">
        <v>-7.6700000000000004E-2</v>
      </c>
      <c r="CZ204" s="228">
        <v>20.39</v>
      </c>
      <c r="DA204" s="228">
        <v>22.06</v>
      </c>
      <c r="DB204" s="228">
        <v>-1.67</v>
      </c>
      <c r="DC204" s="228">
        <v>-1.67</v>
      </c>
      <c r="DD204" s="228">
        <v>24.43</v>
      </c>
      <c r="DE204" s="228">
        <v>24.22</v>
      </c>
      <c r="DF204" s="228">
        <v>-4.04</v>
      </c>
      <c r="DG204" s="228">
        <v>0.21</v>
      </c>
      <c r="DH204" s="228">
        <v>20.32</v>
      </c>
      <c r="DI204" s="228">
        <v>22.23</v>
      </c>
      <c r="DJ204" s="228">
        <v>-1.91</v>
      </c>
      <c r="DK204" s="228">
        <v>-1.91</v>
      </c>
      <c r="DL204" s="228">
        <v>20.56</v>
      </c>
      <c r="DM204" s="228">
        <v>21.66</v>
      </c>
      <c r="DN204" s="228">
        <v>-1.1000000000000001</v>
      </c>
      <c r="DO204" s="228">
        <v>-1.1000000000000001</v>
      </c>
      <c r="DP204" s="228">
        <v>0.69</v>
      </c>
      <c r="DQ204" s="228">
        <v>0.61</v>
      </c>
      <c r="DR204" s="228">
        <v>0.08</v>
      </c>
      <c r="DS204" s="229">
        <v>0.13109999999999999</v>
      </c>
      <c r="DT204" s="231">
        <v>3300</v>
      </c>
      <c r="DU204" s="231">
        <v>3000</v>
      </c>
      <c r="DV204" s="228">
        <v>0.42</v>
      </c>
      <c r="DW204" s="228">
        <v>0.42</v>
      </c>
      <c r="DX204" s="228">
        <v>0</v>
      </c>
      <c r="DY204" s="229">
        <v>0</v>
      </c>
      <c r="DZ204" s="229">
        <v>0.16589999999999999</v>
      </c>
      <c r="EA204" s="230">
        <v>4673550</v>
      </c>
      <c r="EB204" s="229">
        <v>5.5999999999999999E-3</v>
      </c>
      <c r="EC204" s="229">
        <v>0.16589999999999999</v>
      </c>
      <c r="ED204" s="228">
        <v>18.2</v>
      </c>
      <c r="EE204" s="229">
        <v>5.8999999999999999E-3</v>
      </c>
      <c r="EF204" s="230">
        <v>3260033</v>
      </c>
      <c r="EG204" s="230">
        <v>2117724</v>
      </c>
      <c r="EH204" s="229">
        <v>0.53939999999999999</v>
      </c>
      <c r="EI204" s="229">
        <v>0.64490000000000003</v>
      </c>
      <c r="EJ204" s="231">
        <v>1907959.48</v>
      </c>
      <c r="EK204" s="231">
        <v>771791.61</v>
      </c>
      <c r="EL204" s="231">
        <v>271724.2</v>
      </c>
      <c r="EM204" s="228">
        <v>0</v>
      </c>
      <c r="EN204" s="231">
        <v>2951475.29</v>
      </c>
      <c r="EO204" s="231">
        <v>736019.92</v>
      </c>
      <c r="EP204" s="231">
        <v>2215455.37</v>
      </c>
      <c r="EQ204" s="229">
        <v>3.01</v>
      </c>
      <c r="ER204" s="231">
        <v>600889</v>
      </c>
      <c r="ES204" s="231">
        <v>395787</v>
      </c>
      <c r="ET204" s="231">
        <v>987559</v>
      </c>
      <c r="EU204" s="231">
        <v>204305778</v>
      </c>
      <c r="EV204" s="231">
        <v>1984235</v>
      </c>
      <c r="EW204" s="231">
        <v>2120463</v>
      </c>
      <c r="EX204" s="231">
        <v>-136228</v>
      </c>
      <c r="EY204" s="229">
        <v>-6.4199999999999993E-2</v>
      </c>
      <c r="EZ204" s="229">
        <v>0.3105</v>
      </c>
      <c r="FA204" s="227" t="s">
        <v>556</v>
      </c>
      <c r="FB204" s="161">
        <f t="shared" si="5"/>
        <v>0</v>
      </c>
    </row>
    <row r="205" spans="1:158" ht="17.25" thickBot="1" x14ac:dyDescent="0.3">
      <c r="A205" s="226">
        <v>45889</v>
      </c>
      <c r="B205" s="227" t="s">
        <v>221</v>
      </c>
      <c r="C205" s="227" t="s">
        <v>296</v>
      </c>
      <c r="D205" s="228">
        <v>600</v>
      </c>
      <c r="E205" s="231">
        <v>1525.1</v>
      </c>
      <c r="F205" s="231">
        <v>1499.2</v>
      </c>
      <c r="G205" s="228">
        <v>25.9</v>
      </c>
      <c r="H205" s="229">
        <v>1.7299999999999999E-2</v>
      </c>
      <c r="I205" s="231">
        <v>1524.1</v>
      </c>
      <c r="J205" s="231">
        <v>1496.7</v>
      </c>
      <c r="K205" s="228">
        <v>27.4</v>
      </c>
      <c r="L205" s="229">
        <v>1.83E-2</v>
      </c>
      <c r="M205" s="231">
        <v>1525.1</v>
      </c>
      <c r="N205" s="231">
        <v>1499.2</v>
      </c>
      <c r="O205" s="228">
        <v>25.9</v>
      </c>
      <c r="P205" s="229">
        <v>1.7299999999999999E-2</v>
      </c>
      <c r="Q205" s="231">
        <v>1533.4</v>
      </c>
      <c r="R205" s="231">
        <v>1508.4</v>
      </c>
      <c r="S205" s="228">
        <v>25</v>
      </c>
      <c r="T205" s="229">
        <v>1.66E-2</v>
      </c>
      <c r="U205" s="231">
        <v>1535.5</v>
      </c>
      <c r="V205" s="231">
        <v>1512</v>
      </c>
      <c r="W205" s="228">
        <v>23.5</v>
      </c>
      <c r="X205" s="229">
        <v>1.55E-2</v>
      </c>
      <c r="Y205" s="228">
        <v>1</v>
      </c>
      <c r="Z205" s="228">
        <v>2.5</v>
      </c>
      <c r="AA205" s="228">
        <v>-1.5</v>
      </c>
      <c r="AB205" s="229">
        <v>6.9999999999999999E-4</v>
      </c>
      <c r="AC205" s="228">
        <v>1</v>
      </c>
      <c r="AD205" s="228">
        <v>2.5</v>
      </c>
      <c r="AE205" s="228">
        <v>-1.5</v>
      </c>
      <c r="AF205" s="229">
        <v>6.9999999999999999E-4</v>
      </c>
      <c r="AG205" s="228">
        <v>9.3000000000000007</v>
      </c>
      <c r="AH205" s="228">
        <v>11.7</v>
      </c>
      <c r="AI205" s="228">
        <v>-2.4</v>
      </c>
      <c r="AJ205" s="229">
        <v>6.1000000000000004E-3</v>
      </c>
      <c r="AK205" s="228">
        <v>11.4</v>
      </c>
      <c r="AL205" s="228">
        <v>15.3</v>
      </c>
      <c r="AM205" s="228">
        <v>-3.9</v>
      </c>
      <c r="AN205" s="229">
        <v>7.4999999999999997E-3</v>
      </c>
      <c r="AO205" s="231">
        <v>1517.22</v>
      </c>
      <c r="AP205" s="231">
        <v>1525.19</v>
      </c>
      <c r="AQ205" s="228">
        <v>0</v>
      </c>
      <c r="AR205" s="230">
        <v>4080600</v>
      </c>
      <c r="AS205" s="230">
        <v>2596800</v>
      </c>
      <c r="AT205" s="230">
        <v>1483800</v>
      </c>
      <c r="AU205" s="229">
        <v>0.57140000000000002</v>
      </c>
      <c r="AV205" s="230">
        <v>3321000</v>
      </c>
      <c r="AW205" s="230">
        <v>2222400</v>
      </c>
      <c r="AX205" s="230">
        <v>1098600</v>
      </c>
      <c r="AY205" s="229">
        <v>0.49430000000000002</v>
      </c>
      <c r="AZ205" s="230">
        <v>745800</v>
      </c>
      <c r="BA205" s="230">
        <v>362400</v>
      </c>
      <c r="BB205" s="230">
        <v>383400</v>
      </c>
      <c r="BC205" s="229">
        <v>1.0579000000000001</v>
      </c>
      <c r="BD205" s="230">
        <v>13800</v>
      </c>
      <c r="BE205" s="230">
        <v>12000</v>
      </c>
      <c r="BF205" s="230">
        <v>1800</v>
      </c>
      <c r="BG205" s="229">
        <v>0.15</v>
      </c>
      <c r="BH205" s="230">
        <v>15568200</v>
      </c>
      <c r="BI205" s="230">
        <v>7797000</v>
      </c>
      <c r="BJ205" s="230">
        <v>7771200</v>
      </c>
      <c r="BK205" s="229">
        <v>0.99670000000000003</v>
      </c>
      <c r="BL205" s="230">
        <v>7696200</v>
      </c>
      <c r="BM205" s="230">
        <v>4067400</v>
      </c>
      <c r="BN205" s="230">
        <v>3628800</v>
      </c>
      <c r="BO205" s="229">
        <v>0.89219999999999999</v>
      </c>
      <c r="BP205" s="230">
        <v>27345000</v>
      </c>
      <c r="BQ205" s="230">
        <v>14461200</v>
      </c>
      <c r="BR205" s="230">
        <v>12883800</v>
      </c>
      <c r="BS205" s="229">
        <v>0.89090000000000003</v>
      </c>
      <c r="BT205" s="230">
        <v>2356964</v>
      </c>
      <c r="BU205" s="230">
        <v>1833208</v>
      </c>
      <c r="BV205" s="230">
        <v>523756</v>
      </c>
      <c r="BW205" s="229">
        <v>0.28570000000000001</v>
      </c>
      <c r="BX205" s="230">
        <v>15979200</v>
      </c>
      <c r="BY205" s="230">
        <v>16588800</v>
      </c>
      <c r="BZ205" s="230">
        <v>-609600</v>
      </c>
      <c r="CA205" s="229">
        <v>-3.6700000000000003E-2</v>
      </c>
      <c r="CB205" s="230">
        <v>14605200</v>
      </c>
      <c r="CC205" s="230">
        <v>15311400</v>
      </c>
      <c r="CD205" s="230">
        <v>-706200</v>
      </c>
      <c r="CE205" s="229">
        <v>-4.6100000000000002E-2</v>
      </c>
      <c r="CF205" s="230">
        <v>1333800</v>
      </c>
      <c r="CG205" s="230">
        <v>1237200</v>
      </c>
      <c r="CH205" s="230">
        <v>96600</v>
      </c>
      <c r="CI205" s="229">
        <v>7.8100000000000003E-2</v>
      </c>
      <c r="CJ205" s="230">
        <v>40200</v>
      </c>
      <c r="CK205" s="230">
        <v>40200</v>
      </c>
      <c r="CL205" s="228">
        <v>0</v>
      </c>
      <c r="CM205" s="229">
        <v>0</v>
      </c>
      <c r="CN205" s="230">
        <v>6244800</v>
      </c>
      <c r="CO205" s="230">
        <v>6412800</v>
      </c>
      <c r="CP205" s="230">
        <v>-168000</v>
      </c>
      <c r="CQ205" s="229">
        <v>-2.6200000000000001E-2</v>
      </c>
      <c r="CR205" s="230">
        <v>5643600</v>
      </c>
      <c r="CS205" s="230">
        <v>5358600</v>
      </c>
      <c r="CT205" s="230">
        <v>285000</v>
      </c>
      <c r="CU205" s="229">
        <v>5.3199999999999997E-2</v>
      </c>
      <c r="CV205" s="230">
        <v>27867600</v>
      </c>
      <c r="CW205" s="230">
        <v>28360200</v>
      </c>
      <c r="CX205" s="230">
        <v>-492600</v>
      </c>
      <c r="CY205" s="229">
        <v>-1.7399999999999999E-2</v>
      </c>
      <c r="CZ205" s="228">
        <v>23.54</v>
      </c>
      <c r="DA205" s="228">
        <v>23.87</v>
      </c>
      <c r="DB205" s="228">
        <v>-0.33</v>
      </c>
      <c r="DC205" s="228">
        <v>-0.33</v>
      </c>
      <c r="DD205" s="228">
        <v>31</v>
      </c>
      <c r="DE205" s="228">
        <v>30.98</v>
      </c>
      <c r="DF205" s="228">
        <v>-7.46</v>
      </c>
      <c r="DG205" s="228">
        <v>0.02</v>
      </c>
      <c r="DH205" s="228">
        <v>23</v>
      </c>
      <c r="DI205" s="228">
        <v>23.65</v>
      </c>
      <c r="DJ205" s="228">
        <v>-0.65</v>
      </c>
      <c r="DK205" s="228">
        <v>-0.65</v>
      </c>
      <c r="DL205" s="228">
        <v>24.63</v>
      </c>
      <c r="DM205" s="228">
        <v>24.31</v>
      </c>
      <c r="DN205" s="228">
        <v>0.32</v>
      </c>
      <c r="DO205" s="228">
        <v>0.32</v>
      </c>
      <c r="DP205" s="228">
        <v>0.9</v>
      </c>
      <c r="DQ205" s="228">
        <v>0.84</v>
      </c>
      <c r="DR205" s="228">
        <v>0.06</v>
      </c>
      <c r="DS205" s="229">
        <v>7.1400000000000005E-2</v>
      </c>
      <c r="DT205" s="231">
        <v>1600</v>
      </c>
      <c r="DU205" s="231">
        <v>1500</v>
      </c>
      <c r="DV205" s="228">
        <v>0.49</v>
      </c>
      <c r="DW205" s="228">
        <v>0.52</v>
      </c>
      <c r="DX205" s="228">
        <v>-0.03</v>
      </c>
      <c r="DY205" s="229">
        <v>-5.7700000000000001E-2</v>
      </c>
      <c r="DZ205" s="229">
        <v>8.5999999999999993E-2</v>
      </c>
      <c r="EA205" s="230">
        <v>1277400</v>
      </c>
      <c r="EB205" s="229">
        <v>5.4000000000000003E-3</v>
      </c>
      <c r="EC205" s="229">
        <v>8.5999999999999993E-2</v>
      </c>
      <c r="ED205" s="228">
        <v>7.97</v>
      </c>
      <c r="EE205" s="229">
        <v>5.3E-3</v>
      </c>
      <c r="EF205" s="230">
        <v>1490412</v>
      </c>
      <c r="EG205" s="230">
        <v>1202445</v>
      </c>
      <c r="EH205" s="229">
        <v>0.23949999999999999</v>
      </c>
      <c r="EI205" s="229">
        <v>0.63229999999999997</v>
      </c>
      <c r="EJ205" s="231">
        <v>241414.69</v>
      </c>
      <c r="EK205" s="231">
        <v>115010.73</v>
      </c>
      <c r="EL205" s="231">
        <v>61973.2</v>
      </c>
      <c r="EM205" s="228">
        <v>0</v>
      </c>
      <c r="EN205" s="231">
        <v>418398.62</v>
      </c>
      <c r="EO205" s="231">
        <v>217955.33</v>
      </c>
      <c r="EP205" s="231">
        <v>200443.29</v>
      </c>
      <c r="EQ205" s="229">
        <v>0.91969999999999996</v>
      </c>
      <c r="ER205" s="231">
        <v>98130</v>
      </c>
      <c r="ES205" s="231">
        <v>81784</v>
      </c>
      <c r="ET205" s="231">
        <v>243814</v>
      </c>
      <c r="EU205" s="231">
        <v>127301710</v>
      </c>
      <c r="EV205" s="231">
        <v>423727</v>
      </c>
      <c r="EW205" s="231">
        <v>426644</v>
      </c>
      <c r="EX205" s="231">
        <v>-2917</v>
      </c>
      <c r="EY205" s="229">
        <v>-6.7999999999999996E-3</v>
      </c>
      <c r="EZ205" s="229">
        <v>0.21890000000000001</v>
      </c>
      <c r="FA205" s="227" t="s">
        <v>556</v>
      </c>
      <c r="FB205" s="161">
        <f t="shared" si="5"/>
        <v>0</v>
      </c>
    </row>
    <row r="206" spans="1:158" ht="17.25" thickBot="1" x14ac:dyDescent="0.3">
      <c r="A206" s="226">
        <v>45889</v>
      </c>
      <c r="B206" s="227" t="s">
        <v>184</v>
      </c>
      <c r="C206" s="227" t="s">
        <v>596</v>
      </c>
      <c r="D206" s="228">
        <v>200</v>
      </c>
      <c r="E206" s="231">
        <v>3178.8</v>
      </c>
      <c r="F206" s="231">
        <v>3158.2</v>
      </c>
      <c r="G206" s="228">
        <v>20.6</v>
      </c>
      <c r="H206" s="229">
        <v>6.4999999999999997E-3</v>
      </c>
      <c r="I206" s="231">
        <v>3180</v>
      </c>
      <c r="J206" s="231">
        <v>3152.4</v>
      </c>
      <c r="K206" s="228">
        <v>27.6</v>
      </c>
      <c r="L206" s="229">
        <v>8.8000000000000005E-3</v>
      </c>
      <c r="M206" s="231">
        <v>3178.8</v>
      </c>
      <c r="N206" s="231">
        <v>3158.2</v>
      </c>
      <c r="O206" s="228">
        <v>20.6</v>
      </c>
      <c r="P206" s="229">
        <v>6.4999999999999997E-3</v>
      </c>
      <c r="Q206" s="231">
        <v>3197.8</v>
      </c>
      <c r="R206" s="231">
        <v>3176.4</v>
      </c>
      <c r="S206" s="228">
        <v>21.4</v>
      </c>
      <c r="T206" s="229">
        <v>6.7000000000000002E-3</v>
      </c>
      <c r="U206" s="231">
        <v>3203.8</v>
      </c>
      <c r="V206" s="231">
        <v>3192</v>
      </c>
      <c r="W206" s="228">
        <v>11.8</v>
      </c>
      <c r="X206" s="229">
        <v>3.7000000000000002E-3</v>
      </c>
      <c r="Y206" s="228">
        <v>-1.2</v>
      </c>
      <c r="Z206" s="228">
        <v>5.8</v>
      </c>
      <c r="AA206" s="228">
        <v>-7</v>
      </c>
      <c r="AB206" s="229">
        <v>-4.0000000000000002E-4</v>
      </c>
      <c r="AC206" s="228">
        <v>-1.2</v>
      </c>
      <c r="AD206" s="228">
        <v>5.8</v>
      </c>
      <c r="AE206" s="228">
        <v>-7</v>
      </c>
      <c r="AF206" s="229">
        <v>-4.0000000000000002E-4</v>
      </c>
      <c r="AG206" s="228">
        <v>17.8</v>
      </c>
      <c r="AH206" s="228">
        <v>24</v>
      </c>
      <c r="AI206" s="228">
        <v>-6.2</v>
      </c>
      <c r="AJ206" s="229">
        <v>5.5999999999999999E-3</v>
      </c>
      <c r="AK206" s="228">
        <v>23.8</v>
      </c>
      <c r="AL206" s="228">
        <v>39.6</v>
      </c>
      <c r="AM206" s="228">
        <v>-15.8</v>
      </c>
      <c r="AN206" s="229">
        <v>7.4999999999999997E-3</v>
      </c>
      <c r="AO206" s="231">
        <v>3196.08</v>
      </c>
      <c r="AP206" s="231">
        <v>3208.44</v>
      </c>
      <c r="AQ206" s="228">
        <v>0</v>
      </c>
      <c r="AR206" s="230">
        <v>502800</v>
      </c>
      <c r="AS206" s="230">
        <v>418800</v>
      </c>
      <c r="AT206" s="230">
        <v>84000</v>
      </c>
      <c r="AU206" s="229">
        <v>0.2006</v>
      </c>
      <c r="AV206" s="230">
        <v>430600</v>
      </c>
      <c r="AW206" s="230">
        <v>365800</v>
      </c>
      <c r="AX206" s="230">
        <v>64800</v>
      </c>
      <c r="AY206" s="229">
        <v>0.17710000000000001</v>
      </c>
      <c r="AZ206" s="230">
        <v>68800</v>
      </c>
      <c r="BA206" s="230">
        <v>49800</v>
      </c>
      <c r="BB206" s="230">
        <v>19000</v>
      </c>
      <c r="BC206" s="229">
        <v>0.38150000000000001</v>
      </c>
      <c r="BD206" s="230">
        <v>3400</v>
      </c>
      <c r="BE206" s="230">
        <v>3200</v>
      </c>
      <c r="BF206" s="228">
        <v>200</v>
      </c>
      <c r="BG206" s="229">
        <v>6.25E-2</v>
      </c>
      <c r="BH206" s="230">
        <v>2787000</v>
      </c>
      <c r="BI206" s="230">
        <v>3567800</v>
      </c>
      <c r="BJ206" s="230">
        <v>-780800</v>
      </c>
      <c r="BK206" s="229">
        <v>-0.21879999999999999</v>
      </c>
      <c r="BL206" s="230">
        <v>580600</v>
      </c>
      <c r="BM206" s="230">
        <v>722000</v>
      </c>
      <c r="BN206" s="230">
        <v>-141400</v>
      </c>
      <c r="BO206" s="229">
        <v>-0.1958</v>
      </c>
      <c r="BP206" s="230">
        <v>3870400</v>
      </c>
      <c r="BQ206" s="230">
        <v>4708600</v>
      </c>
      <c r="BR206" s="230">
        <v>-838200</v>
      </c>
      <c r="BS206" s="229">
        <v>-0.17799999999999999</v>
      </c>
      <c r="BT206" s="230">
        <v>430991</v>
      </c>
      <c r="BU206" s="230">
        <v>356491</v>
      </c>
      <c r="BV206" s="230">
        <v>74500</v>
      </c>
      <c r="BW206" s="229">
        <v>0.20899999999999999</v>
      </c>
      <c r="BX206" s="230">
        <v>1635600</v>
      </c>
      <c r="BY206" s="230">
        <v>1602400</v>
      </c>
      <c r="BZ206" s="230">
        <v>33200</v>
      </c>
      <c r="CA206" s="229">
        <v>2.07E-2</v>
      </c>
      <c r="CB206" s="230">
        <v>1574200</v>
      </c>
      <c r="CC206" s="230">
        <v>1564800</v>
      </c>
      <c r="CD206" s="230">
        <v>9400</v>
      </c>
      <c r="CE206" s="229">
        <v>6.0000000000000001E-3</v>
      </c>
      <c r="CF206" s="230">
        <v>52600</v>
      </c>
      <c r="CG206" s="230">
        <v>30000</v>
      </c>
      <c r="CH206" s="230">
        <v>22600</v>
      </c>
      <c r="CI206" s="229">
        <v>0.75329999999999997</v>
      </c>
      <c r="CJ206" s="230">
        <v>8800</v>
      </c>
      <c r="CK206" s="230">
        <v>7600</v>
      </c>
      <c r="CL206" s="230">
        <v>1200</v>
      </c>
      <c r="CM206" s="229">
        <v>0.15790000000000001</v>
      </c>
      <c r="CN206" s="230">
        <v>537000</v>
      </c>
      <c r="CO206" s="230">
        <v>634000</v>
      </c>
      <c r="CP206" s="230">
        <v>-97000</v>
      </c>
      <c r="CQ206" s="229">
        <v>-0.153</v>
      </c>
      <c r="CR206" s="230">
        <v>347600</v>
      </c>
      <c r="CS206" s="230">
        <v>331600</v>
      </c>
      <c r="CT206" s="230">
        <v>16000</v>
      </c>
      <c r="CU206" s="229">
        <v>4.8300000000000003E-2</v>
      </c>
      <c r="CV206" s="230">
        <v>2520200</v>
      </c>
      <c r="CW206" s="230">
        <v>2568000</v>
      </c>
      <c r="CX206" s="230">
        <v>-47800</v>
      </c>
      <c r="CY206" s="229">
        <v>-1.8599999999999998E-2</v>
      </c>
      <c r="CZ206" s="228">
        <v>33.979999999999997</v>
      </c>
      <c r="DA206" s="228">
        <v>33.06</v>
      </c>
      <c r="DB206" s="228">
        <v>0.92</v>
      </c>
      <c r="DC206" s="228">
        <v>0.92</v>
      </c>
      <c r="DD206" s="228">
        <v>44.18</v>
      </c>
      <c r="DE206" s="228">
        <v>44.28</v>
      </c>
      <c r="DF206" s="228">
        <v>-10.199999999999999</v>
      </c>
      <c r="DG206" s="228">
        <v>-0.1</v>
      </c>
      <c r="DH206" s="228">
        <v>33.97</v>
      </c>
      <c r="DI206" s="228">
        <v>33.36</v>
      </c>
      <c r="DJ206" s="228">
        <v>0.61</v>
      </c>
      <c r="DK206" s="228">
        <v>0.61</v>
      </c>
      <c r="DL206" s="228">
        <v>34.03</v>
      </c>
      <c r="DM206" s="228">
        <v>31.57</v>
      </c>
      <c r="DN206" s="228">
        <v>2.46</v>
      </c>
      <c r="DO206" s="228">
        <v>2.46</v>
      </c>
      <c r="DP206" s="228">
        <v>0.65</v>
      </c>
      <c r="DQ206" s="228">
        <v>0.52</v>
      </c>
      <c r="DR206" s="228">
        <v>0.13</v>
      </c>
      <c r="DS206" s="229">
        <v>0.25</v>
      </c>
      <c r="DT206" s="231">
        <v>3500</v>
      </c>
      <c r="DU206" s="231">
        <v>2900</v>
      </c>
      <c r="DV206" s="228">
        <v>0.21</v>
      </c>
      <c r="DW206" s="228">
        <v>0.2</v>
      </c>
      <c r="DX206" s="228">
        <v>0.01</v>
      </c>
      <c r="DY206" s="229">
        <v>0.05</v>
      </c>
      <c r="DZ206" s="229">
        <v>3.7499999999999999E-2</v>
      </c>
      <c r="EA206" s="230">
        <v>37600</v>
      </c>
      <c r="EB206" s="229">
        <v>6.0000000000000001E-3</v>
      </c>
      <c r="EC206" s="229">
        <v>3.7499999999999999E-2</v>
      </c>
      <c r="ED206" s="228">
        <v>12.36</v>
      </c>
      <c r="EE206" s="229">
        <v>3.8999999999999998E-3</v>
      </c>
      <c r="EF206" s="230">
        <v>212979</v>
      </c>
      <c r="EG206" s="230">
        <v>138713</v>
      </c>
      <c r="EH206" s="229">
        <v>0.53539999999999999</v>
      </c>
      <c r="EI206" s="229">
        <v>0.49419999999999997</v>
      </c>
      <c r="EJ206" s="231">
        <v>93078.76</v>
      </c>
      <c r="EK206" s="231">
        <v>18070.62</v>
      </c>
      <c r="EL206" s="231">
        <v>16078.84</v>
      </c>
      <c r="EM206" s="228">
        <v>0</v>
      </c>
      <c r="EN206" s="231">
        <v>127228.22</v>
      </c>
      <c r="EO206" s="231">
        <v>152341.06</v>
      </c>
      <c r="EP206" s="231">
        <v>-25112.84</v>
      </c>
      <c r="EQ206" s="229">
        <v>-0.1648</v>
      </c>
      <c r="ER206" s="231">
        <v>17265</v>
      </c>
      <c r="ES206" s="231">
        <v>10211</v>
      </c>
      <c r="ET206" s="231">
        <v>52005</v>
      </c>
      <c r="EU206" s="231">
        <v>21637874</v>
      </c>
      <c r="EV206" s="231">
        <v>79481</v>
      </c>
      <c r="EW206" s="231">
        <v>80774</v>
      </c>
      <c r="EX206" s="231">
        <v>-1293</v>
      </c>
      <c r="EY206" s="229">
        <v>-1.6E-2</v>
      </c>
      <c r="EZ206" s="229">
        <v>0.11650000000000001</v>
      </c>
      <c r="FA206" s="227" t="s">
        <v>555</v>
      </c>
      <c r="FB206" s="161">
        <f t="shared" si="5"/>
        <v>0</v>
      </c>
    </row>
    <row r="207" spans="1:158" ht="17.25" thickBot="1" x14ac:dyDescent="0.3">
      <c r="A207" s="226">
        <v>45889</v>
      </c>
      <c r="B207" s="227" t="s">
        <v>184</v>
      </c>
      <c r="C207" s="227" t="s">
        <v>664</v>
      </c>
      <c r="D207" s="228">
        <v>725</v>
      </c>
      <c r="E207" s="228">
        <v>833.6</v>
      </c>
      <c r="F207" s="228">
        <v>832.1</v>
      </c>
      <c r="G207" s="228">
        <v>1.5</v>
      </c>
      <c r="H207" s="229">
        <v>1.8E-3</v>
      </c>
      <c r="I207" s="228">
        <v>833.75</v>
      </c>
      <c r="J207" s="228">
        <v>828.6</v>
      </c>
      <c r="K207" s="228">
        <v>5.15</v>
      </c>
      <c r="L207" s="229">
        <v>6.1999999999999998E-3</v>
      </c>
      <c r="M207" s="228">
        <v>833.6</v>
      </c>
      <c r="N207" s="228">
        <v>832.1</v>
      </c>
      <c r="O207" s="228">
        <v>1.5</v>
      </c>
      <c r="P207" s="229">
        <v>1.8E-3</v>
      </c>
      <c r="Q207" s="228">
        <v>830.7</v>
      </c>
      <c r="R207" s="228">
        <v>830</v>
      </c>
      <c r="S207" s="228">
        <v>0.7</v>
      </c>
      <c r="T207" s="229">
        <v>8.0000000000000004E-4</v>
      </c>
      <c r="U207" s="228">
        <v>823.5</v>
      </c>
      <c r="V207" s="228">
        <v>823.5</v>
      </c>
      <c r="W207" s="228">
        <v>0</v>
      </c>
      <c r="X207" s="229">
        <v>0</v>
      </c>
      <c r="Y207" s="228">
        <v>-0.15</v>
      </c>
      <c r="Z207" s="228">
        <v>3.5</v>
      </c>
      <c r="AA207" s="228">
        <v>-3.65</v>
      </c>
      <c r="AB207" s="229">
        <v>-2.0000000000000001E-4</v>
      </c>
      <c r="AC207" s="228">
        <v>-0.15</v>
      </c>
      <c r="AD207" s="228">
        <v>3.5</v>
      </c>
      <c r="AE207" s="228">
        <v>-3.65</v>
      </c>
      <c r="AF207" s="229">
        <v>-2.0000000000000001E-4</v>
      </c>
      <c r="AG207" s="228">
        <v>-3.05</v>
      </c>
      <c r="AH207" s="228">
        <v>1.4</v>
      </c>
      <c r="AI207" s="228">
        <v>-4.45</v>
      </c>
      <c r="AJ207" s="229">
        <v>-3.7000000000000002E-3</v>
      </c>
      <c r="AK207" s="228">
        <v>-10.25</v>
      </c>
      <c r="AL207" s="228">
        <v>-5.0999999999999996</v>
      </c>
      <c r="AM207" s="228">
        <v>-5.15</v>
      </c>
      <c r="AN207" s="229">
        <v>-1.23E-2</v>
      </c>
      <c r="AO207" s="228">
        <v>833.51</v>
      </c>
      <c r="AP207" s="228">
        <v>831.38</v>
      </c>
      <c r="AQ207" s="228">
        <v>0</v>
      </c>
      <c r="AR207" s="230">
        <v>94975</v>
      </c>
      <c r="AS207" s="230">
        <v>166750</v>
      </c>
      <c r="AT207" s="230">
        <v>-71775</v>
      </c>
      <c r="AU207" s="229">
        <v>-0.4304</v>
      </c>
      <c r="AV207" s="230">
        <v>83375</v>
      </c>
      <c r="AW207" s="230">
        <v>160950</v>
      </c>
      <c r="AX207" s="230">
        <v>-77575</v>
      </c>
      <c r="AY207" s="229">
        <v>-0.48199999999999998</v>
      </c>
      <c r="AZ207" s="230">
        <v>11600</v>
      </c>
      <c r="BA207" s="230">
        <v>5800</v>
      </c>
      <c r="BB207" s="230">
        <v>5800</v>
      </c>
      <c r="BC207" s="229">
        <v>1</v>
      </c>
      <c r="BD207" s="228">
        <v>0</v>
      </c>
      <c r="BE207" s="228">
        <v>0</v>
      </c>
      <c r="BF207" s="228">
        <v>0</v>
      </c>
      <c r="BG207" s="229">
        <v>0</v>
      </c>
      <c r="BH207" s="230">
        <v>150075</v>
      </c>
      <c r="BI207" s="230">
        <v>211700</v>
      </c>
      <c r="BJ207" s="230">
        <v>-61625</v>
      </c>
      <c r="BK207" s="229">
        <v>-0.29110000000000003</v>
      </c>
      <c r="BL207" s="230">
        <v>152975</v>
      </c>
      <c r="BM207" s="230">
        <v>118900</v>
      </c>
      <c r="BN207" s="230">
        <v>34075</v>
      </c>
      <c r="BO207" s="229">
        <v>0.28660000000000002</v>
      </c>
      <c r="BP207" s="230">
        <v>398025</v>
      </c>
      <c r="BQ207" s="230">
        <v>497350</v>
      </c>
      <c r="BR207" s="230">
        <v>-99325</v>
      </c>
      <c r="BS207" s="229">
        <v>-0.19969999999999999</v>
      </c>
      <c r="BT207" s="230">
        <v>709432</v>
      </c>
      <c r="BU207" s="230">
        <v>867243</v>
      </c>
      <c r="BV207" s="230">
        <v>-157811</v>
      </c>
      <c r="BW207" s="229">
        <v>-0.182</v>
      </c>
      <c r="BX207" s="230">
        <v>8480325</v>
      </c>
      <c r="BY207" s="230">
        <v>8565875</v>
      </c>
      <c r="BZ207" s="230">
        <v>-85550</v>
      </c>
      <c r="CA207" s="229">
        <v>-0.01</v>
      </c>
      <c r="CB207" s="230">
        <v>7065850</v>
      </c>
      <c r="CC207" s="230">
        <v>7140525</v>
      </c>
      <c r="CD207" s="230">
        <v>-74675</v>
      </c>
      <c r="CE207" s="229">
        <v>-1.0500000000000001E-2</v>
      </c>
      <c r="CF207" s="230">
        <v>1362275</v>
      </c>
      <c r="CG207" s="230">
        <v>1373150</v>
      </c>
      <c r="CH207" s="230">
        <v>-10875</v>
      </c>
      <c r="CI207" s="229">
        <v>-7.9000000000000008E-3</v>
      </c>
      <c r="CJ207" s="230">
        <v>52200</v>
      </c>
      <c r="CK207" s="230">
        <v>52200</v>
      </c>
      <c r="CL207" s="228">
        <v>0</v>
      </c>
      <c r="CM207" s="229">
        <v>0</v>
      </c>
      <c r="CN207" s="230">
        <v>2703525</v>
      </c>
      <c r="CO207" s="230">
        <v>2807925</v>
      </c>
      <c r="CP207" s="230">
        <v>-104400</v>
      </c>
      <c r="CQ207" s="229">
        <v>-3.7199999999999997E-2</v>
      </c>
      <c r="CR207" s="230">
        <v>2365675</v>
      </c>
      <c r="CS207" s="230">
        <v>2483125</v>
      </c>
      <c r="CT207" s="230">
        <v>-117450</v>
      </c>
      <c r="CU207" s="229">
        <v>-4.7300000000000002E-2</v>
      </c>
      <c r="CV207" s="230">
        <v>13549525</v>
      </c>
      <c r="CW207" s="230">
        <v>13856925</v>
      </c>
      <c r="CX207" s="230">
        <v>-307400</v>
      </c>
      <c r="CY207" s="229">
        <v>-2.2200000000000001E-2</v>
      </c>
      <c r="CZ207" s="228">
        <v>40.78</v>
      </c>
      <c r="DA207" s="228">
        <v>38.159999999999997</v>
      </c>
      <c r="DB207" s="228">
        <v>2.62</v>
      </c>
      <c r="DC207" s="228">
        <v>2.62</v>
      </c>
      <c r="DD207" s="228">
        <v>59.3</v>
      </c>
      <c r="DE207" s="228">
        <v>59.45</v>
      </c>
      <c r="DF207" s="228">
        <v>-18.52</v>
      </c>
      <c r="DG207" s="228">
        <v>-0.15</v>
      </c>
      <c r="DH207" s="228">
        <v>33.630000000000003</v>
      </c>
      <c r="DI207" s="228">
        <v>35.85</v>
      </c>
      <c r="DJ207" s="228">
        <v>-2.2200000000000002</v>
      </c>
      <c r="DK207" s="228">
        <v>-2.2200000000000002</v>
      </c>
      <c r="DL207" s="228">
        <v>47.8</v>
      </c>
      <c r="DM207" s="228">
        <v>42.27</v>
      </c>
      <c r="DN207" s="228">
        <v>5.53</v>
      </c>
      <c r="DO207" s="228">
        <v>5.53</v>
      </c>
      <c r="DP207" s="228">
        <v>0.88</v>
      </c>
      <c r="DQ207" s="228">
        <v>0.88</v>
      </c>
      <c r="DR207" s="228">
        <v>0</v>
      </c>
      <c r="DS207" s="229">
        <v>0</v>
      </c>
      <c r="DT207" s="228">
        <v>860</v>
      </c>
      <c r="DU207" s="228">
        <v>860</v>
      </c>
      <c r="DV207" s="228">
        <v>1.02</v>
      </c>
      <c r="DW207" s="228">
        <v>0.56000000000000005</v>
      </c>
      <c r="DX207" s="228">
        <v>0.46</v>
      </c>
      <c r="DY207" s="229">
        <v>0.82140000000000002</v>
      </c>
      <c r="DZ207" s="229">
        <v>0.1668</v>
      </c>
      <c r="EA207" s="230">
        <v>1425350</v>
      </c>
      <c r="EB207" s="229">
        <v>-3.5000000000000001E-3</v>
      </c>
      <c r="EC207" s="229">
        <v>0.1668</v>
      </c>
      <c r="ED207" s="228">
        <v>-2.13</v>
      </c>
      <c r="EE207" s="229">
        <v>-2.5999999999999999E-3</v>
      </c>
      <c r="EF207" s="230">
        <v>248170</v>
      </c>
      <c r="EG207" s="230">
        <v>377879</v>
      </c>
      <c r="EH207" s="229">
        <v>-0.34329999999999999</v>
      </c>
      <c r="EI207" s="229">
        <v>0.3498</v>
      </c>
      <c r="EJ207" s="231">
        <v>1308.3</v>
      </c>
      <c r="EK207" s="231">
        <v>1134.19</v>
      </c>
      <c r="EL207" s="228">
        <v>791.38</v>
      </c>
      <c r="EM207" s="228">
        <v>0</v>
      </c>
      <c r="EN207" s="231">
        <v>3233.87</v>
      </c>
      <c r="EO207" s="231">
        <v>4159.96</v>
      </c>
      <c r="EP207" s="228">
        <v>-926.09</v>
      </c>
      <c r="EQ207" s="229">
        <v>-0.22259999999999999</v>
      </c>
      <c r="ER207" s="231">
        <v>23407</v>
      </c>
      <c r="ES207" s="231">
        <v>18752</v>
      </c>
      <c r="ET207" s="231">
        <v>70647</v>
      </c>
      <c r="EU207" s="231">
        <v>16037381</v>
      </c>
      <c r="EV207" s="231">
        <v>112806</v>
      </c>
      <c r="EW207" s="231">
        <v>115165</v>
      </c>
      <c r="EX207" s="231">
        <v>-2359</v>
      </c>
      <c r="EY207" s="229">
        <v>-2.0500000000000001E-2</v>
      </c>
      <c r="EZ207" s="229">
        <v>0.84489999999999998</v>
      </c>
      <c r="FA207" s="227" t="s">
        <v>556</v>
      </c>
      <c r="FB207" s="161">
        <f t="shared" si="5"/>
        <v>0</v>
      </c>
    </row>
    <row r="208" spans="1:158" ht="17.25" thickBot="1" x14ac:dyDescent="0.3">
      <c r="A208" s="226">
        <v>45889</v>
      </c>
      <c r="B208" s="227" t="s">
        <v>168</v>
      </c>
      <c r="C208" s="227" t="s">
        <v>297</v>
      </c>
      <c r="D208" s="228">
        <v>175</v>
      </c>
      <c r="E208" s="231">
        <v>3603.7</v>
      </c>
      <c r="F208" s="231">
        <v>3573.8</v>
      </c>
      <c r="G208" s="228">
        <v>29.9</v>
      </c>
      <c r="H208" s="229">
        <v>8.3999999999999995E-3</v>
      </c>
      <c r="I208" s="231">
        <v>3595</v>
      </c>
      <c r="J208" s="231">
        <v>3568.1</v>
      </c>
      <c r="K208" s="228">
        <v>26.9</v>
      </c>
      <c r="L208" s="229">
        <v>7.4999999999999997E-3</v>
      </c>
      <c r="M208" s="231">
        <v>3603.7</v>
      </c>
      <c r="N208" s="231">
        <v>3573.8</v>
      </c>
      <c r="O208" s="228">
        <v>29.9</v>
      </c>
      <c r="P208" s="229">
        <v>8.3999999999999995E-3</v>
      </c>
      <c r="Q208" s="231">
        <v>3624.6</v>
      </c>
      <c r="R208" s="231">
        <v>3594.3</v>
      </c>
      <c r="S208" s="228">
        <v>30.3</v>
      </c>
      <c r="T208" s="229">
        <v>8.3999999999999995E-3</v>
      </c>
      <c r="U208" s="231">
        <v>3640.7</v>
      </c>
      <c r="V208" s="231">
        <v>3613.3</v>
      </c>
      <c r="W208" s="228">
        <v>27.4</v>
      </c>
      <c r="X208" s="229">
        <v>7.6E-3</v>
      </c>
      <c r="Y208" s="228">
        <v>8.6999999999999993</v>
      </c>
      <c r="Z208" s="228">
        <v>5.7</v>
      </c>
      <c r="AA208" s="228">
        <v>3</v>
      </c>
      <c r="AB208" s="229">
        <v>2.3999999999999998E-3</v>
      </c>
      <c r="AC208" s="228">
        <v>8.6999999999999993</v>
      </c>
      <c r="AD208" s="228">
        <v>5.7</v>
      </c>
      <c r="AE208" s="228">
        <v>3</v>
      </c>
      <c r="AF208" s="229">
        <v>2.3999999999999998E-3</v>
      </c>
      <c r="AG208" s="228">
        <v>29.6</v>
      </c>
      <c r="AH208" s="228">
        <v>26.2</v>
      </c>
      <c r="AI208" s="228">
        <v>3.4</v>
      </c>
      <c r="AJ208" s="229">
        <v>8.2000000000000007E-3</v>
      </c>
      <c r="AK208" s="228">
        <v>45.7</v>
      </c>
      <c r="AL208" s="228">
        <v>45.2</v>
      </c>
      <c r="AM208" s="228">
        <v>0.5</v>
      </c>
      <c r="AN208" s="229">
        <v>1.2699999999999999E-2</v>
      </c>
      <c r="AO208" s="231">
        <v>3591.45</v>
      </c>
      <c r="AP208" s="231">
        <v>3616.89</v>
      </c>
      <c r="AQ208" s="228">
        <v>0</v>
      </c>
      <c r="AR208" s="230">
        <v>1346975</v>
      </c>
      <c r="AS208" s="230">
        <v>945175</v>
      </c>
      <c r="AT208" s="230">
        <v>401800</v>
      </c>
      <c r="AU208" s="229">
        <v>0.42509999999999998</v>
      </c>
      <c r="AV208" s="230">
        <v>1025850</v>
      </c>
      <c r="AW208" s="230">
        <v>820925</v>
      </c>
      <c r="AX208" s="230">
        <v>204925</v>
      </c>
      <c r="AY208" s="229">
        <v>0.24959999999999999</v>
      </c>
      <c r="AZ208" s="230">
        <v>315000</v>
      </c>
      <c r="BA208" s="230">
        <v>118650</v>
      </c>
      <c r="BB208" s="230">
        <v>196350</v>
      </c>
      <c r="BC208" s="229">
        <v>1.6549</v>
      </c>
      <c r="BD208" s="230">
        <v>6125</v>
      </c>
      <c r="BE208" s="230">
        <v>5600</v>
      </c>
      <c r="BF208" s="228">
        <v>525</v>
      </c>
      <c r="BG208" s="229">
        <v>9.3799999999999994E-2</v>
      </c>
      <c r="BH208" s="230">
        <v>6763750</v>
      </c>
      <c r="BI208" s="230">
        <v>4858525</v>
      </c>
      <c r="BJ208" s="230">
        <v>1905225</v>
      </c>
      <c r="BK208" s="229">
        <v>0.3921</v>
      </c>
      <c r="BL208" s="230">
        <v>3090675</v>
      </c>
      <c r="BM208" s="230">
        <v>2693775</v>
      </c>
      <c r="BN208" s="230">
        <v>396900</v>
      </c>
      <c r="BO208" s="229">
        <v>0.14729999999999999</v>
      </c>
      <c r="BP208" s="230">
        <v>11201400</v>
      </c>
      <c r="BQ208" s="230">
        <v>8497475</v>
      </c>
      <c r="BR208" s="230">
        <v>2703925</v>
      </c>
      <c r="BS208" s="229">
        <v>0.31819999999999998</v>
      </c>
      <c r="BT208" s="230">
        <v>546617</v>
      </c>
      <c r="BU208" s="230">
        <v>551821</v>
      </c>
      <c r="BV208" s="230">
        <v>-5204</v>
      </c>
      <c r="BW208" s="229">
        <v>-9.4000000000000004E-3</v>
      </c>
      <c r="BX208" s="230">
        <v>10059525</v>
      </c>
      <c r="BY208" s="230">
        <v>9938600</v>
      </c>
      <c r="BZ208" s="230">
        <v>120925</v>
      </c>
      <c r="CA208" s="229">
        <v>1.2200000000000001E-2</v>
      </c>
      <c r="CB208" s="230">
        <v>9280425</v>
      </c>
      <c r="CC208" s="230">
        <v>9335025</v>
      </c>
      <c r="CD208" s="230">
        <v>-54600</v>
      </c>
      <c r="CE208" s="229">
        <v>-5.7999999999999996E-3</v>
      </c>
      <c r="CF208" s="230">
        <v>758800</v>
      </c>
      <c r="CG208" s="230">
        <v>584150</v>
      </c>
      <c r="CH208" s="230">
        <v>174650</v>
      </c>
      <c r="CI208" s="229">
        <v>0.29899999999999999</v>
      </c>
      <c r="CJ208" s="230">
        <v>20300</v>
      </c>
      <c r="CK208" s="230">
        <v>19425</v>
      </c>
      <c r="CL208" s="228">
        <v>875</v>
      </c>
      <c r="CM208" s="229">
        <v>4.4999999999999998E-2</v>
      </c>
      <c r="CN208" s="230">
        <v>2452450</v>
      </c>
      <c r="CO208" s="230">
        <v>2676800</v>
      </c>
      <c r="CP208" s="230">
        <v>-224350</v>
      </c>
      <c r="CQ208" s="229">
        <v>-8.3799999999999999E-2</v>
      </c>
      <c r="CR208" s="230">
        <v>2399775</v>
      </c>
      <c r="CS208" s="230">
        <v>2135000</v>
      </c>
      <c r="CT208" s="230">
        <v>264775</v>
      </c>
      <c r="CU208" s="229">
        <v>0.124</v>
      </c>
      <c r="CV208" s="230">
        <v>14911750</v>
      </c>
      <c r="CW208" s="230">
        <v>14750400</v>
      </c>
      <c r="CX208" s="230">
        <v>161350</v>
      </c>
      <c r="CY208" s="229">
        <v>1.09E-2</v>
      </c>
      <c r="CZ208" s="228">
        <v>17.350000000000001</v>
      </c>
      <c r="DA208" s="228">
        <v>17.27</v>
      </c>
      <c r="DB208" s="228">
        <v>0.08</v>
      </c>
      <c r="DC208" s="228">
        <v>0.08</v>
      </c>
      <c r="DD208" s="228">
        <v>26.8</v>
      </c>
      <c r="DE208" s="228">
        <v>26.84</v>
      </c>
      <c r="DF208" s="228">
        <v>-9.4499999999999993</v>
      </c>
      <c r="DG208" s="228">
        <v>-0.04</v>
      </c>
      <c r="DH208" s="228">
        <v>16.489999999999998</v>
      </c>
      <c r="DI208" s="228">
        <v>16.670000000000002</v>
      </c>
      <c r="DJ208" s="228">
        <v>-0.18</v>
      </c>
      <c r="DK208" s="228">
        <v>-0.18</v>
      </c>
      <c r="DL208" s="228">
        <v>19.23</v>
      </c>
      <c r="DM208" s="228">
        <v>18.350000000000001</v>
      </c>
      <c r="DN208" s="228">
        <v>0.88</v>
      </c>
      <c r="DO208" s="228">
        <v>0.88</v>
      </c>
      <c r="DP208" s="228">
        <v>0.98</v>
      </c>
      <c r="DQ208" s="228">
        <v>0.8</v>
      </c>
      <c r="DR208" s="228">
        <v>0.18</v>
      </c>
      <c r="DS208" s="229">
        <v>0.22500000000000001</v>
      </c>
      <c r="DT208" s="231">
        <v>3600</v>
      </c>
      <c r="DU208" s="231">
        <v>3500</v>
      </c>
      <c r="DV208" s="228">
        <v>0.46</v>
      </c>
      <c r="DW208" s="228">
        <v>0.55000000000000004</v>
      </c>
      <c r="DX208" s="228">
        <v>-0.09</v>
      </c>
      <c r="DY208" s="229">
        <v>-0.1636</v>
      </c>
      <c r="DZ208" s="229">
        <v>7.7399999999999997E-2</v>
      </c>
      <c r="EA208" s="230">
        <v>603575</v>
      </c>
      <c r="EB208" s="229">
        <v>5.7999999999999996E-3</v>
      </c>
      <c r="EC208" s="229">
        <v>7.7399999999999997E-2</v>
      </c>
      <c r="ED208" s="228">
        <v>25.44</v>
      </c>
      <c r="EE208" s="229">
        <v>7.1000000000000004E-3</v>
      </c>
      <c r="EF208" s="230">
        <v>326264</v>
      </c>
      <c r="EG208" s="230">
        <v>294508</v>
      </c>
      <c r="EH208" s="229">
        <v>0.10780000000000001</v>
      </c>
      <c r="EI208" s="229">
        <v>0.59689999999999999</v>
      </c>
      <c r="EJ208" s="231">
        <v>247189.62</v>
      </c>
      <c r="EK208" s="231">
        <v>108634.4</v>
      </c>
      <c r="EL208" s="231">
        <v>48458.31</v>
      </c>
      <c r="EM208" s="228">
        <v>0</v>
      </c>
      <c r="EN208" s="231">
        <v>404282.33</v>
      </c>
      <c r="EO208" s="231">
        <v>304671.59000000003</v>
      </c>
      <c r="EP208" s="231">
        <v>99610.74</v>
      </c>
      <c r="EQ208" s="229">
        <v>0.32690000000000002</v>
      </c>
      <c r="ER208" s="231">
        <v>88585</v>
      </c>
      <c r="ES208" s="231">
        <v>81689</v>
      </c>
      <c r="ET208" s="231">
        <v>362681</v>
      </c>
      <c r="EU208" s="231">
        <v>83488668</v>
      </c>
      <c r="EV208" s="231">
        <v>532955</v>
      </c>
      <c r="EW208" s="231">
        <v>524043</v>
      </c>
      <c r="EX208" s="231">
        <v>8912</v>
      </c>
      <c r="EY208" s="229">
        <v>1.7000000000000001E-2</v>
      </c>
      <c r="EZ208" s="229">
        <v>0.17860000000000001</v>
      </c>
      <c r="FA208" s="227" t="s">
        <v>555</v>
      </c>
      <c r="FB208" s="161">
        <f t="shared" si="5"/>
        <v>0</v>
      </c>
    </row>
    <row r="209" spans="1:158" ht="17.25" thickBot="1" x14ac:dyDescent="0.3">
      <c r="A209" s="226">
        <v>45889</v>
      </c>
      <c r="B209" s="227" t="s">
        <v>170</v>
      </c>
      <c r="C209" s="227" t="s">
        <v>298</v>
      </c>
      <c r="D209" s="228">
        <v>250</v>
      </c>
      <c r="E209" s="231">
        <v>3664.6</v>
      </c>
      <c r="F209" s="231">
        <v>3652.5</v>
      </c>
      <c r="G209" s="228">
        <v>12.1</v>
      </c>
      <c r="H209" s="229">
        <v>3.3E-3</v>
      </c>
      <c r="I209" s="231">
        <v>3663.8</v>
      </c>
      <c r="J209" s="231">
        <v>3651.6</v>
      </c>
      <c r="K209" s="228">
        <v>12.2</v>
      </c>
      <c r="L209" s="229">
        <v>3.3E-3</v>
      </c>
      <c r="M209" s="231">
        <v>3664.6</v>
      </c>
      <c r="N209" s="231">
        <v>3652.5</v>
      </c>
      <c r="O209" s="228">
        <v>12.1</v>
      </c>
      <c r="P209" s="229">
        <v>3.3E-3</v>
      </c>
      <c r="Q209" s="231">
        <v>3683.7</v>
      </c>
      <c r="R209" s="231">
        <v>3672.1</v>
      </c>
      <c r="S209" s="228">
        <v>11.6</v>
      </c>
      <c r="T209" s="229">
        <v>3.2000000000000002E-3</v>
      </c>
      <c r="U209" s="231">
        <v>3688.7</v>
      </c>
      <c r="V209" s="231">
        <v>3688.7</v>
      </c>
      <c r="W209" s="228">
        <v>0</v>
      </c>
      <c r="X209" s="229">
        <v>0</v>
      </c>
      <c r="Y209" s="228">
        <v>0.8</v>
      </c>
      <c r="Z209" s="228">
        <v>0.9</v>
      </c>
      <c r="AA209" s="228">
        <v>-0.1</v>
      </c>
      <c r="AB209" s="229">
        <v>2.0000000000000001E-4</v>
      </c>
      <c r="AC209" s="228">
        <v>0.8</v>
      </c>
      <c r="AD209" s="228">
        <v>0.9</v>
      </c>
      <c r="AE209" s="228">
        <v>-0.1</v>
      </c>
      <c r="AF209" s="229">
        <v>2.0000000000000001E-4</v>
      </c>
      <c r="AG209" s="228">
        <v>19.899999999999999</v>
      </c>
      <c r="AH209" s="228">
        <v>20.5</v>
      </c>
      <c r="AI209" s="228">
        <v>-0.6</v>
      </c>
      <c r="AJ209" s="229">
        <v>5.4000000000000003E-3</v>
      </c>
      <c r="AK209" s="228">
        <v>24.9</v>
      </c>
      <c r="AL209" s="228">
        <v>37.1</v>
      </c>
      <c r="AM209" s="228">
        <v>-12.2</v>
      </c>
      <c r="AN209" s="229">
        <v>6.7999999999999996E-3</v>
      </c>
      <c r="AO209" s="231">
        <v>3663.49</v>
      </c>
      <c r="AP209" s="231">
        <v>3684.39</v>
      </c>
      <c r="AQ209" s="228">
        <v>0</v>
      </c>
      <c r="AR209" s="230">
        <v>261250</v>
      </c>
      <c r="AS209" s="230">
        <v>297500</v>
      </c>
      <c r="AT209" s="230">
        <v>-36250</v>
      </c>
      <c r="AU209" s="229">
        <v>-0.12180000000000001</v>
      </c>
      <c r="AV209" s="230">
        <v>246000</v>
      </c>
      <c r="AW209" s="230">
        <v>246500</v>
      </c>
      <c r="AX209" s="228">
        <v>-500</v>
      </c>
      <c r="AY209" s="229">
        <v>-2E-3</v>
      </c>
      <c r="AZ209" s="230">
        <v>15250</v>
      </c>
      <c r="BA209" s="230">
        <v>50500</v>
      </c>
      <c r="BB209" s="230">
        <v>-35250</v>
      </c>
      <c r="BC209" s="229">
        <v>-0.69799999999999995</v>
      </c>
      <c r="BD209" s="228">
        <v>0</v>
      </c>
      <c r="BE209" s="228">
        <v>500</v>
      </c>
      <c r="BF209" s="228">
        <v>-500</v>
      </c>
      <c r="BG209" s="229">
        <v>-1</v>
      </c>
      <c r="BH209" s="230">
        <v>939500</v>
      </c>
      <c r="BI209" s="230">
        <v>878500</v>
      </c>
      <c r="BJ209" s="230">
        <v>61000</v>
      </c>
      <c r="BK209" s="229">
        <v>6.9400000000000003E-2</v>
      </c>
      <c r="BL209" s="230">
        <v>169250</v>
      </c>
      <c r="BM209" s="230">
        <v>233000</v>
      </c>
      <c r="BN209" s="230">
        <v>-63750</v>
      </c>
      <c r="BO209" s="229">
        <v>-0.27360000000000001</v>
      </c>
      <c r="BP209" s="230">
        <v>1370000</v>
      </c>
      <c r="BQ209" s="230">
        <v>1409000</v>
      </c>
      <c r="BR209" s="230">
        <v>-39000</v>
      </c>
      <c r="BS209" s="229">
        <v>-2.7699999999999999E-2</v>
      </c>
      <c r="BT209" s="230">
        <v>231770</v>
      </c>
      <c r="BU209" s="230">
        <v>199299</v>
      </c>
      <c r="BV209" s="230">
        <v>32471</v>
      </c>
      <c r="BW209" s="229">
        <v>0.16289999999999999</v>
      </c>
      <c r="BX209" s="230">
        <v>2475250</v>
      </c>
      <c r="BY209" s="230">
        <v>2511250</v>
      </c>
      <c r="BZ209" s="230">
        <v>-36000</v>
      </c>
      <c r="CA209" s="229">
        <v>-1.43E-2</v>
      </c>
      <c r="CB209" s="230">
        <v>2394500</v>
      </c>
      <c r="CC209" s="230">
        <v>2431000</v>
      </c>
      <c r="CD209" s="230">
        <v>-36500</v>
      </c>
      <c r="CE209" s="229">
        <v>-1.4999999999999999E-2</v>
      </c>
      <c r="CF209" s="230">
        <v>79750</v>
      </c>
      <c r="CG209" s="230">
        <v>79250</v>
      </c>
      <c r="CH209" s="228">
        <v>500</v>
      </c>
      <c r="CI209" s="229">
        <v>6.3E-3</v>
      </c>
      <c r="CJ209" s="230">
        <v>1000</v>
      </c>
      <c r="CK209" s="230">
        <v>1000</v>
      </c>
      <c r="CL209" s="228">
        <v>0</v>
      </c>
      <c r="CM209" s="229">
        <v>0</v>
      </c>
      <c r="CN209" s="230">
        <v>654500</v>
      </c>
      <c r="CO209" s="230">
        <v>626500</v>
      </c>
      <c r="CP209" s="230">
        <v>28000</v>
      </c>
      <c r="CQ209" s="229">
        <v>4.4699999999999997E-2</v>
      </c>
      <c r="CR209" s="230">
        <v>360250</v>
      </c>
      <c r="CS209" s="230">
        <v>355750</v>
      </c>
      <c r="CT209" s="230">
        <v>4500</v>
      </c>
      <c r="CU209" s="229">
        <v>1.26E-2</v>
      </c>
      <c r="CV209" s="230">
        <v>3490000</v>
      </c>
      <c r="CW209" s="230">
        <v>3493500</v>
      </c>
      <c r="CX209" s="230">
        <v>-3500</v>
      </c>
      <c r="CY209" s="229">
        <v>-1E-3</v>
      </c>
      <c r="CZ209" s="228">
        <v>27.44</v>
      </c>
      <c r="DA209" s="228">
        <v>27.39</v>
      </c>
      <c r="DB209" s="228">
        <v>0.05</v>
      </c>
      <c r="DC209" s="228">
        <v>0.05</v>
      </c>
      <c r="DD209" s="228">
        <v>27.34</v>
      </c>
      <c r="DE209" s="228">
        <v>27.4</v>
      </c>
      <c r="DF209" s="228">
        <v>0.1</v>
      </c>
      <c r="DG209" s="228">
        <v>-0.06</v>
      </c>
      <c r="DH209" s="228">
        <v>26.89</v>
      </c>
      <c r="DI209" s="228">
        <v>26.64</v>
      </c>
      <c r="DJ209" s="228">
        <v>0.25</v>
      </c>
      <c r="DK209" s="228">
        <v>0.25</v>
      </c>
      <c r="DL209" s="228">
        <v>30.44</v>
      </c>
      <c r="DM209" s="228">
        <v>30.22</v>
      </c>
      <c r="DN209" s="228">
        <v>0.22</v>
      </c>
      <c r="DO209" s="228">
        <v>0.22</v>
      </c>
      <c r="DP209" s="228">
        <v>0.55000000000000004</v>
      </c>
      <c r="DQ209" s="228">
        <v>0.56999999999999995</v>
      </c>
      <c r="DR209" s="228">
        <v>-0.02</v>
      </c>
      <c r="DS209" s="229">
        <v>-3.5099999999999999E-2</v>
      </c>
      <c r="DT209" s="231">
        <v>3700</v>
      </c>
      <c r="DU209" s="231">
        <v>3500</v>
      </c>
      <c r="DV209" s="228">
        <v>0.18</v>
      </c>
      <c r="DW209" s="228">
        <v>0.27</v>
      </c>
      <c r="DX209" s="228">
        <v>-0.09</v>
      </c>
      <c r="DY209" s="229">
        <v>-0.33329999999999999</v>
      </c>
      <c r="DZ209" s="229">
        <v>3.2599999999999997E-2</v>
      </c>
      <c r="EA209" s="230">
        <v>80250</v>
      </c>
      <c r="EB209" s="229">
        <v>5.1999999999999998E-3</v>
      </c>
      <c r="EC209" s="229">
        <v>3.2599999999999997E-2</v>
      </c>
      <c r="ED209" s="228">
        <v>20.9</v>
      </c>
      <c r="EE209" s="229">
        <v>5.7000000000000002E-3</v>
      </c>
      <c r="EF209" s="230">
        <v>166966</v>
      </c>
      <c r="EG209" s="230">
        <v>133760</v>
      </c>
      <c r="EH209" s="229">
        <v>0.24829999999999999</v>
      </c>
      <c r="EI209" s="229">
        <v>0.72040000000000004</v>
      </c>
      <c r="EJ209" s="231">
        <v>35899.46</v>
      </c>
      <c r="EK209" s="231">
        <v>5767.54</v>
      </c>
      <c r="EL209" s="231">
        <v>9574.06</v>
      </c>
      <c r="EM209" s="228">
        <v>0</v>
      </c>
      <c r="EN209" s="231">
        <v>51241.06</v>
      </c>
      <c r="EO209" s="231">
        <v>52317.61</v>
      </c>
      <c r="EP209" s="231">
        <v>-1076.55</v>
      </c>
      <c r="EQ209" s="229">
        <v>-2.06E-2</v>
      </c>
      <c r="ER209" s="231">
        <v>24873</v>
      </c>
      <c r="ES209" s="231">
        <v>12433</v>
      </c>
      <c r="ET209" s="231">
        <v>90723</v>
      </c>
      <c r="EU209" s="231">
        <v>21452008</v>
      </c>
      <c r="EV209" s="231">
        <v>128030</v>
      </c>
      <c r="EW209" s="231">
        <v>127828</v>
      </c>
      <c r="EX209" s="228">
        <v>202</v>
      </c>
      <c r="EY209" s="229">
        <v>1.6000000000000001E-3</v>
      </c>
      <c r="EZ209" s="229">
        <v>0.16270000000000001</v>
      </c>
      <c r="FA209" s="227" t="s">
        <v>556</v>
      </c>
      <c r="FB209" s="161">
        <f t="shared" si="5"/>
        <v>0</v>
      </c>
    </row>
    <row r="210" spans="1:158" ht="17.25" thickBot="1" x14ac:dyDescent="0.3">
      <c r="A210" s="226">
        <v>45889</v>
      </c>
      <c r="B210" s="227" t="s">
        <v>161</v>
      </c>
      <c r="C210" s="227" t="s">
        <v>299</v>
      </c>
      <c r="D210" s="228">
        <v>375</v>
      </c>
      <c r="E210" s="231">
        <v>1288.2</v>
      </c>
      <c r="F210" s="231">
        <v>1302</v>
      </c>
      <c r="G210" s="228">
        <v>-13.8</v>
      </c>
      <c r="H210" s="229">
        <v>-1.06E-2</v>
      </c>
      <c r="I210" s="231">
        <v>1285.3</v>
      </c>
      <c r="J210" s="231">
        <v>1297.4000000000001</v>
      </c>
      <c r="K210" s="228">
        <v>-12.1</v>
      </c>
      <c r="L210" s="229">
        <v>-9.2999999999999992E-3</v>
      </c>
      <c r="M210" s="231">
        <v>1288.2</v>
      </c>
      <c r="N210" s="231">
        <v>1302</v>
      </c>
      <c r="O210" s="228">
        <v>-13.8</v>
      </c>
      <c r="P210" s="229">
        <v>-1.06E-2</v>
      </c>
      <c r="Q210" s="231">
        <v>1296.3</v>
      </c>
      <c r="R210" s="231">
        <v>1309.4000000000001</v>
      </c>
      <c r="S210" s="228">
        <v>-13.1</v>
      </c>
      <c r="T210" s="229">
        <v>-0.01</v>
      </c>
      <c r="U210" s="231">
        <v>1301</v>
      </c>
      <c r="V210" s="231">
        <v>1316.4</v>
      </c>
      <c r="W210" s="228">
        <v>-15.4</v>
      </c>
      <c r="X210" s="229">
        <v>-1.17E-2</v>
      </c>
      <c r="Y210" s="228">
        <v>2.9</v>
      </c>
      <c r="Z210" s="228">
        <v>4.5999999999999996</v>
      </c>
      <c r="AA210" s="228">
        <v>-1.7</v>
      </c>
      <c r="AB210" s="229">
        <v>2.3E-3</v>
      </c>
      <c r="AC210" s="228">
        <v>2.9</v>
      </c>
      <c r="AD210" s="228">
        <v>4.5999999999999996</v>
      </c>
      <c r="AE210" s="228">
        <v>-1.7</v>
      </c>
      <c r="AF210" s="229">
        <v>2.3E-3</v>
      </c>
      <c r="AG210" s="228">
        <v>11</v>
      </c>
      <c r="AH210" s="228">
        <v>12</v>
      </c>
      <c r="AI210" s="228">
        <v>-1</v>
      </c>
      <c r="AJ210" s="229">
        <v>8.6E-3</v>
      </c>
      <c r="AK210" s="228">
        <v>15.7</v>
      </c>
      <c r="AL210" s="228">
        <v>19</v>
      </c>
      <c r="AM210" s="228">
        <v>-3.3</v>
      </c>
      <c r="AN210" s="229">
        <v>1.2200000000000001E-2</v>
      </c>
      <c r="AO210" s="231">
        <v>1293.25</v>
      </c>
      <c r="AP210" s="231">
        <v>1299.9100000000001</v>
      </c>
      <c r="AQ210" s="228">
        <v>0</v>
      </c>
      <c r="AR210" s="230">
        <v>691500</v>
      </c>
      <c r="AS210" s="230">
        <v>622875</v>
      </c>
      <c r="AT210" s="230">
        <v>68625</v>
      </c>
      <c r="AU210" s="229">
        <v>0.11020000000000001</v>
      </c>
      <c r="AV210" s="230">
        <v>573375</v>
      </c>
      <c r="AW210" s="230">
        <v>502125</v>
      </c>
      <c r="AX210" s="230">
        <v>71250</v>
      </c>
      <c r="AY210" s="229">
        <v>0.1419</v>
      </c>
      <c r="AZ210" s="230">
        <v>112125</v>
      </c>
      <c r="BA210" s="230">
        <v>118875</v>
      </c>
      <c r="BB210" s="230">
        <v>-6750</v>
      </c>
      <c r="BC210" s="229">
        <v>-5.6800000000000003E-2</v>
      </c>
      <c r="BD210" s="230">
        <v>6000</v>
      </c>
      <c r="BE210" s="230">
        <v>1875</v>
      </c>
      <c r="BF210" s="230">
        <v>4125</v>
      </c>
      <c r="BG210" s="229">
        <v>2.2000000000000002</v>
      </c>
      <c r="BH210" s="230">
        <v>780375</v>
      </c>
      <c r="BI210" s="230">
        <v>663375</v>
      </c>
      <c r="BJ210" s="230">
        <v>117000</v>
      </c>
      <c r="BK210" s="229">
        <v>0.1764</v>
      </c>
      <c r="BL210" s="230">
        <v>265125</v>
      </c>
      <c r="BM210" s="230">
        <v>297375</v>
      </c>
      <c r="BN210" s="230">
        <v>-32250</v>
      </c>
      <c r="BO210" s="229">
        <v>-0.1084</v>
      </c>
      <c r="BP210" s="230">
        <v>1737000</v>
      </c>
      <c r="BQ210" s="230">
        <v>1583625</v>
      </c>
      <c r="BR210" s="230">
        <v>153375</v>
      </c>
      <c r="BS210" s="229">
        <v>9.69E-2</v>
      </c>
      <c r="BT210" s="230">
        <v>817273</v>
      </c>
      <c r="BU210" s="230">
        <v>927080</v>
      </c>
      <c r="BV210" s="230">
        <v>-109807</v>
      </c>
      <c r="BW210" s="229">
        <v>-0.11840000000000001</v>
      </c>
      <c r="BX210" s="230">
        <v>2787375</v>
      </c>
      <c r="BY210" s="230">
        <v>2596500</v>
      </c>
      <c r="BZ210" s="230">
        <v>190875</v>
      </c>
      <c r="CA210" s="229">
        <v>7.3499999999999996E-2</v>
      </c>
      <c r="CB210" s="230">
        <v>2604375</v>
      </c>
      <c r="CC210" s="230">
        <v>2469375</v>
      </c>
      <c r="CD210" s="230">
        <v>135000</v>
      </c>
      <c r="CE210" s="229">
        <v>5.4699999999999999E-2</v>
      </c>
      <c r="CF210" s="230">
        <v>174000</v>
      </c>
      <c r="CG210" s="230">
        <v>122250</v>
      </c>
      <c r="CH210" s="230">
        <v>51750</v>
      </c>
      <c r="CI210" s="229">
        <v>0.42330000000000001</v>
      </c>
      <c r="CJ210" s="230">
        <v>9000</v>
      </c>
      <c r="CK210" s="230">
        <v>4875</v>
      </c>
      <c r="CL210" s="230">
        <v>4125</v>
      </c>
      <c r="CM210" s="229">
        <v>0.84619999999999995</v>
      </c>
      <c r="CN210" s="230">
        <v>907875</v>
      </c>
      <c r="CO210" s="230">
        <v>892875</v>
      </c>
      <c r="CP210" s="230">
        <v>15000</v>
      </c>
      <c r="CQ210" s="229">
        <v>1.6799999999999999E-2</v>
      </c>
      <c r="CR210" s="230">
        <v>490500</v>
      </c>
      <c r="CS210" s="230">
        <v>478125</v>
      </c>
      <c r="CT210" s="230">
        <v>12375</v>
      </c>
      <c r="CU210" s="229">
        <v>2.5899999999999999E-2</v>
      </c>
      <c r="CV210" s="230">
        <v>4185750</v>
      </c>
      <c r="CW210" s="230">
        <v>3967500</v>
      </c>
      <c r="CX210" s="230">
        <v>218250</v>
      </c>
      <c r="CY210" s="229">
        <v>5.5E-2</v>
      </c>
      <c r="CZ210" s="228">
        <v>31</v>
      </c>
      <c r="DA210" s="228">
        <v>29.93</v>
      </c>
      <c r="DB210" s="228">
        <v>1.07</v>
      </c>
      <c r="DC210" s="228">
        <v>1.07</v>
      </c>
      <c r="DD210" s="228">
        <v>44.61</v>
      </c>
      <c r="DE210" s="228">
        <v>44.7</v>
      </c>
      <c r="DF210" s="228">
        <v>-13.61</v>
      </c>
      <c r="DG210" s="228">
        <v>-0.09</v>
      </c>
      <c r="DH210" s="228">
        <v>31.61</v>
      </c>
      <c r="DI210" s="228">
        <v>30.57</v>
      </c>
      <c r="DJ210" s="228">
        <v>1.04</v>
      </c>
      <c r="DK210" s="228">
        <v>1.04</v>
      </c>
      <c r="DL210" s="228">
        <v>29.21</v>
      </c>
      <c r="DM210" s="228">
        <v>28.5</v>
      </c>
      <c r="DN210" s="228">
        <v>0.71</v>
      </c>
      <c r="DO210" s="228">
        <v>0.71</v>
      </c>
      <c r="DP210" s="228">
        <v>0.54</v>
      </c>
      <c r="DQ210" s="228">
        <v>0.54</v>
      </c>
      <c r="DR210" s="228">
        <v>0</v>
      </c>
      <c r="DS210" s="229">
        <v>0</v>
      </c>
      <c r="DT210" s="231">
        <v>1400</v>
      </c>
      <c r="DU210" s="231">
        <v>1300</v>
      </c>
      <c r="DV210" s="228">
        <v>0.34</v>
      </c>
      <c r="DW210" s="228">
        <v>0.45</v>
      </c>
      <c r="DX210" s="228">
        <v>-0.11</v>
      </c>
      <c r="DY210" s="229">
        <v>-0.24440000000000001</v>
      </c>
      <c r="DZ210" s="229">
        <v>6.5699999999999995E-2</v>
      </c>
      <c r="EA210" s="230">
        <v>127125</v>
      </c>
      <c r="EB210" s="229">
        <v>6.3E-3</v>
      </c>
      <c r="EC210" s="229">
        <v>6.5699999999999995E-2</v>
      </c>
      <c r="ED210" s="228">
        <v>6.66</v>
      </c>
      <c r="EE210" s="229">
        <v>5.1000000000000004E-3</v>
      </c>
      <c r="EF210" s="230">
        <v>529588</v>
      </c>
      <c r="EG210" s="230">
        <v>630187</v>
      </c>
      <c r="EH210" s="229">
        <v>-0.15959999999999999</v>
      </c>
      <c r="EI210" s="229">
        <v>0.64800000000000002</v>
      </c>
      <c r="EJ210" s="231">
        <v>10532.55</v>
      </c>
      <c r="EK210" s="231">
        <v>3512.66</v>
      </c>
      <c r="EL210" s="231">
        <v>8951.11</v>
      </c>
      <c r="EM210" s="228">
        <v>0</v>
      </c>
      <c r="EN210" s="231">
        <v>22996.32</v>
      </c>
      <c r="EO210" s="231">
        <v>21032.28</v>
      </c>
      <c r="EP210" s="231">
        <v>1964.04</v>
      </c>
      <c r="EQ210" s="229">
        <v>9.3399999999999997E-2</v>
      </c>
      <c r="ER210" s="231">
        <v>12643</v>
      </c>
      <c r="ES210" s="231">
        <v>6392</v>
      </c>
      <c r="ET210" s="231">
        <v>35922</v>
      </c>
      <c r="EU210" s="231">
        <v>49292045</v>
      </c>
      <c r="EV210" s="231">
        <v>54957</v>
      </c>
      <c r="EW210" s="231">
        <v>52542</v>
      </c>
      <c r="EX210" s="231">
        <v>2415</v>
      </c>
      <c r="EY210" s="229">
        <v>4.5999999999999999E-2</v>
      </c>
      <c r="EZ210" s="229">
        <v>8.4900000000000003E-2</v>
      </c>
      <c r="FA210" s="227" t="s">
        <v>567</v>
      </c>
      <c r="FB210" s="161">
        <f t="shared" si="5"/>
        <v>0</v>
      </c>
    </row>
    <row r="211" spans="1:158" ht="17.25" thickBot="1" x14ac:dyDescent="0.3">
      <c r="A211" s="226">
        <v>45889</v>
      </c>
      <c r="B211" s="227" t="s">
        <v>197</v>
      </c>
      <c r="C211" s="227" t="s">
        <v>482</v>
      </c>
      <c r="D211" s="228">
        <v>100</v>
      </c>
      <c r="E211" s="231">
        <v>5468</v>
      </c>
      <c r="F211" s="231">
        <v>5514.5</v>
      </c>
      <c r="G211" s="228">
        <v>-46.5</v>
      </c>
      <c r="H211" s="229">
        <v>-8.3999999999999995E-3</v>
      </c>
      <c r="I211" s="231">
        <v>5453</v>
      </c>
      <c r="J211" s="231">
        <v>5496</v>
      </c>
      <c r="K211" s="228">
        <v>-43</v>
      </c>
      <c r="L211" s="229">
        <v>-7.7999999999999996E-3</v>
      </c>
      <c r="M211" s="231">
        <v>5468</v>
      </c>
      <c r="N211" s="231">
        <v>5514.5</v>
      </c>
      <c r="O211" s="228">
        <v>-46.5</v>
      </c>
      <c r="P211" s="229">
        <v>-8.3999999999999995E-3</v>
      </c>
      <c r="Q211" s="231">
        <v>5497</v>
      </c>
      <c r="R211" s="231">
        <v>5543.5</v>
      </c>
      <c r="S211" s="228">
        <v>-46.5</v>
      </c>
      <c r="T211" s="229">
        <v>-8.3999999999999995E-3</v>
      </c>
      <c r="U211" s="231">
        <v>5528.5</v>
      </c>
      <c r="V211" s="231">
        <v>5572</v>
      </c>
      <c r="W211" s="228">
        <v>-43.5</v>
      </c>
      <c r="X211" s="229">
        <v>-7.7999999999999996E-3</v>
      </c>
      <c r="Y211" s="228">
        <v>15</v>
      </c>
      <c r="Z211" s="228">
        <v>18.5</v>
      </c>
      <c r="AA211" s="228">
        <v>-3.5</v>
      </c>
      <c r="AB211" s="229">
        <v>2.8E-3</v>
      </c>
      <c r="AC211" s="228">
        <v>15</v>
      </c>
      <c r="AD211" s="228">
        <v>18.5</v>
      </c>
      <c r="AE211" s="228">
        <v>-3.5</v>
      </c>
      <c r="AF211" s="229">
        <v>2.8E-3</v>
      </c>
      <c r="AG211" s="228">
        <v>44</v>
      </c>
      <c r="AH211" s="228">
        <v>47.5</v>
      </c>
      <c r="AI211" s="228">
        <v>-3.5</v>
      </c>
      <c r="AJ211" s="229">
        <v>8.0999999999999996E-3</v>
      </c>
      <c r="AK211" s="228">
        <v>75.5</v>
      </c>
      <c r="AL211" s="228">
        <v>76</v>
      </c>
      <c r="AM211" s="228">
        <v>-0.5</v>
      </c>
      <c r="AN211" s="229">
        <v>1.38E-2</v>
      </c>
      <c r="AO211" s="231">
        <v>5467</v>
      </c>
      <c r="AP211" s="231">
        <v>5494.82</v>
      </c>
      <c r="AQ211" s="228">
        <v>0</v>
      </c>
      <c r="AR211" s="230">
        <v>780300</v>
      </c>
      <c r="AS211" s="230">
        <v>731900</v>
      </c>
      <c r="AT211" s="230">
        <v>48400</v>
      </c>
      <c r="AU211" s="229">
        <v>6.6100000000000006E-2</v>
      </c>
      <c r="AV211" s="230">
        <v>484800</v>
      </c>
      <c r="AW211" s="230">
        <v>603000</v>
      </c>
      <c r="AX211" s="230">
        <v>-118200</v>
      </c>
      <c r="AY211" s="229">
        <v>-0.19600000000000001</v>
      </c>
      <c r="AZ211" s="230">
        <v>283900</v>
      </c>
      <c r="BA211" s="230">
        <v>117100</v>
      </c>
      <c r="BB211" s="230">
        <v>166800</v>
      </c>
      <c r="BC211" s="229">
        <v>1.4244000000000001</v>
      </c>
      <c r="BD211" s="230">
        <v>11600</v>
      </c>
      <c r="BE211" s="230">
        <v>11800</v>
      </c>
      <c r="BF211" s="228">
        <v>-200</v>
      </c>
      <c r="BG211" s="229">
        <v>-1.6899999999999998E-2</v>
      </c>
      <c r="BH211" s="230">
        <v>4053300</v>
      </c>
      <c r="BI211" s="230">
        <v>4796200</v>
      </c>
      <c r="BJ211" s="230">
        <v>-742900</v>
      </c>
      <c r="BK211" s="229">
        <v>-0.15490000000000001</v>
      </c>
      <c r="BL211" s="230">
        <v>2217300</v>
      </c>
      <c r="BM211" s="230">
        <v>2408600</v>
      </c>
      <c r="BN211" s="230">
        <v>-191300</v>
      </c>
      <c r="BO211" s="229">
        <v>-7.9399999999999998E-2</v>
      </c>
      <c r="BP211" s="230">
        <v>7050900</v>
      </c>
      <c r="BQ211" s="230">
        <v>7936700</v>
      </c>
      <c r="BR211" s="230">
        <v>-885800</v>
      </c>
      <c r="BS211" s="229">
        <v>-0.1116</v>
      </c>
      <c r="BT211" s="230">
        <v>659757</v>
      </c>
      <c r="BU211" s="230">
        <v>580581</v>
      </c>
      <c r="BV211" s="230">
        <v>79176</v>
      </c>
      <c r="BW211" s="229">
        <v>0.13639999999999999</v>
      </c>
      <c r="BX211" s="230">
        <v>6372000</v>
      </c>
      <c r="BY211" s="230">
        <v>6232000</v>
      </c>
      <c r="BZ211" s="230">
        <v>140000</v>
      </c>
      <c r="CA211" s="229">
        <v>2.2499999999999999E-2</v>
      </c>
      <c r="CB211" s="230">
        <v>5820300</v>
      </c>
      <c r="CC211" s="230">
        <v>5874800</v>
      </c>
      <c r="CD211" s="230">
        <v>-54500</v>
      </c>
      <c r="CE211" s="229">
        <v>-9.2999999999999992E-3</v>
      </c>
      <c r="CF211" s="230">
        <v>517700</v>
      </c>
      <c r="CG211" s="230">
        <v>329200</v>
      </c>
      <c r="CH211" s="230">
        <v>188500</v>
      </c>
      <c r="CI211" s="229">
        <v>0.5726</v>
      </c>
      <c r="CJ211" s="230">
        <v>34000</v>
      </c>
      <c r="CK211" s="230">
        <v>28000</v>
      </c>
      <c r="CL211" s="230">
        <v>6000</v>
      </c>
      <c r="CM211" s="229">
        <v>0.21429999999999999</v>
      </c>
      <c r="CN211" s="230">
        <v>3066200</v>
      </c>
      <c r="CO211" s="230">
        <v>2907500</v>
      </c>
      <c r="CP211" s="230">
        <v>158700</v>
      </c>
      <c r="CQ211" s="229">
        <v>5.4600000000000003E-2</v>
      </c>
      <c r="CR211" s="230">
        <v>1665500</v>
      </c>
      <c r="CS211" s="230">
        <v>1655300</v>
      </c>
      <c r="CT211" s="230">
        <v>10200</v>
      </c>
      <c r="CU211" s="229">
        <v>6.1999999999999998E-3</v>
      </c>
      <c r="CV211" s="230">
        <v>11103700</v>
      </c>
      <c r="CW211" s="230">
        <v>10794800</v>
      </c>
      <c r="CX211" s="230">
        <v>308900</v>
      </c>
      <c r="CY211" s="229">
        <v>2.86E-2</v>
      </c>
      <c r="CZ211" s="228">
        <v>30.98</v>
      </c>
      <c r="DA211" s="228">
        <v>29.6</v>
      </c>
      <c r="DB211" s="228">
        <v>1.38</v>
      </c>
      <c r="DC211" s="228">
        <v>1.38</v>
      </c>
      <c r="DD211" s="228">
        <v>47.83</v>
      </c>
      <c r="DE211" s="228">
        <v>47.94</v>
      </c>
      <c r="DF211" s="228">
        <v>-16.850000000000001</v>
      </c>
      <c r="DG211" s="228">
        <v>-0.11</v>
      </c>
      <c r="DH211" s="228">
        <v>31.01</v>
      </c>
      <c r="DI211" s="228">
        <v>29.81</v>
      </c>
      <c r="DJ211" s="228">
        <v>1.2</v>
      </c>
      <c r="DK211" s="228">
        <v>1.2</v>
      </c>
      <c r="DL211" s="228">
        <v>30.91</v>
      </c>
      <c r="DM211" s="228">
        <v>29.18</v>
      </c>
      <c r="DN211" s="228">
        <v>1.73</v>
      </c>
      <c r="DO211" s="228">
        <v>1.73</v>
      </c>
      <c r="DP211" s="228">
        <v>0.54</v>
      </c>
      <c r="DQ211" s="228">
        <v>0.56999999999999995</v>
      </c>
      <c r="DR211" s="228">
        <v>-0.03</v>
      </c>
      <c r="DS211" s="229">
        <v>-5.2600000000000001E-2</v>
      </c>
      <c r="DT211" s="231">
        <v>6000</v>
      </c>
      <c r="DU211" s="231">
        <v>5000</v>
      </c>
      <c r="DV211" s="228">
        <v>0.55000000000000004</v>
      </c>
      <c r="DW211" s="228">
        <v>0.5</v>
      </c>
      <c r="DX211" s="228">
        <v>0.05</v>
      </c>
      <c r="DY211" s="229">
        <v>0.1</v>
      </c>
      <c r="DZ211" s="229">
        <v>8.6599999999999996E-2</v>
      </c>
      <c r="EA211" s="230">
        <v>357200</v>
      </c>
      <c r="EB211" s="229">
        <v>5.3E-3</v>
      </c>
      <c r="EC211" s="229">
        <v>8.6599999999999996E-2</v>
      </c>
      <c r="ED211" s="228">
        <v>27.82</v>
      </c>
      <c r="EE211" s="229">
        <v>5.1000000000000004E-3</v>
      </c>
      <c r="EF211" s="230">
        <v>400861</v>
      </c>
      <c r="EG211" s="230">
        <v>239166</v>
      </c>
      <c r="EH211" s="229">
        <v>0.67610000000000003</v>
      </c>
      <c r="EI211" s="229">
        <v>0.60760000000000003</v>
      </c>
      <c r="EJ211" s="231">
        <v>232999.05</v>
      </c>
      <c r="EK211" s="231">
        <v>119296.2</v>
      </c>
      <c r="EL211" s="231">
        <v>42744.72</v>
      </c>
      <c r="EM211" s="228">
        <v>0</v>
      </c>
      <c r="EN211" s="231">
        <v>395039.97</v>
      </c>
      <c r="EO211" s="231">
        <v>447900.7</v>
      </c>
      <c r="EP211" s="231">
        <v>-52860.73</v>
      </c>
      <c r="EQ211" s="229">
        <v>-0.11799999999999999</v>
      </c>
      <c r="ER211" s="231">
        <v>174513</v>
      </c>
      <c r="ES211" s="231">
        <v>86663</v>
      </c>
      <c r="ET211" s="231">
        <v>348592</v>
      </c>
      <c r="EU211" s="231">
        <v>44787316</v>
      </c>
      <c r="EV211" s="231">
        <v>609768</v>
      </c>
      <c r="EW211" s="231">
        <v>595528</v>
      </c>
      <c r="EX211" s="231">
        <v>14240</v>
      </c>
      <c r="EY211" s="229">
        <v>2.3900000000000001E-2</v>
      </c>
      <c r="EZ211" s="229">
        <v>0.24790000000000001</v>
      </c>
      <c r="FA211" s="227" t="s">
        <v>567</v>
      </c>
      <c r="FB211" s="161">
        <f t="shared" si="5"/>
        <v>0</v>
      </c>
    </row>
    <row r="212" spans="1:158" ht="17.25" thickBot="1" x14ac:dyDescent="0.3">
      <c r="A212" s="226">
        <v>45889</v>
      </c>
      <c r="B212" s="227" t="s">
        <v>162</v>
      </c>
      <c r="C212" s="227" t="s">
        <v>300</v>
      </c>
      <c r="D212" s="228">
        <v>350</v>
      </c>
      <c r="E212" s="231">
        <v>3206.8</v>
      </c>
      <c r="F212" s="231">
        <v>3228.3</v>
      </c>
      <c r="G212" s="228">
        <v>-21.5</v>
      </c>
      <c r="H212" s="229">
        <v>-6.7000000000000002E-3</v>
      </c>
      <c r="I212" s="231">
        <v>3229.8</v>
      </c>
      <c r="J212" s="231">
        <v>3251.9</v>
      </c>
      <c r="K212" s="228">
        <v>-22.1</v>
      </c>
      <c r="L212" s="229">
        <v>-6.7999999999999996E-3</v>
      </c>
      <c r="M212" s="231">
        <v>3206.8</v>
      </c>
      <c r="N212" s="231">
        <v>3228.3</v>
      </c>
      <c r="O212" s="228">
        <v>-21.5</v>
      </c>
      <c r="P212" s="229">
        <v>-6.7000000000000002E-3</v>
      </c>
      <c r="Q212" s="231">
        <v>3220</v>
      </c>
      <c r="R212" s="231">
        <v>3237.9</v>
      </c>
      <c r="S212" s="228">
        <v>-17.899999999999999</v>
      </c>
      <c r="T212" s="229">
        <v>-5.4999999999999997E-3</v>
      </c>
      <c r="U212" s="231">
        <v>3228.2</v>
      </c>
      <c r="V212" s="231">
        <v>3244.4</v>
      </c>
      <c r="W212" s="228">
        <v>-16.2</v>
      </c>
      <c r="X212" s="229">
        <v>-5.0000000000000001E-3</v>
      </c>
      <c r="Y212" s="228">
        <v>-23</v>
      </c>
      <c r="Z212" s="228">
        <v>-23.6</v>
      </c>
      <c r="AA212" s="228">
        <v>0.6</v>
      </c>
      <c r="AB212" s="229">
        <v>-7.1000000000000004E-3</v>
      </c>
      <c r="AC212" s="228">
        <v>-23</v>
      </c>
      <c r="AD212" s="228">
        <v>-23.6</v>
      </c>
      <c r="AE212" s="228">
        <v>0.6</v>
      </c>
      <c r="AF212" s="229">
        <v>-7.1000000000000004E-3</v>
      </c>
      <c r="AG212" s="228">
        <v>-9.8000000000000007</v>
      </c>
      <c r="AH212" s="228">
        <v>-14</v>
      </c>
      <c r="AI212" s="228">
        <v>4.2</v>
      </c>
      <c r="AJ212" s="229">
        <v>-3.0000000000000001E-3</v>
      </c>
      <c r="AK212" s="228">
        <v>-1.6</v>
      </c>
      <c r="AL212" s="228">
        <v>-7.5</v>
      </c>
      <c r="AM212" s="228">
        <v>5.9</v>
      </c>
      <c r="AN212" s="229">
        <v>-5.0000000000000001E-4</v>
      </c>
      <c r="AO212" s="231">
        <v>3215.3</v>
      </c>
      <c r="AP212" s="231">
        <v>3225.83</v>
      </c>
      <c r="AQ212" s="228">
        <v>0</v>
      </c>
      <c r="AR212" s="230">
        <v>1720250</v>
      </c>
      <c r="AS212" s="230">
        <v>2098250</v>
      </c>
      <c r="AT212" s="230">
        <v>-378000</v>
      </c>
      <c r="AU212" s="229">
        <v>-0.1802</v>
      </c>
      <c r="AV212" s="230">
        <v>1436750</v>
      </c>
      <c r="AW212" s="230">
        <v>1733550</v>
      </c>
      <c r="AX212" s="230">
        <v>-296800</v>
      </c>
      <c r="AY212" s="229">
        <v>-0.17119999999999999</v>
      </c>
      <c r="AZ212" s="230">
        <v>276500</v>
      </c>
      <c r="BA212" s="230">
        <v>351050</v>
      </c>
      <c r="BB212" s="230">
        <v>-74550</v>
      </c>
      <c r="BC212" s="229">
        <v>-0.21240000000000001</v>
      </c>
      <c r="BD212" s="230">
        <v>7000</v>
      </c>
      <c r="BE212" s="230">
        <v>13650</v>
      </c>
      <c r="BF212" s="230">
        <v>-6650</v>
      </c>
      <c r="BG212" s="229">
        <v>-0.48720000000000002</v>
      </c>
      <c r="BH212" s="230">
        <v>3155950</v>
      </c>
      <c r="BI212" s="230">
        <v>6672750</v>
      </c>
      <c r="BJ212" s="230">
        <v>-3516800</v>
      </c>
      <c r="BK212" s="229">
        <v>-0.52700000000000002</v>
      </c>
      <c r="BL212" s="230">
        <v>2787750</v>
      </c>
      <c r="BM212" s="230">
        <v>4131050</v>
      </c>
      <c r="BN212" s="230">
        <v>-1343300</v>
      </c>
      <c r="BO212" s="229">
        <v>-0.32519999999999999</v>
      </c>
      <c r="BP212" s="230">
        <v>7663950</v>
      </c>
      <c r="BQ212" s="230">
        <v>12902050</v>
      </c>
      <c r="BR212" s="230">
        <v>-5238100</v>
      </c>
      <c r="BS212" s="229">
        <v>-0.40600000000000003</v>
      </c>
      <c r="BT212" s="230">
        <v>945194</v>
      </c>
      <c r="BU212" s="230">
        <v>1291702</v>
      </c>
      <c r="BV212" s="230">
        <v>-346508</v>
      </c>
      <c r="BW212" s="229">
        <v>-0.26829999999999998</v>
      </c>
      <c r="BX212" s="230">
        <v>9437750</v>
      </c>
      <c r="BY212" s="230">
        <v>9373700</v>
      </c>
      <c r="BZ212" s="230">
        <v>64050</v>
      </c>
      <c r="CA212" s="229">
        <v>6.7999999999999996E-3</v>
      </c>
      <c r="CB212" s="230">
        <v>8497300</v>
      </c>
      <c r="CC212" s="230">
        <v>8510600</v>
      </c>
      <c r="CD212" s="230">
        <v>-13300</v>
      </c>
      <c r="CE212" s="229">
        <v>-1.6000000000000001E-3</v>
      </c>
      <c r="CF212" s="230">
        <v>899150</v>
      </c>
      <c r="CG212" s="230">
        <v>824600</v>
      </c>
      <c r="CH212" s="230">
        <v>74550</v>
      </c>
      <c r="CI212" s="229">
        <v>9.0399999999999994E-2</v>
      </c>
      <c r="CJ212" s="230">
        <v>41300</v>
      </c>
      <c r="CK212" s="230">
        <v>38500</v>
      </c>
      <c r="CL212" s="230">
        <v>2800</v>
      </c>
      <c r="CM212" s="229">
        <v>7.2700000000000001E-2</v>
      </c>
      <c r="CN212" s="230">
        <v>3295950</v>
      </c>
      <c r="CO212" s="230">
        <v>3312750</v>
      </c>
      <c r="CP212" s="230">
        <v>-16800</v>
      </c>
      <c r="CQ212" s="229">
        <v>-5.1000000000000004E-3</v>
      </c>
      <c r="CR212" s="230">
        <v>3086650</v>
      </c>
      <c r="CS212" s="230">
        <v>3265150</v>
      </c>
      <c r="CT212" s="230">
        <v>-178500</v>
      </c>
      <c r="CU212" s="229">
        <v>-5.4699999999999999E-2</v>
      </c>
      <c r="CV212" s="230">
        <v>15820350</v>
      </c>
      <c r="CW212" s="230">
        <v>15951600</v>
      </c>
      <c r="CX212" s="230">
        <v>-131250</v>
      </c>
      <c r="CY212" s="229">
        <v>-8.2000000000000007E-3</v>
      </c>
      <c r="CZ212" s="228">
        <v>25.96</v>
      </c>
      <c r="DA212" s="228">
        <v>25.65</v>
      </c>
      <c r="DB212" s="228">
        <v>0.31</v>
      </c>
      <c r="DC212" s="228">
        <v>0.31</v>
      </c>
      <c r="DD212" s="228">
        <v>33.049999999999997</v>
      </c>
      <c r="DE212" s="228">
        <v>33.119999999999997</v>
      </c>
      <c r="DF212" s="228">
        <v>-7.09</v>
      </c>
      <c r="DG212" s="228">
        <v>-7.0000000000000007E-2</v>
      </c>
      <c r="DH212" s="228">
        <v>24.55</v>
      </c>
      <c r="DI212" s="228">
        <v>24.04</v>
      </c>
      <c r="DJ212" s="228">
        <v>0.51</v>
      </c>
      <c r="DK212" s="228">
        <v>0.51</v>
      </c>
      <c r="DL212" s="228">
        <v>27.57</v>
      </c>
      <c r="DM212" s="228">
        <v>28.26</v>
      </c>
      <c r="DN212" s="228">
        <v>-0.69</v>
      </c>
      <c r="DO212" s="228">
        <v>-0.69</v>
      </c>
      <c r="DP212" s="228">
        <v>0.94</v>
      </c>
      <c r="DQ212" s="228">
        <v>0.99</v>
      </c>
      <c r="DR212" s="228">
        <v>-0.05</v>
      </c>
      <c r="DS212" s="229">
        <v>-5.0500000000000003E-2</v>
      </c>
      <c r="DT212" s="231">
        <v>3300</v>
      </c>
      <c r="DU212" s="231">
        <v>3000</v>
      </c>
      <c r="DV212" s="228">
        <v>0.88</v>
      </c>
      <c r="DW212" s="228">
        <v>0.62</v>
      </c>
      <c r="DX212" s="228">
        <v>0.26</v>
      </c>
      <c r="DY212" s="229">
        <v>0.4194</v>
      </c>
      <c r="DZ212" s="229">
        <v>9.9599999999999994E-2</v>
      </c>
      <c r="EA212" s="230">
        <v>863100</v>
      </c>
      <c r="EB212" s="229">
        <v>4.1000000000000003E-3</v>
      </c>
      <c r="EC212" s="229">
        <v>9.9599999999999994E-2</v>
      </c>
      <c r="ED212" s="228">
        <v>10.53</v>
      </c>
      <c r="EE212" s="229">
        <v>3.3E-3</v>
      </c>
      <c r="EF212" s="230">
        <v>671984</v>
      </c>
      <c r="EG212" s="230">
        <v>782304</v>
      </c>
      <c r="EH212" s="229">
        <v>-0.14099999999999999</v>
      </c>
      <c r="EI212" s="229">
        <v>0.71089999999999998</v>
      </c>
      <c r="EJ212" s="231">
        <v>104661.18</v>
      </c>
      <c r="EK212" s="231">
        <v>87327.45</v>
      </c>
      <c r="EL212" s="231">
        <v>55341.55</v>
      </c>
      <c r="EM212" s="228">
        <v>0</v>
      </c>
      <c r="EN212" s="231">
        <v>247330.18</v>
      </c>
      <c r="EO212" s="231">
        <v>417441.44</v>
      </c>
      <c r="EP212" s="231">
        <v>-170111.26</v>
      </c>
      <c r="EQ212" s="229">
        <v>-0.40749999999999997</v>
      </c>
      <c r="ER212" s="231">
        <v>104706</v>
      </c>
      <c r="ES212" s="231">
        <v>91992</v>
      </c>
      <c r="ET212" s="231">
        <v>302777</v>
      </c>
      <c r="EU212" s="231">
        <v>47159260</v>
      </c>
      <c r="EV212" s="231">
        <v>499476</v>
      </c>
      <c r="EW212" s="231">
        <v>505234</v>
      </c>
      <c r="EX212" s="231">
        <v>-5758</v>
      </c>
      <c r="EY212" s="229">
        <v>-1.14E-2</v>
      </c>
      <c r="EZ212" s="229">
        <v>0.33550000000000002</v>
      </c>
      <c r="FA212" s="227" t="s">
        <v>567</v>
      </c>
      <c r="FB212" s="161">
        <f t="shared" si="5"/>
        <v>0</v>
      </c>
    </row>
    <row r="213" spans="1:158" ht="17.25" thickBot="1" x14ac:dyDescent="0.3">
      <c r="A213" s="226">
        <v>45889</v>
      </c>
      <c r="B213" s="227" t="s">
        <v>157</v>
      </c>
      <c r="C213" s="227" t="s">
        <v>302</v>
      </c>
      <c r="D213" s="228">
        <v>50</v>
      </c>
      <c r="E213" s="231">
        <v>12904</v>
      </c>
      <c r="F213" s="231">
        <v>12870</v>
      </c>
      <c r="G213" s="228">
        <v>34</v>
      </c>
      <c r="H213" s="229">
        <v>2.5999999999999999E-3</v>
      </c>
      <c r="I213" s="231">
        <v>12874</v>
      </c>
      <c r="J213" s="231">
        <v>12863</v>
      </c>
      <c r="K213" s="228">
        <v>11</v>
      </c>
      <c r="L213" s="229">
        <v>8.9999999999999998E-4</v>
      </c>
      <c r="M213" s="231">
        <v>12904</v>
      </c>
      <c r="N213" s="231">
        <v>12870</v>
      </c>
      <c r="O213" s="228">
        <v>34</v>
      </c>
      <c r="P213" s="229">
        <v>2.5999999999999999E-3</v>
      </c>
      <c r="Q213" s="231">
        <v>12980</v>
      </c>
      <c r="R213" s="231">
        <v>12941</v>
      </c>
      <c r="S213" s="228">
        <v>39</v>
      </c>
      <c r="T213" s="229">
        <v>3.0000000000000001E-3</v>
      </c>
      <c r="U213" s="231">
        <v>13045</v>
      </c>
      <c r="V213" s="231">
        <v>13001</v>
      </c>
      <c r="W213" s="228">
        <v>44</v>
      </c>
      <c r="X213" s="229">
        <v>3.3999999999999998E-3</v>
      </c>
      <c r="Y213" s="228">
        <v>30</v>
      </c>
      <c r="Z213" s="228">
        <v>7</v>
      </c>
      <c r="AA213" s="228">
        <v>23</v>
      </c>
      <c r="AB213" s="229">
        <v>2.3E-3</v>
      </c>
      <c r="AC213" s="228">
        <v>30</v>
      </c>
      <c r="AD213" s="228">
        <v>7</v>
      </c>
      <c r="AE213" s="228">
        <v>23</v>
      </c>
      <c r="AF213" s="229">
        <v>2.3E-3</v>
      </c>
      <c r="AG213" s="228">
        <v>106</v>
      </c>
      <c r="AH213" s="228">
        <v>78</v>
      </c>
      <c r="AI213" s="228">
        <v>28</v>
      </c>
      <c r="AJ213" s="229">
        <v>8.2000000000000007E-3</v>
      </c>
      <c r="AK213" s="228">
        <v>171</v>
      </c>
      <c r="AL213" s="228">
        <v>138</v>
      </c>
      <c r="AM213" s="228">
        <v>33</v>
      </c>
      <c r="AN213" s="229">
        <v>1.3299999999999999E-2</v>
      </c>
      <c r="AO213" s="231">
        <v>12891.98</v>
      </c>
      <c r="AP213" s="231">
        <v>12970.09</v>
      </c>
      <c r="AQ213" s="228">
        <v>0</v>
      </c>
      <c r="AR213" s="230">
        <v>297250</v>
      </c>
      <c r="AS213" s="230">
        <v>356250</v>
      </c>
      <c r="AT213" s="230">
        <v>-59000</v>
      </c>
      <c r="AU213" s="229">
        <v>-0.1656</v>
      </c>
      <c r="AV213" s="230">
        <v>243600</v>
      </c>
      <c r="AW213" s="230">
        <v>338200</v>
      </c>
      <c r="AX213" s="230">
        <v>-94600</v>
      </c>
      <c r="AY213" s="229">
        <v>-0.2797</v>
      </c>
      <c r="AZ213" s="230">
        <v>50450</v>
      </c>
      <c r="BA213" s="230">
        <v>15550</v>
      </c>
      <c r="BB213" s="230">
        <v>34900</v>
      </c>
      <c r="BC213" s="229">
        <v>2.2444000000000002</v>
      </c>
      <c r="BD213" s="230">
        <v>3200</v>
      </c>
      <c r="BE213" s="230">
        <v>2500</v>
      </c>
      <c r="BF213" s="228">
        <v>700</v>
      </c>
      <c r="BG213" s="229">
        <v>0.28000000000000003</v>
      </c>
      <c r="BH213" s="230">
        <v>1915400</v>
      </c>
      <c r="BI213" s="230">
        <v>3029750</v>
      </c>
      <c r="BJ213" s="230">
        <v>-1114350</v>
      </c>
      <c r="BK213" s="229">
        <v>-0.36780000000000002</v>
      </c>
      <c r="BL213" s="230">
        <v>880200</v>
      </c>
      <c r="BM213" s="230">
        <v>1396350</v>
      </c>
      <c r="BN213" s="230">
        <v>-516150</v>
      </c>
      <c r="BO213" s="229">
        <v>-0.36959999999999998</v>
      </c>
      <c r="BP213" s="230">
        <v>3092850</v>
      </c>
      <c r="BQ213" s="230">
        <v>4782350</v>
      </c>
      <c r="BR213" s="230">
        <v>-1689500</v>
      </c>
      <c r="BS213" s="229">
        <v>-0.3533</v>
      </c>
      <c r="BT213" s="230">
        <v>293908</v>
      </c>
      <c r="BU213" s="230">
        <v>354332</v>
      </c>
      <c r="BV213" s="230">
        <v>-60424</v>
      </c>
      <c r="BW213" s="229">
        <v>-0.17050000000000001</v>
      </c>
      <c r="BX213" s="230">
        <v>2403750</v>
      </c>
      <c r="BY213" s="230">
        <v>2414300</v>
      </c>
      <c r="BZ213" s="230">
        <v>-10550</v>
      </c>
      <c r="CA213" s="229">
        <v>-4.4000000000000003E-3</v>
      </c>
      <c r="CB213" s="230">
        <v>2307300</v>
      </c>
      <c r="CC213" s="230">
        <v>2348900</v>
      </c>
      <c r="CD213" s="230">
        <v>-41600</v>
      </c>
      <c r="CE213" s="229">
        <v>-1.77E-2</v>
      </c>
      <c r="CF213" s="230">
        <v>75000</v>
      </c>
      <c r="CG213" s="230">
        <v>45750</v>
      </c>
      <c r="CH213" s="230">
        <v>29250</v>
      </c>
      <c r="CI213" s="229">
        <v>0.63929999999999998</v>
      </c>
      <c r="CJ213" s="230">
        <v>21450</v>
      </c>
      <c r="CK213" s="230">
        <v>19650</v>
      </c>
      <c r="CL213" s="230">
        <v>1800</v>
      </c>
      <c r="CM213" s="229">
        <v>9.1600000000000001E-2</v>
      </c>
      <c r="CN213" s="230">
        <v>803150</v>
      </c>
      <c r="CO213" s="230">
        <v>840900</v>
      </c>
      <c r="CP213" s="230">
        <v>-37750</v>
      </c>
      <c r="CQ213" s="229">
        <v>-4.4900000000000002E-2</v>
      </c>
      <c r="CR213" s="230">
        <v>540300</v>
      </c>
      <c r="CS213" s="230">
        <v>507000</v>
      </c>
      <c r="CT213" s="230">
        <v>33300</v>
      </c>
      <c r="CU213" s="229">
        <v>6.5699999999999995E-2</v>
      </c>
      <c r="CV213" s="230">
        <v>3747200</v>
      </c>
      <c r="CW213" s="230">
        <v>3762200</v>
      </c>
      <c r="CX213" s="230">
        <v>-15000</v>
      </c>
      <c r="CY213" s="229">
        <v>-4.0000000000000001E-3</v>
      </c>
      <c r="CZ213" s="228">
        <v>18.93</v>
      </c>
      <c r="DA213" s="228">
        <v>19.25</v>
      </c>
      <c r="DB213" s="228">
        <v>-0.32</v>
      </c>
      <c r="DC213" s="228">
        <v>-0.32</v>
      </c>
      <c r="DD213" s="228">
        <v>26.54</v>
      </c>
      <c r="DE213" s="228">
        <v>26.6</v>
      </c>
      <c r="DF213" s="228">
        <v>-7.61</v>
      </c>
      <c r="DG213" s="228">
        <v>-0.06</v>
      </c>
      <c r="DH213" s="228">
        <v>18.72</v>
      </c>
      <c r="DI213" s="228">
        <v>18.940000000000001</v>
      </c>
      <c r="DJ213" s="228">
        <v>-0.22</v>
      </c>
      <c r="DK213" s="228">
        <v>-0.22</v>
      </c>
      <c r="DL213" s="228">
        <v>19.39</v>
      </c>
      <c r="DM213" s="228">
        <v>19.899999999999999</v>
      </c>
      <c r="DN213" s="228">
        <v>-0.51</v>
      </c>
      <c r="DO213" s="228">
        <v>-0.51</v>
      </c>
      <c r="DP213" s="228">
        <v>0.67</v>
      </c>
      <c r="DQ213" s="228">
        <v>0.6</v>
      </c>
      <c r="DR213" s="228">
        <v>7.0000000000000007E-2</v>
      </c>
      <c r="DS213" s="229">
        <v>0.1167</v>
      </c>
      <c r="DT213" s="231">
        <v>13000</v>
      </c>
      <c r="DU213" s="231">
        <v>12800</v>
      </c>
      <c r="DV213" s="228">
        <v>0.46</v>
      </c>
      <c r="DW213" s="228">
        <v>0.46</v>
      </c>
      <c r="DX213" s="228">
        <v>0</v>
      </c>
      <c r="DY213" s="229">
        <v>0</v>
      </c>
      <c r="DZ213" s="229">
        <v>4.0099999999999997E-2</v>
      </c>
      <c r="EA213" s="230">
        <v>65400</v>
      </c>
      <c r="EB213" s="229">
        <v>5.8999999999999999E-3</v>
      </c>
      <c r="EC213" s="229">
        <v>4.0099999999999997E-2</v>
      </c>
      <c r="ED213" s="228">
        <v>78.11</v>
      </c>
      <c r="EE213" s="229">
        <v>6.1000000000000004E-3</v>
      </c>
      <c r="EF213" s="230">
        <v>205408</v>
      </c>
      <c r="EG213" s="230">
        <v>243155</v>
      </c>
      <c r="EH213" s="229">
        <v>-0.1552</v>
      </c>
      <c r="EI213" s="229">
        <v>0.69889999999999997</v>
      </c>
      <c r="EJ213" s="231">
        <v>252023.71</v>
      </c>
      <c r="EK213" s="231">
        <v>112081.59</v>
      </c>
      <c r="EL213" s="231">
        <v>38365.49</v>
      </c>
      <c r="EM213" s="228">
        <v>0</v>
      </c>
      <c r="EN213" s="231">
        <v>402470.79</v>
      </c>
      <c r="EO213" s="231">
        <v>617712.29</v>
      </c>
      <c r="EP213" s="231">
        <v>-215241.5</v>
      </c>
      <c r="EQ213" s="229">
        <v>-0.34839999999999999</v>
      </c>
      <c r="ER213" s="231">
        <v>104304</v>
      </c>
      <c r="ES213" s="231">
        <v>65938</v>
      </c>
      <c r="ET213" s="231">
        <v>310267</v>
      </c>
      <c r="EU213" s="231">
        <v>23924132</v>
      </c>
      <c r="EV213" s="231">
        <v>480509</v>
      </c>
      <c r="EW213" s="231">
        <v>481501</v>
      </c>
      <c r="EX213" s="228">
        <v>-992</v>
      </c>
      <c r="EY213" s="229">
        <v>-2.0999999999999999E-3</v>
      </c>
      <c r="EZ213" s="229">
        <v>0.15659999999999999</v>
      </c>
      <c r="FA213" s="227" t="s">
        <v>556</v>
      </c>
      <c r="FB213" s="161">
        <f t="shared" si="5"/>
        <v>0</v>
      </c>
    </row>
    <row r="214" spans="1:158" ht="17.25" thickBot="1" x14ac:dyDescent="0.3">
      <c r="A214" s="226">
        <v>45889</v>
      </c>
      <c r="B214" s="227" t="s">
        <v>172</v>
      </c>
      <c r="C214" s="227" t="s">
        <v>594</v>
      </c>
      <c r="D214" s="228">
        <v>4425</v>
      </c>
      <c r="E214" s="228">
        <v>137.32</v>
      </c>
      <c r="F214" s="228">
        <v>137.97</v>
      </c>
      <c r="G214" s="228">
        <v>-0.65</v>
      </c>
      <c r="H214" s="229">
        <v>-4.7000000000000002E-3</v>
      </c>
      <c r="I214" s="228">
        <v>136.91</v>
      </c>
      <c r="J214" s="228">
        <v>137.53</v>
      </c>
      <c r="K214" s="228">
        <v>-0.62</v>
      </c>
      <c r="L214" s="229">
        <v>-4.4999999999999997E-3</v>
      </c>
      <c r="M214" s="228">
        <v>137.32</v>
      </c>
      <c r="N214" s="228">
        <v>137.97</v>
      </c>
      <c r="O214" s="228">
        <v>-0.65</v>
      </c>
      <c r="P214" s="229">
        <v>-4.7000000000000002E-3</v>
      </c>
      <c r="Q214" s="228">
        <v>138</v>
      </c>
      <c r="R214" s="228">
        <v>138.47999999999999</v>
      </c>
      <c r="S214" s="228">
        <v>-0.48</v>
      </c>
      <c r="T214" s="229">
        <v>-3.5000000000000001E-3</v>
      </c>
      <c r="U214" s="228">
        <v>139.02000000000001</v>
      </c>
      <c r="V214" s="228">
        <v>139.02000000000001</v>
      </c>
      <c r="W214" s="228">
        <v>0</v>
      </c>
      <c r="X214" s="229">
        <v>0</v>
      </c>
      <c r="Y214" s="228">
        <v>0.41</v>
      </c>
      <c r="Z214" s="228">
        <v>0.44</v>
      </c>
      <c r="AA214" s="228">
        <v>-0.03</v>
      </c>
      <c r="AB214" s="229">
        <v>3.0000000000000001E-3</v>
      </c>
      <c r="AC214" s="228">
        <v>0.41</v>
      </c>
      <c r="AD214" s="228">
        <v>0.44</v>
      </c>
      <c r="AE214" s="228">
        <v>-0.03</v>
      </c>
      <c r="AF214" s="229">
        <v>3.0000000000000001E-3</v>
      </c>
      <c r="AG214" s="228">
        <v>1.0900000000000001</v>
      </c>
      <c r="AH214" s="228">
        <v>0.95</v>
      </c>
      <c r="AI214" s="228">
        <v>0.14000000000000001</v>
      </c>
      <c r="AJ214" s="229">
        <v>8.0000000000000002E-3</v>
      </c>
      <c r="AK214" s="228">
        <v>2.11</v>
      </c>
      <c r="AL214" s="228">
        <v>1.49</v>
      </c>
      <c r="AM214" s="228">
        <v>0.62</v>
      </c>
      <c r="AN214" s="229">
        <v>1.54E-2</v>
      </c>
      <c r="AO214" s="228">
        <v>137.71</v>
      </c>
      <c r="AP214" s="228">
        <v>138.41999999999999</v>
      </c>
      <c r="AQ214" s="228">
        <v>0</v>
      </c>
      <c r="AR214" s="230">
        <v>8071200</v>
      </c>
      <c r="AS214" s="230">
        <v>14213100</v>
      </c>
      <c r="AT214" s="230">
        <v>-6141900</v>
      </c>
      <c r="AU214" s="229">
        <v>-0.43209999999999998</v>
      </c>
      <c r="AV214" s="230">
        <v>6133050</v>
      </c>
      <c r="AW214" s="230">
        <v>11881125</v>
      </c>
      <c r="AX214" s="230">
        <v>-5748075</v>
      </c>
      <c r="AY214" s="229">
        <v>-0.48380000000000001</v>
      </c>
      <c r="AZ214" s="230">
        <v>1867350</v>
      </c>
      <c r="BA214" s="230">
        <v>2225775</v>
      </c>
      <c r="BB214" s="230">
        <v>-358425</v>
      </c>
      <c r="BC214" s="229">
        <v>-0.161</v>
      </c>
      <c r="BD214" s="230">
        <v>70800</v>
      </c>
      <c r="BE214" s="230">
        <v>106200</v>
      </c>
      <c r="BF214" s="230">
        <v>-35400</v>
      </c>
      <c r="BG214" s="229">
        <v>-0.33329999999999999</v>
      </c>
      <c r="BH214" s="230">
        <v>17815050</v>
      </c>
      <c r="BI214" s="230">
        <v>24514500</v>
      </c>
      <c r="BJ214" s="230">
        <v>-6699450</v>
      </c>
      <c r="BK214" s="229">
        <v>-0.27329999999999999</v>
      </c>
      <c r="BL214" s="230">
        <v>10655400</v>
      </c>
      <c r="BM214" s="230">
        <v>10513800</v>
      </c>
      <c r="BN214" s="230">
        <v>141600</v>
      </c>
      <c r="BO214" s="229">
        <v>1.35E-2</v>
      </c>
      <c r="BP214" s="230">
        <v>36541650</v>
      </c>
      <c r="BQ214" s="230">
        <v>49241400</v>
      </c>
      <c r="BR214" s="230">
        <v>-12699750</v>
      </c>
      <c r="BS214" s="229">
        <v>-0.25790000000000002</v>
      </c>
      <c r="BT214" s="230">
        <v>7225572</v>
      </c>
      <c r="BU214" s="230">
        <v>8403752</v>
      </c>
      <c r="BV214" s="230">
        <v>-1178180</v>
      </c>
      <c r="BW214" s="229">
        <v>-0.14019999999999999</v>
      </c>
      <c r="BX214" s="230">
        <v>89345175</v>
      </c>
      <c r="BY214" s="230">
        <v>89376150</v>
      </c>
      <c r="BZ214" s="230">
        <v>-30975</v>
      </c>
      <c r="CA214" s="229">
        <v>-2.9999999999999997E-4</v>
      </c>
      <c r="CB214" s="230">
        <v>83256375</v>
      </c>
      <c r="CC214" s="230">
        <v>83760825</v>
      </c>
      <c r="CD214" s="230">
        <v>-504450</v>
      </c>
      <c r="CE214" s="229">
        <v>-6.0000000000000001E-3</v>
      </c>
      <c r="CF214" s="230">
        <v>5765775</v>
      </c>
      <c r="CG214" s="230">
        <v>5292300</v>
      </c>
      <c r="CH214" s="230">
        <v>473475</v>
      </c>
      <c r="CI214" s="229">
        <v>8.9499999999999996E-2</v>
      </c>
      <c r="CJ214" s="230">
        <v>323025</v>
      </c>
      <c r="CK214" s="230">
        <v>323025</v>
      </c>
      <c r="CL214" s="228">
        <v>0</v>
      </c>
      <c r="CM214" s="229">
        <v>0</v>
      </c>
      <c r="CN214" s="230">
        <v>30014775</v>
      </c>
      <c r="CO214" s="230">
        <v>30753750</v>
      </c>
      <c r="CP214" s="230">
        <v>-738975</v>
      </c>
      <c r="CQ214" s="229">
        <v>-2.4E-2</v>
      </c>
      <c r="CR214" s="230">
        <v>21912600</v>
      </c>
      <c r="CS214" s="230">
        <v>20943525</v>
      </c>
      <c r="CT214" s="230">
        <v>969075</v>
      </c>
      <c r="CU214" s="229">
        <v>4.6300000000000001E-2</v>
      </c>
      <c r="CV214" s="230">
        <v>141272550</v>
      </c>
      <c r="CW214" s="230">
        <v>141073425</v>
      </c>
      <c r="CX214" s="230">
        <v>199125</v>
      </c>
      <c r="CY214" s="229">
        <v>1.4E-3</v>
      </c>
      <c r="CZ214" s="228">
        <v>27.64</v>
      </c>
      <c r="DA214" s="228">
        <v>26.58</v>
      </c>
      <c r="DB214" s="228">
        <v>1.06</v>
      </c>
      <c r="DC214" s="228">
        <v>1.06</v>
      </c>
      <c r="DD214" s="228">
        <v>44.87</v>
      </c>
      <c r="DE214" s="228">
        <v>44.97</v>
      </c>
      <c r="DF214" s="228">
        <v>-17.23</v>
      </c>
      <c r="DG214" s="228">
        <v>-0.1</v>
      </c>
      <c r="DH214" s="228">
        <v>28.23</v>
      </c>
      <c r="DI214" s="228">
        <v>26.29</v>
      </c>
      <c r="DJ214" s="228">
        <v>1.94</v>
      </c>
      <c r="DK214" s="228">
        <v>1.94</v>
      </c>
      <c r="DL214" s="228">
        <v>26.66</v>
      </c>
      <c r="DM214" s="228">
        <v>27.24</v>
      </c>
      <c r="DN214" s="228">
        <v>-0.57999999999999996</v>
      </c>
      <c r="DO214" s="228">
        <v>-0.57999999999999996</v>
      </c>
      <c r="DP214" s="228">
        <v>0.73</v>
      </c>
      <c r="DQ214" s="228">
        <v>0.68</v>
      </c>
      <c r="DR214" s="228">
        <v>0.05</v>
      </c>
      <c r="DS214" s="229">
        <v>7.3499999999999996E-2</v>
      </c>
      <c r="DT214" s="228">
        <v>135</v>
      </c>
      <c r="DU214" s="228">
        <v>135</v>
      </c>
      <c r="DV214" s="228">
        <v>0.6</v>
      </c>
      <c r="DW214" s="228">
        <v>0.43</v>
      </c>
      <c r="DX214" s="228">
        <v>0.17</v>
      </c>
      <c r="DY214" s="229">
        <v>0.39529999999999998</v>
      </c>
      <c r="DZ214" s="229">
        <v>6.8099999999999994E-2</v>
      </c>
      <c r="EA214" s="230">
        <v>5615325</v>
      </c>
      <c r="EB214" s="229">
        <v>5.0000000000000001E-3</v>
      </c>
      <c r="EC214" s="229">
        <v>6.8099999999999994E-2</v>
      </c>
      <c r="ED214" s="228">
        <v>0.71</v>
      </c>
      <c r="EE214" s="229">
        <v>5.1999999999999998E-3</v>
      </c>
      <c r="EF214" s="230">
        <v>3155967</v>
      </c>
      <c r="EG214" s="230">
        <v>3783918</v>
      </c>
      <c r="EH214" s="229">
        <v>-0.16600000000000001</v>
      </c>
      <c r="EI214" s="229">
        <v>0.43680000000000002</v>
      </c>
      <c r="EJ214" s="231">
        <v>25267.86</v>
      </c>
      <c r="EK214" s="231">
        <v>14619.5</v>
      </c>
      <c r="EL214" s="231">
        <v>11129.07</v>
      </c>
      <c r="EM214" s="228">
        <v>0</v>
      </c>
      <c r="EN214" s="231">
        <v>51016.43</v>
      </c>
      <c r="EO214" s="231">
        <v>68504.19</v>
      </c>
      <c r="EP214" s="231">
        <v>-17487.759999999998</v>
      </c>
      <c r="EQ214" s="229">
        <v>-0.25530000000000003</v>
      </c>
      <c r="ER214" s="231">
        <v>42222</v>
      </c>
      <c r="ES214" s="231">
        <v>29362</v>
      </c>
      <c r="ET214" s="231">
        <v>122733</v>
      </c>
      <c r="EU214" s="231">
        <v>385388951</v>
      </c>
      <c r="EV214" s="231">
        <v>194317</v>
      </c>
      <c r="EW214" s="231">
        <v>194403</v>
      </c>
      <c r="EX214" s="228">
        <v>-86</v>
      </c>
      <c r="EY214" s="229">
        <v>-4.0000000000000002E-4</v>
      </c>
      <c r="EZ214" s="229">
        <v>0.36659999999999998</v>
      </c>
      <c r="FA214" s="227" t="s">
        <v>568</v>
      </c>
      <c r="FB214" s="161">
        <f t="shared" si="5"/>
        <v>0</v>
      </c>
    </row>
    <row r="215" spans="1:158" ht="17.25" thickBot="1" x14ac:dyDescent="0.3">
      <c r="A215" s="226">
        <v>45889</v>
      </c>
      <c r="B215" s="227" t="s">
        <v>168</v>
      </c>
      <c r="C215" s="227" t="s">
        <v>569</v>
      </c>
      <c r="D215" s="228">
        <v>400</v>
      </c>
      <c r="E215" s="231">
        <v>1337.6</v>
      </c>
      <c r="F215" s="231">
        <v>1332.1</v>
      </c>
      <c r="G215" s="228">
        <v>5.5</v>
      </c>
      <c r="H215" s="229">
        <v>4.1000000000000003E-3</v>
      </c>
      <c r="I215" s="231">
        <v>1335.9</v>
      </c>
      <c r="J215" s="231">
        <v>1328.6</v>
      </c>
      <c r="K215" s="228">
        <v>7.3</v>
      </c>
      <c r="L215" s="229">
        <v>5.4999999999999997E-3</v>
      </c>
      <c r="M215" s="231">
        <v>1337.6</v>
      </c>
      <c r="N215" s="231">
        <v>1332.1</v>
      </c>
      <c r="O215" s="228">
        <v>5.5</v>
      </c>
      <c r="P215" s="229">
        <v>4.1000000000000003E-3</v>
      </c>
      <c r="Q215" s="231">
        <v>1345.2</v>
      </c>
      <c r="R215" s="231">
        <v>1339.5</v>
      </c>
      <c r="S215" s="228">
        <v>5.7</v>
      </c>
      <c r="T215" s="229">
        <v>4.3E-3</v>
      </c>
      <c r="U215" s="231">
        <v>1351.2</v>
      </c>
      <c r="V215" s="231">
        <v>1346.4</v>
      </c>
      <c r="W215" s="228">
        <v>4.8</v>
      </c>
      <c r="X215" s="229">
        <v>3.5999999999999999E-3</v>
      </c>
      <c r="Y215" s="228">
        <v>1.7</v>
      </c>
      <c r="Z215" s="228">
        <v>3.5</v>
      </c>
      <c r="AA215" s="228">
        <v>-1.8</v>
      </c>
      <c r="AB215" s="229">
        <v>1.2999999999999999E-3</v>
      </c>
      <c r="AC215" s="228">
        <v>1.7</v>
      </c>
      <c r="AD215" s="228">
        <v>3.5</v>
      </c>
      <c r="AE215" s="228">
        <v>-1.8</v>
      </c>
      <c r="AF215" s="229">
        <v>1.2999999999999999E-3</v>
      </c>
      <c r="AG215" s="228">
        <v>9.3000000000000007</v>
      </c>
      <c r="AH215" s="228">
        <v>10.9</v>
      </c>
      <c r="AI215" s="228">
        <v>-1.6</v>
      </c>
      <c r="AJ215" s="229">
        <v>7.0000000000000001E-3</v>
      </c>
      <c r="AK215" s="228">
        <v>15.3</v>
      </c>
      <c r="AL215" s="228">
        <v>17.8</v>
      </c>
      <c r="AM215" s="228">
        <v>-2.5</v>
      </c>
      <c r="AN215" s="229">
        <v>1.15E-2</v>
      </c>
      <c r="AO215" s="231">
        <v>1337.93</v>
      </c>
      <c r="AP215" s="231">
        <v>1346.09</v>
      </c>
      <c r="AQ215" s="228">
        <v>0</v>
      </c>
      <c r="AR215" s="230">
        <v>1898400</v>
      </c>
      <c r="AS215" s="230">
        <v>3411200</v>
      </c>
      <c r="AT215" s="230">
        <v>-1512800</v>
      </c>
      <c r="AU215" s="229">
        <v>-0.44350000000000001</v>
      </c>
      <c r="AV215" s="230">
        <v>1552800</v>
      </c>
      <c r="AW215" s="230">
        <v>3075600</v>
      </c>
      <c r="AX215" s="230">
        <v>-1522800</v>
      </c>
      <c r="AY215" s="229">
        <v>-0.49509999999999998</v>
      </c>
      <c r="AZ215" s="230">
        <v>319600</v>
      </c>
      <c r="BA215" s="230">
        <v>314800</v>
      </c>
      <c r="BB215" s="230">
        <v>4800</v>
      </c>
      <c r="BC215" s="229">
        <v>1.52E-2</v>
      </c>
      <c r="BD215" s="230">
        <v>26000</v>
      </c>
      <c r="BE215" s="230">
        <v>20800</v>
      </c>
      <c r="BF215" s="230">
        <v>5200</v>
      </c>
      <c r="BG215" s="229">
        <v>0.25</v>
      </c>
      <c r="BH215" s="230">
        <v>5917600</v>
      </c>
      <c r="BI215" s="230">
        <v>5030000</v>
      </c>
      <c r="BJ215" s="230">
        <v>887600</v>
      </c>
      <c r="BK215" s="229">
        <v>0.17649999999999999</v>
      </c>
      <c r="BL215" s="230">
        <v>2928000</v>
      </c>
      <c r="BM215" s="230">
        <v>1886800</v>
      </c>
      <c r="BN215" s="230">
        <v>1041200</v>
      </c>
      <c r="BO215" s="229">
        <v>0.55179999999999996</v>
      </c>
      <c r="BP215" s="230">
        <v>10744000</v>
      </c>
      <c r="BQ215" s="230">
        <v>10328000</v>
      </c>
      <c r="BR215" s="230">
        <v>416000</v>
      </c>
      <c r="BS215" s="229">
        <v>4.0300000000000002E-2</v>
      </c>
      <c r="BT215" s="230">
        <v>1106644</v>
      </c>
      <c r="BU215" s="230">
        <v>1868534</v>
      </c>
      <c r="BV215" s="230">
        <v>-761890</v>
      </c>
      <c r="BW215" s="229">
        <v>-0.40770000000000001</v>
      </c>
      <c r="BX215" s="230">
        <v>14358400</v>
      </c>
      <c r="BY215" s="230">
        <v>14483200</v>
      </c>
      <c r="BZ215" s="230">
        <v>-124800</v>
      </c>
      <c r="CA215" s="229">
        <v>-8.6E-3</v>
      </c>
      <c r="CB215" s="230">
        <v>13499600</v>
      </c>
      <c r="CC215" s="230">
        <v>13758400</v>
      </c>
      <c r="CD215" s="230">
        <v>-258800</v>
      </c>
      <c r="CE215" s="229">
        <v>-1.8800000000000001E-2</v>
      </c>
      <c r="CF215" s="230">
        <v>769600</v>
      </c>
      <c r="CG215" s="230">
        <v>637600</v>
      </c>
      <c r="CH215" s="230">
        <v>132000</v>
      </c>
      <c r="CI215" s="229">
        <v>0.20699999999999999</v>
      </c>
      <c r="CJ215" s="230">
        <v>89200</v>
      </c>
      <c r="CK215" s="230">
        <v>87200</v>
      </c>
      <c r="CL215" s="230">
        <v>2000</v>
      </c>
      <c r="CM215" s="229">
        <v>2.29E-2</v>
      </c>
      <c r="CN215" s="230">
        <v>3737200</v>
      </c>
      <c r="CO215" s="230">
        <v>3806800</v>
      </c>
      <c r="CP215" s="230">
        <v>-69600</v>
      </c>
      <c r="CQ215" s="229">
        <v>-1.83E-2</v>
      </c>
      <c r="CR215" s="230">
        <v>2918000</v>
      </c>
      <c r="CS215" s="230">
        <v>2926400</v>
      </c>
      <c r="CT215" s="230">
        <v>-8400</v>
      </c>
      <c r="CU215" s="229">
        <v>-2.8999999999999998E-3</v>
      </c>
      <c r="CV215" s="230">
        <v>21013600</v>
      </c>
      <c r="CW215" s="230">
        <v>21216400</v>
      </c>
      <c r="CX215" s="230">
        <v>-202800</v>
      </c>
      <c r="CY215" s="229">
        <v>-9.5999999999999992E-3</v>
      </c>
      <c r="CZ215" s="228">
        <v>22.06</v>
      </c>
      <c r="DA215" s="228">
        <v>21.31</v>
      </c>
      <c r="DB215" s="228">
        <v>0.75</v>
      </c>
      <c r="DC215" s="228">
        <v>0.75</v>
      </c>
      <c r="DD215" s="228">
        <v>29.36</v>
      </c>
      <c r="DE215" s="228">
        <v>29.43</v>
      </c>
      <c r="DF215" s="228">
        <v>-7.3</v>
      </c>
      <c r="DG215" s="228">
        <v>-7.0000000000000007E-2</v>
      </c>
      <c r="DH215" s="228">
        <v>21.8</v>
      </c>
      <c r="DI215" s="228">
        <v>21.03</v>
      </c>
      <c r="DJ215" s="228">
        <v>0.77</v>
      </c>
      <c r="DK215" s="228">
        <v>0.77</v>
      </c>
      <c r="DL215" s="228">
        <v>22.59</v>
      </c>
      <c r="DM215" s="228">
        <v>22.05</v>
      </c>
      <c r="DN215" s="228">
        <v>0.54</v>
      </c>
      <c r="DO215" s="228">
        <v>0.54</v>
      </c>
      <c r="DP215" s="228">
        <v>0.78</v>
      </c>
      <c r="DQ215" s="228">
        <v>0.77</v>
      </c>
      <c r="DR215" s="228">
        <v>0.01</v>
      </c>
      <c r="DS215" s="229">
        <v>1.2999999999999999E-2</v>
      </c>
      <c r="DT215" s="231">
        <v>1400</v>
      </c>
      <c r="DU215" s="231">
        <v>1320</v>
      </c>
      <c r="DV215" s="228">
        <v>0.49</v>
      </c>
      <c r="DW215" s="228">
        <v>0.38</v>
      </c>
      <c r="DX215" s="228">
        <v>0.11</v>
      </c>
      <c r="DY215" s="229">
        <v>0.28949999999999998</v>
      </c>
      <c r="DZ215" s="229">
        <v>5.9799999999999999E-2</v>
      </c>
      <c r="EA215" s="230">
        <v>724800</v>
      </c>
      <c r="EB215" s="229">
        <v>5.7000000000000002E-3</v>
      </c>
      <c r="EC215" s="229">
        <v>5.9799999999999999E-2</v>
      </c>
      <c r="ED215" s="228">
        <v>8.16</v>
      </c>
      <c r="EE215" s="229">
        <v>6.1000000000000004E-3</v>
      </c>
      <c r="EF215" s="230">
        <v>663423</v>
      </c>
      <c r="EG215" s="230">
        <v>1355131</v>
      </c>
      <c r="EH215" s="229">
        <v>-0.51039999999999996</v>
      </c>
      <c r="EI215" s="229">
        <v>0.59950000000000003</v>
      </c>
      <c r="EJ215" s="231">
        <v>81272.740000000005</v>
      </c>
      <c r="EK215" s="231">
        <v>38647.089999999997</v>
      </c>
      <c r="EL215" s="231">
        <v>25428.54</v>
      </c>
      <c r="EM215" s="228">
        <v>0</v>
      </c>
      <c r="EN215" s="231">
        <v>145348.37</v>
      </c>
      <c r="EO215" s="231">
        <v>138271.39000000001</v>
      </c>
      <c r="EP215" s="231">
        <v>7076.98</v>
      </c>
      <c r="EQ215" s="229">
        <v>5.1200000000000002E-2</v>
      </c>
      <c r="ER215" s="231">
        <v>51620</v>
      </c>
      <c r="ES215" s="231">
        <v>39354</v>
      </c>
      <c r="ET215" s="231">
        <v>192129</v>
      </c>
      <c r="EU215" s="231">
        <v>63025888</v>
      </c>
      <c r="EV215" s="231">
        <v>283103</v>
      </c>
      <c r="EW215" s="231">
        <v>284872</v>
      </c>
      <c r="EX215" s="231">
        <v>-1769</v>
      </c>
      <c r="EY215" s="229">
        <v>-6.1999999999999998E-3</v>
      </c>
      <c r="EZ215" s="229">
        <v>0.33339999999999997</v>
      </c>
      <c r="FA215" s="227" t="s">
        <v>556</v>
      </c>
      <c r="FB215" s="161">
        <f t="shared" si="5"/>
        <v>0</v>
      </c>
    </row>
    <row r="216" spans="1:158" ht="17.25" thickBot="1" x14ac:dyDescent="0.3">
      <c r="A216" s="226">
        <v>45889</v>
      </c>
      <c r="B216" s="227" t="s">
        <v>162</v>
      </c>
      <c r="C216" s="227" t="s">
        <v>676</v>
      </c>
      <c r="D216" s="228">
        <v>550</v>
      </c>
      <c r="E216" s="231">
        <v>1239.4000000000001</v>
      </c>
      <c r="F216" s="231">
        <v>1224.0999999999999</v>
      </c>
      <c r="G216" s="228">
        <v>15.3</v>
      </c>
      <c r="H216" s="229">
        <v>1.2500000000000001E-2</v>
      </c>
      <c r="I216" s="231">
        <v>1234.8</v>
      </c>
      <c r="J216" s="231">
        <v>1219.9000000000001</v>
      </c>
      <c r="K216" s="228">
        <v>14.9</v>
      </c>
      <c r="L216" s="229">
        <v>1.2200000000000001E-2</v>
      </c>
      <c r="M216" s="231">
        <v>1239.4000000000001</v>
      </c>
      <c r="N216" s="231">
        <v>1224.0999999999999</v>
      </c>
      <c r="O216" s="228">
        <v>15.3</v>
      </c>
      <c r="P216" s="229">
        <v>1.2500000000000001E-2</v>
      </c>
      <c r="Q216" s="231">
        <v>1242.5999999999999</v>
      </c>
      <c r="R216" s="231">
        <v>1228.0999999999999</v>
      </c>
      <c r="S216" s="228">
        <v>14.5</v>
      </c>
      <c r="T216" s="229">
        <v>1.18E-2</v>
      </c>
      <c r="U216" s="231">
        <v>1252</v>
      </c>
      <c r="V216" s="231">
        <v>1231.2</v>
      </c>
      <c r="W216" s="228">
        <v>20.8</v>
      </c>
      <c r="X216" s="229">
        <v>1.6899999999999998E-2</v>
      </c>
      <c r="Y216" s="228">
        <v>4.5999999999999996</v>
      </c>
      <c r="Z216" s="228">
        <v>4.2</v>
      </c>
      <c r="AA216" s="228">
        <v>0.4</v>
      </c>
      <c r="AB216" s="229">
        <v>3.7000000000000002E-3</v>
      </c>
      <c r="AC216" s="228">
        <v>4.5999999999999996</v>
      </c>
      <c r="AD216" s="228">
        <v>4.2</v>
      </c>
      <c r="AE216" s="228">
        <v>0.4</v>
      </c>
      <c r="AF216" s="229">
        <v>3.7000000000000002E-3</v>
      </c>
      <c r="AG216" s="228">
        <v>7.8</v>
      </c>
      <c r="AH216" s="228">
        <v>8.1999999999999993</v>
      </c>
      <c r="AI216" s="228">
        <v>-0.4</v>
      </c>
      <c r="AJ216" s="229">
        <v>6.3E-3</v>
      </c>
      <c r="AK216" s="228">
        <v>17.2</v>
      </c>
      <c r="AL216" s="228">
        <v>11.3</v>
      </c>
      <c r="AM216" s="228">
        <v>5.9</v>
      </c>
      <c r="AN216" s="229">
        <v>1.3899999999999999E-2</v>
      </c>
      <c r="AO216" s="231">
        <v>1232.42</v>
      </c>
      <c r="AP216" s="231">
        <v>1237.25</v>
      </c>
      <c r="AQ216" s="228">
        <v>0</v>
      </c>
      <c r="AR216" s="230">
        <v>1006500</v>
      </c>
      <c r="AS216" s="230">
        <v>1454750</v>
      </c>
      <c r="AT216" s="230">
        <v>-448250</v>
      </c>
      <c r="AU216" s="229">
        <v>-0.30809999999999998</v>
      </c>
      <c r="AV216" s="230">
        <v>920150</v>
      </c>
      <c r="AW216" s="230">
        <v>1364550</v>
      </c>
      <c r="AX216" s="230">
        <v>-444400</v>
      </c>
      <c r="AY216" s="229">
        <v>-0.32569999999999999</v>
      </c>
      <c r="AZ216" s="230">
        <v>83600</v>
      </c>
      <c r="BA216" s="230">
        <v>85250</v>
      </c>
      <c r="BB216" s="230">
        <v>-1650</v>
      </c>
      <c r="BC216" s="229">
        <v>-1.9400000000000001E-2</v>
      </c>
      <c r="BD216" s="230">
        <v>2750</v>
      </c>
      <c r="BE216" s="230">
        <v>4950</v>
      </c>
      <c r="BF216" s="230">
        <v>-2200</v>
      </c>
      <c r="BG216" s="229">
        <v>-0.44440000000000002</v>
      </c>
      <c r="BH216" s="230">
        <v>2787400</v>
      </c>
      <c r="BI216" s="230">
        <v>2639450</v>
      </c>
      <c r="BJ216" s="230">
        <v>147950</v>
      </c>
      <c r="BK216" s="229">
        <v>5.6099999999999997E-2</v>
      </c>
      <c r="BL216" s="230">
        <v>1006500</v>
      </c>
      <c r="BM216" s="230">
        <v>1523500</v>
      </c>
      <c r="BN216" s="230">
        <v>-517000</v>
      </c>
      <c r="BO216" s="229">
        <v>-0.33939999999999998</v>
      </c>
      <c r="BP216" s="230">
        <v>4800400</v>
      </c>
      <c r="BQ216" s="230">
        <v>5617700</v>
      </c>
      <c r="BR216" s="230">
        <v>-817300</v>
      </c>
      <c r="BS216" s="229">
        <v>-0.14549999999999999</v>
      </c>
      <c r="BT216" s="230">
        <v>901838</v>
      </c>
      <c r="BU216" s="230">
        <v>1838831</v>
      </c>
      <c r="BV216" s="230">
        <v>-936993</v>
      </c>
      <c r="BW216" s="229">
        <v>-0.50960000000000005</v>
      </c>
      <c r="BX216" s="230">
        <v>3952850</v>
      </c>
      <c r="BY216" s="230">
        <v>3710850</v>
      </c>
      <c r="BZ216" s="230">
        <v>242000</v>
      </c>
      <c r="CA216" s="229">
        <v>6.5199999999999994E-2</v>
      </c>
      <c r="CB216" s="230">
        <v>3815900</v>
      </c>
      <c r="CC216" s="230">
        <v>3570600</v>
      </c>
      <c r="CD216" s="230">
        <v>245300</v>
      </c>
      <c r="CE216" s="229">
        <v>6.8699999999999997E-2</v>
      </c>
      <c r="CF216" s="230">
        <v>130900</v>
      </c>
      <c r="CG216" s="230">
        <v>134200</v>
      </c>
      <c r="CH216" s="230">
        <v>-3300</v>
      </c>
      <c r="CI216" s="229">
        <v>-2.46E-2</v>
      </c>
      <c r="CJ216" s="230">
        <v>6050</v>
      </c>
      <c r="CK216" s="230">
        <v>6050</v>
      </c>
      <c r="CL216" s="228">
        <v>0</v>
      </c>
      <c r="CM216" s="229">
        <v>0</v>
      </c>
      <c r="CN216" s="230">
        <v>1437150</v>
      </c>
      <c r="CO216" s="230">
        <v>1429450</v>
      </c>
      <c r="CP216" s="230">
        <v>7700</v>
      </c>
      <c r="CQ216" s="229">
        <v>5.4000000000000003E-3</v>
      </c>
      <c r="CR216" s="230">
        <v>1384900</v>
      </c>
      <c r="CS216" s="230">
        <v>1396450</v>
      </c>
      <c r="CT216" s="230">
        <v>-11550</v>
      </c>
      <c r="CU216" s="229">
        <v>-8.3000000000000001E-3</v>
      </c>
      <c r="CV216" s="230">
        <v>6774900</v>
      </c>
      <c r="CW216" s="230">
        <v>6536750</v>
      </c>
      <c r="CX216" s="230">
        <v>238150</v>
      </c>
      <c r="CY216" s="229">
        <v>3.6400000000000002E-2</v>
      </c>
      <c r="CZ216" s="228">
        <v>32.049999999999997</v>
      </c>
      <c r="DA216" s="228">
        <v>33.299999999999997</v>
      </c>
      <c r="DB216" s="228">
        <v>-1.25</v>
      </c>
      <c r="DC216" s="228">
        <v>-1.25</v>
      </c>
      <c r="DD216" s="228">
        <v>43.87</v>
      </c>
      <c r="DE216" s="228">
        <v>43.95</v>
      </c>
      <c r="DF216" s="228">
        <v>-11.82</v>
      </c>
      <c r="DG216" s="228">
        <v>-0.08</v>
      </c>
      <c r="DH216" s="228">
        <v>30.62</v>
      </c>
      <c r="DI216" s="228">
        <v>31.91</v>
      </c>
      <c r="DJ216" s="228">
        <v>-1.29</v>
      </c>
      <c r="DK216" s="228">
        <v>-1.29</v>
      </c>
      <c r="DL216" s="228">
        <v>36.01</v>
      </c>
      <c r="DM216" s="228">
        <v>35.700000000000003</v>
      </c>
      <c r="DN216" s="228">
        <v>0.31</v>
      </c>
      <c r="DO216" s="228">
        <v>0.31</v>
      </c>
      <c r="DP216" s="228">
        <v>0.96</v>
      </c>
      <c r="DQ216" s="228">
        <v>0.98</v>
      </c>
      <c r="DR216" s="228">
        <v>-0.02</v>
      </c>
      <c r="DS216" s="229">
        <v>-2.0400000000000001E-2</v>
      </c>
      <c r="DT216" s="231">
        <v>1240</v>
      </c>
      <c r="DU216" s="231">
        <v>1000</v>
      </c>
      <c r="DV216" s="228">
        <v>0.36</v>
      </c>
      <c r="DW216" s="228">
        <v>0.57999999999999996</v>
      </c>
      <c r="DX216" s="228">
        <v>-0.22</v>
      </c>
      <c r="DY216" s="229">
        <v>-0.37930000000000003</v>
      </c>
      <c r="DZ216" s="229">
        <v>3.4599999999999999E-2</v>
      </c>
      <c r="EA216" s="230">
        <v>140250</v>
      </c>
      <c r="EB216" s="229">
        <v>2.5999999999999999E-3</v>
      </c>
      <c r="EC216" s="229">
        <v>3.4599999999999999E-2</v>
      </c>
      <c r="ED216" s="228">
        <v>4.83</v>
      </c>
      <c r="EE216" s="229">
        <v>3.8999999999999998E-3</v>
      </c>
      <c r="EF216" s="230">
        <v>468626</v>
      </c>
      <c r="EG216" s="230">
        <v>1198566</v>
      </c>
      <c r="EH216" s="229">
        <v>-0.60899999999999999</v>
      </c>
      <c r="EI216" s="229">
        <v>0.51959999999999995</v>
      </c>
      <c r="EJ216" s="231">
        <v>35409.360000000001</v>
      </c>
      <c r="EK216" s="231">
        <v>11929.75</v>
      </c>
      <c r="EL216" s="231">
        <v>12408.68</v>
      </c>
      <c r="EM216" s="228">
        <v>0</v>
      </c>
      <c r="EN216" s="231">
        <v>59747.79</v>
      </c>
      <c r="EO216" s="231">
        <v>69124.539999999994</v>
      </c>
      <c r="EP216" s="231">
        <v>-9376.75</v>
      </c>
      <c r="EQ216" s="229">
        <v>-0.13569999999999999</v>
      </c>
      <c r="ER216" s="231">
        <v>17243</v>
      </c>
      <c r="ES216" s="231">
        <v>15197</v>
      </c>
      <c r="ET216" s="231">
        <v>48997</v>
      </c>
      <c r="EU216" s="231">
        <v>35953552</v>
      </c>
      <c r="EV216" s="231">
        <v>81437</v>
      </c>
      <c r="EW216" s="231">
        <v>77761</v>
      </c>
      <c r="EX216" s="231">
        <v>3676</v>
      </c>
      <c r="EY216" s="229">
        <v>4.7300000000000002E-2</v>
      </c>
      <c r="EZ216" s="229">
        <v>0.18840000000000001</v>
      </c>
      <c r="FA216" s="227" t="s">
        <v>555</v>
      </c>
      <c r="FB216" s="161">
        <f t="shared" si="5"/>
        <v>0</v>
      </c>
    </row>
    <row r="217" spans="1:158" ht="17.25" thickBot="1" x14ac:dyDescent="0.3">
      <c r="A217" s="226">
        <v>45889</v>
      </c>
      <c r="B217" s="227" t="s">
        <v>498</v>
      </c>
      <c r="C217" s="227" t="s">
        <v>303</v>
      </c>
      <c r="D217" s="228">
        <v>1355</v>
      </c>
      <c r="E217" s="228">
        <v>711.5</v>
      </c>
      <c r="F217" s="228">
        <v>707.1</v>
      </c>
      <c r="G217" s="228">
        <v>4.4000000000000004</v>
      </c>
      <c r="H217" s="229">
        <v>6.1999999999999998E-3</v>
      </c>
      <c r="I217" s="228">
        <v>713.45</v>
      </c>
      <c r="J217" s="228">
        <v>707.3</v>
      </c>
      <c r="K217" s="228">
        <v>6.15</v>
      </c>
      <c r="L217" s="229">
        <v>8.6999999999999994E-3</v>
      </c>
      <c r="M217" s="228">
        <v>711.5</v>
      </c>
      <c r="N217" s="228">
        <v>707.1</v>
      </c>
      <c r="O217" s="228">
        <v>4.4000000000000004</v>
      </c>
      <c r="P217" s="229">
        <v>6.1999999999999998E-3</v>
      </c>
      <c r="Q217" s="228">
        <v>712.8</v>
      </c>
      <c r="R217" s="228">
        <v>707.7</v>
      </c>
      <c r="S217" s="228">
        <v>5.0999999999999996</v>
      </c>
      <c r="T217" s="229">
        <v>7.1999999999999998E-3</v>
      </c>
      <c r="U217" s="228">
        <v>715.2</v>
      </c>
      <c r="V217" s="228">
        <v>710.25</v>
      </c>
      <c r="W217" s="228">
        <v>4.95</v>
      </c>
      <c r="X217" s="229">
        <v>7.0000000000000001E-3</v>
      </c>
      <c r="Y217" s="228">
        <v>-1.95</v>
      </c>
      <c r="Z217" s="228">
        <v>-0.2</v>
      </c>
      <c r="AA217" s="228">
        <v>-1.75</v>
      </c>
      <c r="AB217" s="229">
        <v>-2.7000000000000001E-3</v>
      </c>
      <c r="AC217" s="228">
        <v>-1.95</v>
      </c>
      <c r="AD217" s="228">
        <v>-0.2</v>
      </c>
      <c r="AE217" s="228">
        <v>-1.75</v>
      </c>
      <c r="AF217" s="229">
        <v>-2.7000000000000001E-3</v>
      </c>
      <c r="AG217" s="228">
        <v>-0.65</v>
      </c>
      <c r="AH217" s="228">
        <v>0.4</v>
      </c>
      <c r="AI217" s="228">
        <v>-1.05</v>
      </c>
      <c r="AJ217" s="229">
        <v>-8.9999999999999998E-4</v>
      </c>
      <c r="AK217" s="228">
        <v>1.75</v>
      </c>
      <c r="AL217" s="228">
        <v>2.95</v>
      </c>
      <c r="AM217" s="228">
        <v>-1.2</v>
      </c>
      <c r="AN217" s="229">
        <v>2.5000000000000001E-3</v>
      </c>
      <c r="AO217" s="228">
        <v>715.88</v>
      </c>
      <c r="AP217" s="228">
        <v>718.33</v>
      </c>
      <c r="AQ217" s="228">
        <v>0</v>
      </c>
      <c r="AR217" s="230">
        <v>9410475</v>
      </c>
      <c r="AS217" s="230">
        <v>4861740</v>
      </c>
      <c r="AT217" s="230">
        <v>4548735</v>
      </c>
      <c r="AU217" s="229">
        <v>0.93559999999999999</v>
      </c>
      <c r="AV217" s="230">
        <v>7353585</v>
      </c>
      <c r="AW217" s="230">
        <v>4066355</v>
      </c>
      <c r="AX217" s="230">
        <v>3287230</v>
      </c>
      <c r="AY217" s="229">
        <v>0.80840000000000001</v>
      </c>
      <c r="AZ217" s="230">
        <v>2005400</v>
      </c>
      <c r="BA217" s="230">
        <v>769640</v>
      </c>
      <c r="BB217" s="230">
        <v>1235760</v>
      </c>
      <c r="BC217" s="229">
        <v>1.6055999999999999</v>
      </c>
      <c r="BD217" s="230">
        <v>51490</v>
      </c>
      <c r="BE217" s="230">
        <v>25745</v>
      </c>
      <c r="BF217" s="230">
        <v>25745</v>
      </c>
      <c r="BG217" s="229">
        <v>1</v>
      </c>
      <c r="BH217" s="230">
        <v>41288205</v>
      </c>
      <c r="BI217" s="230">
        <v>25548525</v>
      </c>
      <c r="BJ217" s="230">
        <v>15739680</v>
      </c>
      <c r="BK217" s="229">
        <v>0.61609999999999998</v>
      </c>
      <c r="BL217" s="230">
        <v>17594675</v>
      </c>
      <c r="BM217" s="230">
        <v>8848150</v>
      </c>
      <c r="BN217" s="230">
        <v>8746525</v>
      </c>
      <c r="BO217" s="229">
        <v>0.98850000000000005</v>
      </c>
      <c r="BP217" s="230">
        <v>68293355</v>
      </c>
      <c r="BQ217" s="230">
        <v>39258415</v>
      </c>
      <c r="BR217" s="230">
        <v>29034940</v>
      </c>
      <c r="BS217" s="229">
        <v>0.73960000000000004</v>
      </c>
      <c r="BT217" s="230">
        <v>3171406</v>
      </c>
      <c r="BU217" s="230">
        <v>2104009</v>
      </c>
      <c r="BV217" s="230">
        <v>1067397</v>
      </c>
      <c r="BW217" s="229">
        <v>0.50729999999999997</v>
      </c>
      <c r="BX217" s="230">
        <v>31262560</v>
      </c>
      <c r="BY217" s="230">
        <v>31311340</v>
      </c>
      <c r="BZ217" s="230">
        <v>-48780</v>
      </c>
      <c r="CA217" s="229">
        <v>-1.6000000000000001E-3</v>
      </c>
      <c r="CB217" s="230">
        <v>28522750</v>
      </c>
      <c r="CC217" s="230">
        <v>29467185</v>
      </c>
      <c r="CD217" s="230">
        <v>-944435</v>
      </c>
      <c r="CE217" s="229">
        <v>-3.2099999999999997E-2</v>
      </c>
      <c r="CF217" s="230">
        <v>2686965</v>
      </c>
      <c r="CG217" s="230">
        <v>1799440</v>
      </c>
      <c r="CH217" s="230">
        <v>887525</v>
      </c>
      <c r="CI217" s="229">
        <v>0.49320000000000003</v>
      </c>
      <c r="CJ217" s="230">
        <v>52845</v>
      </c>
      <c r="CK217" s="230">
        <v>44715</v>
      </c>
      <c r="CL217" s="230">
        <v>8130</v>
      </c>
      <c r="CM217" s="229">
        <v>0.18179999999999999</v>
      </c>
      <c r="CN217" s="230">
        <v>14700395</v>
      </c>
      <c r="CO217" s="230">
        <v>14292540</v>
      </c>
      <c r="CP217" s="230">
        <v>407855</v>
      </c>
      <c r="CQ217" s="229">
        <v>2.8500000000000001E-2</v>
      </c>
      <c r="CR217" s="230">
        <v>8556825</v>
      </c>
      <c r="CS217" s="230">
        <v>8235690</v>
      </c>
      <c r="CT217" s="230">
        <v>321135</v>
      </c>
      <c r="CU217" s="229">
        <v>3.9E-2</v>
      </c>
      <c r="CV217" s="230">
        <v>54519780</v>
      </c>
      <c r="CW217" s="230">
        <v>53839570</v>
      </c>
      <c r="CX217" s="230">
        <v>680210</v>
      </c>
      <c r="CY217" s="229">
        <v>1.26E-2</v>
      </c>
      <c r="CZ217" s="228">
        <v>27.17</v>
      </c>
      <c r="DA217" s="228">
        <v>27.08</v>
      </c>
      <c r="DB217" s="228">
        <v>0.09</v>
      </c>
      <c r="DC217" s="228">
        <v>0.09</v>
      </c>
      <c r="DD217" s="228">
        <v>35.57</v>
      </c>
      <c r="DE217" s="228">
        <v>35.65</v>
      </c>
      <c r="DF217" s="228">
        <v>-8.4</v>
      </c>
      <c r="DG217" s="228">
        <v>-0.08</v>
      </c>
      <c r="DH217" s="228">
        <v>27.11</v>
      </c>
      <c r="DI217" s="228">
        <v>26.73</v>
      </c>
      <c r="DJ217" s="228">
        <v>0.38</v>
      </c>
      <c r="DK217" s="228">
        <v>0.38</v>
      </c>
      <c r="DL217" s="228">
        <v>27.3</v>
      </c>
      <c r="DM217" s="228">
        <v>28.1</v>
      </c>
      <c r="DN217" s="228">
        <v>-0.8</v>
      </c>
      <c r="DO217" s="228">
        <v>-0.8</v>
      </c>
      <c r="DP217" s="228">
        <v>0.57999999999999996</v>
      </c>
      <c r="DQ217" s="228">
        <v>0.57999999999999996</v>
      </c>
      <c r="DR217" s="228">
        <v>0</v>
      </c>
      <c r="DS217" s="229">
        <v>0</v>
      </c>
      <c r="DT217" s="228">
        <v>800</v>
      </c>
      <c r="DU217" s="228">
        <v>700</v>
      </c>
      <c r="DV217" s="228">
        <v>0.43</v>
      </c>
      <c r="DW217" s="228">
        <v>0.35</v>
      </c>
      <c r="DX217" s="228">
        <v>0.08</v>
      </c>
      <c r="DY217" s="229">
        <v>0.2286</v>
      </c>
      <c r="DZ217" s="229">
        <v>8.7599999999999997E-2</v>
      </c>
      <c r="EA217" s="230">
        <v>1844155</v>
      </c>
      <c r="EB217" s="229">
        <v>1.8E-3</v>
      </c>
      <c r="EC217" s="229">
        <v>8.7599999999999997E-2</v>
      </c>
      <c r="ED217" s="228">
        <v>2.4500000000000002</v>
      </c>
      <c r="EE217" s="229">
        <v>3.3999999999999998E-3</v>
      </c>
      <c r="EF217" s="230">
        <v>1355441</v>
      </c>
      <c r="EG217" s="230">
        <v>864593</v>
      </c>
      <c r="EH217" s="229">
        <v>0.56769999999999998</v>
      </c>
      <c r="EI217" s="229">
        <v>0.4274</v>
      </c>
      <c r="EJ217" s="231">
        <v>305415.57</v>
      </c>
      <c r="EK217" s="231">
        <v>123622.39</v>
      </c>
      <c r="EL217" s="231">
        <v>67419.19</v>
      </c>
      <c r="EM217" s="228">
        <v>0</v>
      </c>
      <c r="EN217" s="231">
        <v>496457.15</v>
      </c>
      <c r="EO217" s="231">
        <v>280573.13</v>
      </c>
      <c r="EP217" s="231">
        <v>215884.02</v>
      </c>
      <c r="EQ217" s="229">
        <v>0.76939999999999997</v>
      </c>
      <c r="ER217" s="231">
        <v>108766</v>
      </c>
      <c r="ES217" s="231">
        <v>57951</v>
      </c>
      <c r="ET217" s="231">
        <v>222470</v>
      </c>
      <c r="EU217" s="231">
        <v>112304777</v>
      </c>
      <c r="EV217" s="231">
        <v>389187</v>
      </c>
      <c r="EW217" s="231">
        <v>382198</v>
      </c>
      <c r="EX217" s="231">
        <v>6989</v>
      </c>
      <c r="EY217" s="229">
        <v>1.83E-2</v>
      </c>
      <c r="EZ217" s="229">
        <v>0.48549999999999999</v>
      </c>
      <c r="FA217" s="227" t="s">
        <v>556</v>
      </c>
      <c r="FB217" s="161">
        <f t="shared" si="5"/>
        <v>0</v>
      </c>
    </row>
    <row r="218" spans="1:158" ht="17.25" thickBot="1" x14ac:dyDescent="0.3">
      <c r="A218" s="226">
        <v>45889</v>
      </c>
      <c r="B218" s="227" t="s">
        <v>168</v>
      </c>
      <c r="C218" s="227" t="s">
        <v>587</v>
      </c>
      <c r="D218" s="228">
        <v>1025</v>
      </c>
      <c r="E218" s="228">
        <v>518.15</v>
      </c>
      <c r="F218" s="228">
        <v>507.1</v>
      </c>
      <c r="G218" s="228">
        <v>11.05</v>
      </c>
      <c r="H218" s="229">
        <v>2.18E-2</v>
      </c>
      <c r="I218" s="228">
        <v>517.65</v>
      </c>
      <c r="J218" s="228">
        <v>505.4</v>
      </c>
      <c r="K218" s="228">
        <v>12.25</v>
      </c>
      <c r="L218" s="229">
        <v>2.4199999999999999E-2</v>
      </c>
      <c r="M218" s="228">
        <v>518.15</v>
      </c>
      <c r="N218" s="228">
        <v>507.1</v>
      </c>
      <c r="O218" s="228">
        <v>11.05</v>
      </c>
      <c r="P218" s="229">
        <v>2.18E-2</v>
      </c>
      <c r="Q218" s="228">
        <v>521.20000000000005</v>
      </c>
      <c r="R218" s="228">
        <v>509.8</v>
      </c>
      <c r="S218" s="228">
        <v>11.4</v>
      </c>
      <c r="T218" s="229">
        <v>2.24E-2</v>
      </c>
      <c r="U218" s="228">
        <v>523.75</v>
      </c>
      <c r="V218" s="228">
        <v>512.20000000000005</v>
      </c>
      <c r="W218" s="228">
        <v>11.55</v>
      </c>
      <c r="X218" s="229">
        <v>2.2499999999999999E-2</v>
      </c>
      <c r="Y218" s="228">
        <v>0.5</v>
      </c>
      <c r="Z218" s="228">
        <v>1.7</v>
      </c>
      <c r="AA218" s="228">
        <v>-1.2</v>
      </c>
      <c r="AB218" s="229">
        <v>1E-3</v>
      </c>
      <c r="AC218" s="228">
        <v>0.5</v>
      </c>
      <c r="AD218" s="228">
        <v>1.7</v>
      </c>
      <c r="AE218" s="228">
        <v>-1.2</v>
      </c>
      <c r="AF218" s="229">
        <v>1E-3</v>
      </c>
      <c r="AG218" s="228">
        <v>3.55</v>
      </c>
      <c r="AH218" s="228">
        <v>4.4000000000000004</v>
      </c>
      <c r="AI218" s="228">
        <v>-0.85</v>
      </c>
      <c r="AJ218" s="229">
        <v>6.8999999999999999E-3</v>
      </c>
      <c r="AK218" s="228">
        <v>6.1</v>
      </c>
      <c r="AL218" s="228">
        <v>6.8</v>
      </c>
      <c r="AM218" s="228">
        <v>-0.7</v>
      </c>
      <c r="AN218" s="229">
        <v>1.18E-2</v>
      </c>
      <c r="AO218" s="228">
        <v>517.37</v>
      </c>
      <c r="AP218" s="228">
        <v>519.12</v>
      </c>
      <c r="AQ218" s="228">
        <v>0</v>
      </c>
      <c r="AR218" s="230">
        <v>7639325</v>
      </c>
      <c r="AS218" s="230">
        <v>6288375</v>
      </c>
      <c r="AT218" s="230">
        <v>1350950</v>
      </c>
      <c r="AU218" s="229">
        <v>0.21479999999999999</v>
      </c>
      <c r="AV218" s="230">
        <v>6165375</v>
      </c>
      <c r="AW218" s="230">
        <v>4859525</v>
      </c>
      <c r="AX218" s="230">
        <v>1305850</v>
      </c>
      <c r="AY218" s="229">
        <v>0.26869999999999999</v>
      </c>
      <c r="AZ218" s="230">
        <v>1357100</v>
      </c>
      <c r="BA218" s="230">
        <v>865100</v>
      </c>
      <c r="BB218" s="230">
        <v>492000</v>
      </c>
      <c r="BC218" s="229">
        <v>0.56869999999999998</v>
      </c>
      <c r="BD218" s="230">
        <v>116850</v>
      </c>
      <c r="BE218" s="230">
        <v>563750</v>
      </c>
      <c r="BF218" s="230">
        <v>-446900</v>
      </c>
      <c r="BG218" s="229">
        <v>-0.79269999999999996</v>
      </c>
      <c r="BH218" s="230">
        <v>41472525</v>
      </c>
      <c r="BI218" s="230">
        <v>17471125</v>
      </c>
      <c r="BJ218" s="230">
        <v>24001400</v>
      </c>
      <c r="BK218" s="229">
        <v>1.3737999999999999</v>
      </c>
      <c r="BL218" s="230">
        <v>11963800</v>
      </c>
      <c r="BM218" s="230">
        <v>5340250</v>
      </c>
      <c r="BN218" s="230">
        <v>6623550</v>
      </c>
      <c r="BO218" s="229">
        <v>1.2403</v>
      </c>
      <c r="BP218" s="230">
        <v>61075650</v>
      </c>
      <c r="BQ218" s="230">
        <v>29099750</v>
      </c>
      <c r="BR218" s="230">
        <v>31975900</v>
      </c>
      <c r="BS218" s="229">
        <v>1.0988</v>
      </c>
      <c r="BT218" s="230">
        <v>6828299</v>
      </c>
      <c r="BU218" s="230">
        <v>13269915</v>
      </c>
      <c r="BV218" s="230">
        <v>-6441616</v>
      </c>
      <c r="BW218" s="229">
        <v>-0.4854</v>
      </c>
      <c r="BX218" s="230">
        <v>34488175</v>
      </c>
      <c r="BY218" s="230">
        <v>34819250</v>
      </c>
      <c r="BZ218" s="230">
        <v>-331075</v>
      </c>
      <c r="CA218" s="229">
        <v>-9.4999999999999998E-3</v>
      </c>
      <c r="CB218" s="230">
        <v>31272750</v>
      </c>
      <c r="CC218" s="230">
        <v>32202425</v>
      </c>
      <c r="CD218" s="230">
        <v>-929675</v>
      </c>
      <c r="CE218" s="229">
        <v>-2.8899999999999999E-2</v>
      </c>
      <c r="CF218" s="230">
        <v>2555325</v>
      </c>
      <c r="CG218" s="230">
        <v>1974150</v>
      </c>
      <c r="CH218" s="230">
        <v>581175</v>
      </c>
      <c r="CI218" s="229">
        <v>0.2944</v>
      </c>
      <c r="CJ218" s="230">
        <v>660100</v>
      </c>
      <c r="CK218" s="230">
        <v>642675</v>
      </c>
      <c r="CL218" s="230">
        <v>17425</v>
      </c>
      <c r="CM218" s="229">
        <v>2.7099999999999999E-2</v>
      </c>
      <c r="CN218" s="230">
        <v>16210375</v>
      </c>
      <c r="CO218" s="230">
        <v>14282350</v>
      </c>
      <c r="CP218" s="230">
        <v>1928025</v>
      </c>
      <c r="CQ218" s="229">
        <v>0.13500000000000001</v>
      </c>
      <c r="CR218" s="230">
        <v>8121075</v>
      </c>
      <c r="CS218" s="230">
        <v>7675200</v>
      </c>
      <c r="CT218" s="230">
        <v>445875</v>
      </c>
      <c r="CU218" s="229">
        <v>5.8099999999999999E-2</v>
      </c>
      <c r="CV218" s="230">
        <v>58819625</v>
      </c>
      <c r="CW218" s="230">
        <v>56776800</v>
      </c>
      <c r="CX218" s="230">
        <v>2042825</v>
      </c>
      <c r="CY218" s="229">
        <v>3.5999999999999997E-2</v>
      </c>
      <c r="CZ218" s="228">
        <v>32.01</v>
      </c>
      <c r="DA218" s="228">
        <v>29.53</v>
      </c>
      <c r="DB218" s="228">
        <v>2.48</v>
      </c>
      <c r="DC218" s="228">
        <v>2.48</v>
      </c>
      <c r="DD218" s="228">
        <v>40.14</v>
      </c>
      <c r="DE218" s="228">
        <v>40.11</v>
      </c>
      <c r="DF218" s="228">
        <v>-8.1300000000000008</v>
      </c>
      <c r="DG218" s="228">
        <v>0.03</v>
      </c>
      <c r="DH218" s="228">
        <v>32.380000000000003</v>
      </c>
      <c r="DI218" s="228">
        <v>29.97</v>
      </c>
      <c r="DJ218" s="228">
        <v>2.41</v>
      </c>
      <c r="DK218" s="228">
        <v>2.41</v>
      </c>
      <c r="DL218" s="228">
        <v>30.71</v>
      </c>
      <c r="DM218" s="228">
        <v>28.07</v>
      </c>
      <c r="DN218" s="228">
        <v>2.64</v>
      </c>
      <c r="DO218" s="228">
        <v>2.64</v>
      </c>
      <c r="DP218" s="228">
        <v>0.5</v>
      </c>
      <c r="DQ218" s="228">
        <v>0.54</v>
      </c>
      <c r="DR218" s="228">
        <v>-0.04</v>
      </c>
      <c r="DS218" s="229">
        <v>-7.4099999999999999E-2</v>
      </c>
      <c r="DT218" s="228">
        <v>520</v>
      </c>
      <c r="DU218" s="228">
        <v>500</v>
      </c>
      <c r="DV218" s="228">
        <v>0.28999999999999998</v>
      </c>
      <c r="DW218" s="228">
        <v>0.31</v>
      </c>
      <c r="DX218" s="228">
        <v>-0.02</v>
      </c>
      <c r="DY218" s="229">
        <v>-6.4500000000000002E-2</v>
      </c>
      <c r="DZ218" s="229">
        <v>9.3200000000000005E-2</v>
      </c>
      <c r="EA218" s="230">
        <v>2616825</v>
      </c>
      <c r="EB218" s="229">
        <v>5.8999999999999999E-3</v>
      </c>
      <c r="EC218" s="229">
        <v>9.3200000000000005E-2</v>
      </c>
      <c r="ED218" s="228">
        <v>1.75</v>
      </c>
      <c r="EE218" s="229">
        <v>3.3999999999999998E-3</v>
      </c>
      <c r="EF218" s="230">
        <v>3308579</v>
      </c>
      <c r="EG218" s="230">
        <v>9746914</v>
      </c>
      <c r="EH218" s="229">
        <v>-0.66059999999999997</v>
      </c>
      <c r="EI218" s="229">
        <v>0.48449999999999999</v>
      </c>
      <c r="EJ218" s="231">
        <v>222262.21</v>
      </c>
      <c r="EK218" s="231">
        <v>61157.68</v>
      </c>
      <c r="EL218" s="231">
        <v>39553.410000000003</v>
      </c>
      <c r="EM218" s="228">
        <v>0</v>
      </c>
      <c r="EN218" s="231">
        <v>322973.3</v>
      </c>
      <c r="EO218" s="231">
        <v>150462.76</v>
      </c>
      <c r="EP218" s="231">
        <v>172510.54</v>
      </c>
      <c r="EQ218" s="229">
        <v>1.1465000000000001</v>
      </c>
      <c r="ER218" s="231">
        <v>85490</v>
      </c>
      <c r="ES218" s="231">
        <v>40000</v>
      </c>
      <c r="ET218" s="231">
        <v>178815</v>
      </c>
      <c r="EU218" s="231">
        <v>271739119</v>
      </c>
      <c r="EV218" s="231">
        <v>304305</v>
      </c>
      <c r="EW218" s="231">
        <v>289306</v>
      </c>
      <c r="EX218" s="231">
        <v>14999</v>
      </c>
      <c r="EY218" s="229">
        <v>5.1799999999999999E-2</v>
      </c>
      <c r="EZ218" s="229">
        <v>0.2165</v>
      </c>
      <c r="FA218" s="227" t="s">
        <v>556</v>
      </c>
      <c r="FB218" s="161">
        <f t="shared" si="5"/>
        <v>0</v>
      </c>
    </row>
    <row r="219" spans="1:158" ht="17.25" thickBot="1" x14ac:dyDescent="0.3">
      <c r="A219" s="226">
        <v>45889</v>
      </c>
      <c r="B219" s="227" t="s">
        <v>227</v>
      </c>
      <c r="C219" s="227" t="s">
        <v>304</v>
      </c>
      <c r="D219" s="228">
        <v>1150</v>
      </c>
      <c r="E219" s="228">
        <v>443.95</v>
      </c>
      <c r="F219" s="228">
        <v>448.9</v>
      </c>
      <c r="G219" s="228">
        <v>-4.95</v>
      </c>
      <c r="H219" s="229">
        <v>-1.0999999999999999E-2</v>
      </c>
      <c r="I219" s="228">
        <v>445.5</v>
      </c>
      <c r="J219" s="228">
        <v>450.2</v>
      </c>
      <c r="K219" s="228">
        <v>-4.7</v>
      </c>
      <c r="L219" s="229">
        <v>-1.04E-2</v>
      </c>
      <c r="M219" s="228">
        <v>443.95</v>
      </c>
      <c r="N219" s="228">
        <v>448.9</v>
      </c>
      <c r="O219" s="228">
        <v>-4.95</v>
      </c>
      <c r="P219" s="229">
        <v>-1.0999999999999999E-2</v>
      </c>
      <c r="Q219" s="228">
        <v>446.4</v>
      </c>
      <c r="R219" s="228">
        <v>451.3</v>
      </c>
      <c r="S219" s="228">
        <v>-4.9000000000000004</v>
      </c>
      <c r="T219" s="229">
        <v>-1.09E-2</v>
      </c>
      <c r="U219" s="228">
        <v>448.15</v>
      </c>
      <c r="V219" s="228">
        <v>453.2</v>
      </c>
      <c r="W219" s="228">
        <v>-5.05</v>
      </c>
      <c r="X219" s="229">
        <v>-1.11E-2</v>
      </c>
      <c r="Y219" s="228">
        <v>-1.55</v>
      </c>
      <c r="Z219" s="228">
        <v>-1.3</v>
      </c>
      <c r="AA219" s="228">
        <v>-0.25</v>
      </c>
      <c r="AB219" s="229">
        <v>-3.5000000000000001E-3</v>
      </c>
      <c r="AC219" s="228">
        <v>-1.55</v>
      </c>
      <c r="AD219" s="228">
        <v>-1.3</v>
      </c>
      <c r="AE219" s="228">
        <v>-0.25</v>
      </c>
      <c r="AF219" s="229">
        <v>-3.5000000000000001E-3</v>
      </c>
      <c r="AG219" s="228">
        <v>0.9</v>
      </c>
      <c r="AH219" s="228">
        <v>1.1000000000000001</v>
      </c>
      <c r="AI219" s="228">
        <v>-0.2</v>
      </c>
      <c r="AJ219" s="229">
        <v>2E-3</v>
      </c>
      <c r="AK219" s="228">
        <v>2.65</v>
      </c>
      <c r="AL219" s="228">
        <v>3</v>
      </c>
      <c r="AM219" s="228">
        <v>-0.35</v>
      </c>
      <c r="AN219" s="229">
        <v>5.8999999999999999E-3</v>
      </c>
      <c r="AO219" s="228">
        <v>442.75</v>
      </c>
      <c r="AP219" s="228">
        <v>443.8</v>
      </c>
      <c r="AQ219" s="228">
        <v>0</v>
      </c>
      <c r="AR219" s="230">
        <v>38531900</v>
      </c>
      <c r="AS219" s="230">
        <v>11341300</v>
      </c>
      <c r="AT219" s="230">
        <v>27190600</v>
      </c>
      <c r="AU219" s="229">
        <v>2.3975</v>
      </c>
      <c r="AV219" s="230">
        <v>33013050</v>
      </c>
      <c r="AW219" s="230">
        <v>9710600</v>
      </c>
      <c r="AX219" s="230">
        <v>23302450</v>
      </c>
      <c r="AY219" s="229">
        <v>2.3997000000000002</v>
      </c>
      <c r="AZ219" s="230">
        <v>5145100</v>
      </c>
      <c r="BA219" s="230">
        <v>1486950</v>
      </c>
      <c r="BB219" s="230">
        <v>3658150</v>
      </c>
      <c r="BC219" s="229">
        <v>2.4601999999999999</v>
      </c>
      <c r="BD219" s="230">
        <v>373750</v>
      </c>
      <c r="BE219" s="230">
        <v>143750</v>
      </c>
      <c r="BF219" s="230">
        <v>230000</v>
      </c>
      <c r="BG219" s="229">
        <v>1.6</v>
      </c>
      <c r="BH219" s="230">
        <v>137416950</v>
      </c>
      <c r="BI219" s="230">
        <v>52893100</v>
      </c>
      <c r="BJ219" s="230">
        <v>84523850</v>
      </c>
      <c r="BK219" s="229">
        <v>1.5980000000000001</v>
      </c>
      <c r="BL219" s="230">
        <v>123374300</v>
      </c>
      <c r="BM219" s="230">
        <v>24109750</v>
      </c>
      <c r="BN219" s="230">
        <v>99264550</v>
      </c>
      <c r="BO219" s="229">
        <v>4.1172000000000004</v>
      </c>
      <c r="BP219" s="230">
        <v>299323150</v>
      </c>
      <c r="BQ219" s="230">
        <v>88344150</v>
      </c>
      <c r="BR219" s="230">
        <v>210979000</v>
      </c>
      <c r="BS219" s="229">
        <v>2.3881000000000001</v>
      </c>
      <c r="BT219" s="230">
        <v>20425373</v>
      </c>
      <c r="BU219" s="230">
        <v>12612436</v>
      </c>
      <c r="BV219" s="230">
        <v>7812937</v>
      </c>
      <c r="BW219" s="229">
        <v>0.61950000000000005</v>
      </c>
      <c r="BX219" s="230">
        <v>76190950</v>
      </c>
      <c r="BY219" s="230">
        <v>77225950</v>
      </c>
      <c r="BZ219" s="230">
        <v>-1035000</v>
      </c>
      <c r="CA219" s="229">
        <v>-1.34E-2</v>
      </c>
      <c r="CB219" s="230">
        <v>71303450</v>
      </c>
      <c r="CC219" s="230">
        <v>73917400</v>
      </c>
      <c r="CD219" s="230">
        <v>-2613950</v>
      </c>
      <c r="CE219" s="229">
        <v>-3.5400000000000001E-2</v>
      </c>
      <c r="CF219" s="230">
        <v>4628750</v>
      </c>
      <c r="CG219" s="230">
        <v>3083150</v>
      </c>
      <c r="CH219" s="230">
        <v>1545600</v>
      </c>
      <c r="CI219" s="229">
        <v>0.50129999999999997</v>
      </c>
      <c r="CJ219" s="230">
        <v>258750</v>
      </c>
      <c r="CK219" s="230">
        <v>225400</v>
      </c>
      <c r="CL219" s="230">
        <v>33350</v>
      </c>
      <c r="CM219" s="229">
        <v>0.14799999999999999</v>
      </c>
      <c r="CN219" s="230">
        <v>27636800</v>
      </c>
      <c r="CO219" s="230">
        <v>21946600</v>
      </c>
      <c r="CP219" s="230">
        <v>5690200</v>
      </c>
      <c r="CQ219" s="229">
        <v>0.25929999999999997</v>
      </c>
      <c r="CR219" s="230">
        <v>25935950</v>
      </c>
      <c r="CS219" s="230">
        <v>21433700</v>
      </c>
      <c r="CT219" s="230">
        <v>4502250</v>
      </c>
      <c r="CU219" s="229">
        <v>0.21010000000000001</v>
      </c>
      <c r="CV219" s="230">
        <v>129763700</v>
      </c>
      <c r="CW219" s="230">
        <v>120606250</v>
      </c>
      <c r="CX219" s="230">
        <v>9157450</v>
      </c>
      <c r="CY219" s="229">
        <v>7.5899999999999995E-2</v>
      </c>
      <c r="CZ219" s="228">
        <v>33.950000000000003</v>
      </c>
      <c r="DA219" s="228">
        <v>28.59</v>
      </c>
      <c r="DB219" s="228">
        <v>5.36</v>
      </c>
      <c r="DC219" s="228">
        <v>5.36</v>
      </c>
      <c r="DD219" s="228">
        <v>40.020000000000003</v>
      </c>
      <c r="DE219" s="228">
        <v>40.090000000000003</v>
      </c>
      <c r="DF219" s="228">
        <v>-6.07</v>
      </c>
      <c r="DG219" s="228">
        <v>-7.0000000000000007E-2</v>
      </c>
      <c r="DH219" s="228">
        <v>31.89</v>
      </c>
      <c r="DI219" s="228">
        <v>27.84</v>
      </c>
      <c r="DJ219" s="228">
        <v>4.05</v>
      </c>
      <c r="DK219" s="228">
        <v>4.05</v>
      </c>
      <c r="DL219" s="228">
        <v>36.25</v>
      </c>
      <c r="DM219" s="228">
        <v>30.22</v>
      </c>
      <c r="DN219" s="228">
        <v>6.03</v>
      </c>
      <c r="DO219" s="228">
        <v>6.03</v>
      </c>
      <c r="DP219" s="228">
        <v>0.94</v>
      </c>
      <c r="DQ219" s="228">
        <v>0.98</v>
      </c>
      <c r="DR219" s="228">
        <v>-0.04</v>
      </c>
      <c r="DS219" s="229">
        <v>-4.0800000000000003E-2</v>
      </c>
      <c r="DT219" s="228">
        <v>450</v>
      </c>
      <c r="DU219" s="228">
        <v>440</v>
      </c>
      <c r="DV219" s="228">
        <v>0.9</v>
      </c>
      <c r="DW219" s="228">
        <v>0.46</v>
      </c>
      <c r="DX219" s="228">
        <v>0.44</v>
      </c>
      <c r="DY219" s="229">
        <v>0.95650000000000002</v>
      </c>
      <c r="DZ219" s="229">
        <v>6.4100000000000004E-2</v>
      </c>
      <c r="EA219" s="230">
        <v>3308550</v>
      </c>
      <c r="EB219" s="229">
        <v>5.4999999999999997E-3</v>
      </c>
      <c r="EC219" s="229">
        <v>6.4100000000000004E-2</v>
      </c>
      <c r="ED219" s="228">
        <v>1.05</v>
      </c>
      <c r="EE219" s="229">
        <v>2.3999999999999998E-3</v>
      </c>
      <c r="EF219" s="230">
        <v>7821847</v>
      </c>
      <c r="EG219" s="230">
        <v>5935582</v>
      </c>
      <c r="EH219" s="229">
        <v>0.31780000000000003</v>
      </c>
      <c r="EI219" s="229">
        <v>0.38290000000000002</v>
      </c>
      <c r="EJ219" s="231">
        <v>632529.07999999996</v>
      </c>
      <c r="EK219" s="231">
        <v>536590.92000000004</v>
      </c>
      <c r="EL219" s="231">
        <v>170666.78</v>
      </c>
      <c r="EM219" s="228">
        <v>0</v>
      </c>
      <c r="EN219" s="231">
        <v>1339786.78</v>
      </c>
      <c r="EO219" s="231">
        <v>400172.13</v>
      </c>
      <c r="EP219" s="231">
        <v>939614.65</v>
      </c>
      <c r="EQ219" s="229">
        <v>2.3479999999999999</v>
      </c>
      <c r="ER219" s="231">
        <v>126351</v>
      </c>
      <c r="ES219" s="231">
        <v>111660</v>
      </c>
      <c r="ET219" s="231">
        <v>338374</v>
      </c>
      <c r="EU219" s="231">
        <v>340121475</v>
      </c>
      <c r="EV219" s="231">
        <v>576385</v>
      </c>
      <c r="EW219" s="231">
        <v>539855</v>
      </c>
      <c r="EX219" s="231">
        <v>36530</v>
      </c>
      <c r="EY219" s="229">
        <v>6.7699999999999996E-2</v>
      </c>
      <c r="EZ219" s="229">
        <v>0.38150000000000001</v>
      </c>
      <c r="FA219" s="227" t="s">
        <v>568</v>
      </c>
      <c r="FB219" s="161">
        <f t="shared" si="5"/>
        <v>0</v>
      </c>
    </row>
    <row r="220" spans="1:158" ht="17.25" thickBot="1" x14ac:dyDescent="0.3">
      <c r="A220" s="226">
        <v>45889</v>
      </c>
      <c r="B220" s="227" t="s">
        <v>184</v>
      </c>
      <c r="C220" s="227" t="s">
        <v>305</v>
      </c>
      <c r="D220" s="228">
        <v>375</v>
      </c>
      <c r="E220" s="231">
        <v>1368.6</v>
      </c>
      <c r="F220" s="231">
        <v>1379.1</v>
      </c>
      <c r="G220" s="228">
        <v>-10.5</v>
      </c>
      <c r="H220" s="229">
        <v>-7.6E-3</v>
      </c>
      <c r="I220" s="231">
        <v>1369.8</v>
      </c>
      <c r="J220" s="231">
        <v>1378.9</v>
      </c>
      <c r="K220" s="228">
        <v>-9.1</v>
      </c>
      <c r="L220" s="229">
        <v>-6.6E-3</v>
      </c>
      <c r="M220" s="231">
        <v>1368.6</v>
      </c>
      <c r="N220" s="231">
        <v>1379.1</v>
      </c>
      <c r="O220" s="228">
        <v>-10.5</v>
      </c>
      <c r="P220" s="229">
        <v>-7.6E-3</v>
      </c>
      <c r="Q220" s="231">
        <v>1363.4</v>
      </c>
      <c r="R220" s="231">
        <v>1374.6</v>
      </c>
      <c r="S220" s="228">
        <v>-11.2</v>
      </c>
      <c r="T220" s="229">
        <v>-8.0999999999999996E-3</v>
      </c>
      <c r="U220" s="231">
        <v>1362</v>
      </c>
      <c r="V220" s="231">
        <v>1370.3</v>
      </c>
      <c r="W220" s="228">
        <v>-8.3000000000000007</v>
      </c>
      <c r="X220" s="229">
        <v>-6.1000000000000004E-3</v>
      </c>
      <c r="Y220" s="228">
        <v>-1.2</v>
      </c>
      <c r="Z220" s="228">
        <v>0.2</v>
      </c>
      <c r="AA220" s="228">
        <v>-1.4</v>
      </c>
      <c r="AB220" s="229">
        <v>-8.9999999999999998E-4</v>
      </c>
      <c r="AC220" s="228">
        <v>-1.2</v>
      </c>
      <c r="AD220" s="228">
        <v>0.2</v>
      </c>
      <c r="AE220" s="228">
        <v>-1.4</v>
      </c>
      <c r="AF220" s="229">
        <v>-8.9999999999999998E-4</v>
      </c>
      <c r="AG220" s="228">
        <v>-6.4</v>
      </c>
      <c r="AH220" s="228">
        <v>-4.3</v>
      </c>
      <c r="AI220" s="228">
        <v>-2.1</v>
      </c>
      <c r="AJ220" s="229">
        <v>-4.7000000000000002E-3</v>
      </c>
      <c r="AK220" s="228">
        <v>-7.8</v>
      </c>
      <c r="AL220" s="228">
        <v>-8.6</v>
      </c>
      <c r="AM220" s="228">
        <v>0.8</v>
      </c>
      <c r="AN220" s="229">
        <v>-5.7000000000000002E-3</v>
      </c>
      <c r="AO220" s="231">
        <v>1370.51</v>
      </c>
      <c r="AP220" s="231">
        <v>1366.49</v>
      </c>
      <c r="AQ220" s="228">
        <v>0</v>
      </c>
      <c r="AR220" s="230">
        <v>1986375</v>
      </c>
      <c r="AS220" s="230">
        <v>3103500</v>
      </c>
      <c r="AT220" s="230">
        <v>-1117125</v>
      </c>
      <c r="AU220" s="229">
        <v>-0.36</v>
      </c>
      <c r="AV220" s="230">
        <v>1608375</v>
      </c>
      <c r="AW220" s="230">
        <v>2631375</v>
      </c>
      <c r="AX220" s="230">
        <v>-1023000</v>
      </c>
      <c r="AY220" s="229">
        <v>-0.38879999999999998</v>
      </c>
      <c r="AZ220" s="230">
        <v>358875</v>
      </c>
      <c r="BA220" s="230">
        <v>446625</v>
      </c>
      <c r="BB220" s="230">
        <v>-87750</v>
      </c>
      <c r="BC220" s="229">
        <v>-0.19650000000000001</v>
      </c>
      <c r="BD220" s="230">
        <v>19125</v>
      </c>
      <c r="BE220" s="230">
        <v>25500</v>
      </c>
      <c r="BF220" s="230">
        <v>-6375</v>
      </c>
      <c r="BG220" s="229">
        <v>-0.25</v>
      </c>
      <c r="BH220" s="230">
        <v>3667875</v>
      </c>
      <c r="BI220" s="230">
        <v>8859750</v>
      </c>
      <c r="BJ220" s="230">
        <v>-5191875</v>
      </c>
      <c r="BK220" s="229">
        <v>-0.58599999999999997</v>
      </c>
      <c r="BL220" s="230">
        <v>3766875</v>
      </c>
      <c r="BM220" s="230">
        <v>6879000</v>
      </c>
      <c r="BN220" s="230">
        <v>-3112125</v>
      </c>
      <c r="BO220" s="229">
        <v>-0.45240000000000002</v>
      </c>
      <c r="BP220" s="230">
        <v>9421125</v>
      </c>
      <c r="BQ220" s="230">
        <v>18842250</v>
      </c>
      <c r="BR220" s="230">
        <v>-9421125</v>
      </c>
      <c r="BS220" s="229">
        <v>-0.5</v>
      </c>
      <c r="BT220" s="230">
        <v>588512</v>
      </c>
      <c r="BU220" s="230">
        <v>1013441</v>
      </c>
      <c r="BV220" s="230">
        <v>-424929</v>
      </c>
      <c r="BW220" s="229">
        <v>-0.41930000000000001</v>
      </c>
      <c r="BX220" s="230">
        <v>10881375</v>
      </c>
      <c r="BY220" s="230">
        <v>10971000</v>
      </c>
      <c r="BZ220" s="230">
        <v>-89625</v>
      </c>
      <c r="CA220" s="229">
        <v>-8.2000000000000007E-3</v>
      </c>
      <c r="CB220" s="230">
        <v>9428625</v>
      </c>
      <c r="CC220" s="230">
        <v>9681750</v>
      </c>
      <c r="CD220" s="230">
        <v>-253125</v>
      </c>
      <c r="CE220" s="229">
        <v>-2.6100000000000002E-2</v>
      </c>
      <c r="CF220" s="230">
        <v>1374750</v>
      </c>
      <c r="CG220" s="230">
        <v>1221375</v>
      </c>
      <c r="CH220" s="230">
        <v>153375</v>
      </c>
      <c r="CI220" s="229">
        <v>0.12559999999999999</v>
      </c>
      <c r="CJ220" s="230">
        <v>78000</v>
      </c>
      <c r="CK220" s="230">
        <v>67875</v>
      </c>
      <c r="CL220" s="230">
        <v>10125</v>
      </c>
      <c r="CM220" s="229">
        <v>0.1492</v>
      </c>
      <c r="CN220" s="230">
        <v>3637125</v>
      </c>
      <c r="CO220" s="230">
        <v>3597750</v>
      </c>
      <c r="CP220" s="230">
        <v>39375</v>
      </c>
      <c r="CQ220" s="229">
        <v>1.09E-2</v>
      </c>
      <c r="CR220" s="230">
        <v>3459000</v>
      </c>
      <c r="CS220" s="230">
        <v>3783375</v>
      </c>
      <c r="CT220" s="230">
        <v>-324375</v>
      </c>
      <c r="CU220" s="229">
        <v>-8.5699999999999998E-2</v>
      </c>
      <c r="CV220" s="230">
        <v>17977500</v>
      </c>
      <c r="CW220" s="230">
        <v>18352125</v>
      </c>
      <c r="CX220" s="230">
        <v>-374625</v>
      </c>
      <c r="CY220" s="229">
        <v>-2.0400000000000001E-2</v>
      </c>
      <c r="CZ220" s="228">
        <v>26.64</v>
      </c>
      <c r="DA220" s="228">
        <v>28.03</v>
      </c>
      <c r="DB220" s="228">
        <v>-1.39</v>
      </c>
      <c r="DC220" s="228">
        <v>-1.39</v>
      </c>
      <c r="DD220" s="228">
        <v>39.950000000000003</v>
      </c>
      <c r="DE220" s="228">
        <v>40.049999999999997</v>
      </c>
      <c r="DF220" s="228">
        <v>-13.31</v>
      </c>
      <c r="DG220" s="228">
        <v>-0.1</v>
      </c>
      <c r="DH220" s="228">
        <v>25.78</v>
      </c>
      <c r="DI220" s="228">
        <v>26.82</v>
      </c>
      <c r="DJ220" s="228">
        <v>-1.04</v>
      </c>
      <c r="DK220" s="228">
        <v>-1.04</v>
      </c>
      <c r="DL220" s="228">
        <v>27.48</v>
      </c>
      <c r="DM220" s="228">
        <v>29.58</v>
      </c>
      <c r="DN220" s="228">
        <v>-2.1</v>
      </c>
      <c r="DO220" s="228">
        <v>-2.1</v>
      </c>
      <c r="DP220" s="228">
        <v>0.95</v>
      </c>
      <c r="DQ220" s="228">
        <v>1.05</v>
      </c>
      <c r="DR220" s="228">
        <v>-0.1</v>
      </c>
      <c r="DS220" s="229">
        <v>-9.5200000000000007E-2</v>
      </c>
      <c r="DT220" s="231">
        <v>1400</v>
      </c>
      <c r="DU220" s="231">
        <v>1320</v>
      </c>
      <c r="DV220" s="228">
        <v>1.03</v>
      </c>
      <c r="DW220" s="228">
        <v>0.78</v>
      </c>
      <c r="DX220" s="228">
        <v>0.25</v>
      </c>
      <c r="DY220" s="229">
        <v>0.32050000000000001</v>
      </c>
      <c r="DZ220" s="229">
        <v>0.13350000000000001</v>
      </c>
      <c r="EA220" s="230">
        <v>1289250</v>
      </c>
      <c r="EB220" s="229">
        <v>-3.8E-3</v>
      </c>
      <c r="EC220" s="229">
        <v>0.13350000000000001</v>
      </c>
      <c r="ED220" s="228">
        <v>-4.0199999999999996</v>
      </c>
      <c r="EE220" s="229">
        <v>-2.8999999999999998E-3</v>
      </c>
      <c r="EF220" s="230">
        <v>250343</v>
      </c>
      <c r="EG220" s="230">
        <v>419435</v>
      </c>
      <c r="EH220" s="229">
        <v>-0.40310000000000001</v>
      </c>
      <c r="EI220" s="229">
        <v>0.4254</v>
      </c>
      <c r="EJ220" s="231">
        <v>51876.27</v>
      </c>
      <c r="EK220" s="231">
        <v>50520.57</v>
      </c>
      <c r="EL220" s="231">
        <v>27207.75</v>
      </c>
      <c r="EM220" s="228">
        <v>0</v>
      </c>
      <c r="EN220" s="231">
        <v>129604.59</v>
      </c>
      <c r="EO220" s="231">
        <v>259074.56</v>
      </c>
      <c r="EP220" s="231">
        <v>-129469.97</v>
      </c>
      <c r="EQ220" s="229">
        <v>-0.49969999999999998</v>
      </c>
      <c r="ER220" s="231">
        <v>50152</v>
      </c>
      <c r="ES220" s="231">
        <v>44319</v>
      </c>
      <c r="ET220" s="231">
        <v>148846</v>
      </c>
      <c r="EU220" s="231">
        <v>46126252</v>
      </c>
      <c r="EV220" s="231">
        <v>243317</v>
      </c>
      <c r="EW220" s="231">
        <v>249390</v>
      </c>
      <c r="EX220" s="231">
        <v>-6073</v>
      </c>
      <c r="EY220" s="229">
        <v>-2.4400000000000002E-2</v>
      </c>
      <c r="EZ220" s="229">
        <v>0.38969999999999999</v>
      </c>
      <c r="FA220" s="227" t="s">
        <v>568</v>
      </c>
      <c r="FB220" s="161">
        <f t="shared" si="5"/>
        <v>0</v>
      </c>
    </row>
    <row r="221" spans="1:158" ht="17.25" thickBot="1" x14ac:dyDescent="0.3">
      <c r="A221" s="226">
        <v>45889</v>
      </c>
      <c r="B221" s="227" t="s">
        <v>221</v>
      </c>
      <c r="C221" s="227" t="s">
        <v>306</v>
      </c>
      <c r="D221" s="228">
        <v>3000</v>
      </c>
      <c r="E221" s="228">
        <v>250.69</v>
      </c>
      <c r="F221" s="228">
        <v>245.74</v>
      </c>
      <c r="G221" s="228">
        <v>4.95</v>
      </c>
      <c r="H221" s="229">
        <v>2.01E-2</v>
      </c>
      <c r="I221" s="228">
        <v>250.84</v>
      </c>
      <c r="J221" s="228">
        <v>246.96</v>
      </c>
      <c r="K221" s="228">
        <v>3.88</v>
      </c>
      <c r="L221" s="229">
        <v>1.5699999999999999E-2</v>
      </c>
      <c r="M221" s="228">
        <v>250.69</v>
      </c>
      <c r="N221" s="228">
        <v>245.74</v>
      </c>
      <c r="O221" s="228">
        <v>4.95</v>
      </c>
      <c r="P221" s="229">
        <v>2.01E-2</v>
      </c>
      <c r="Q221" s="228">
        <v>250.12</v>
      </c>
      <c r="R221" s="228">
        <v>245.17</v>
      </c>
      <c r="S221" s="228">
        <v>4.95</v>
      </c>
      <c r="T221" s="229">
        <v>2.0199999999999999E-2</v>
      </c>
      <c r="U221" s="228">
        <v>249.77</v>
      </c>
      <c r="V221" s="228">
        <v>244.85</v>
      </c>
      <c r="W221" s="228">
        <v>4.92</v>
      </c>
      <c r="X221" s="229">
        <v>2.01E-2</v>
      </c>
      <c r="Y221" s="228">
        <v>-0.15</v>
      </c>
      <c r="Z221" s="228">
        <v>-1.22</v>
      </c>
      <c r="AA221" s="228">
        <v>1.07</v>
      </c>
      <c r="AB221" s="229">
        <v>-5.9999999999999995E-4</v>
      </c>
      <c r="AC221" s="228">
        <v>-0.15</v>
      </c>
      <c r="AD221" s="228">
        <v>-1.22</v>
      </c>
      <c r="AE221" s="228">
        <v>1.07</v>
      </c>
      <c r="AF221" s="229">
        <v>-5.9999999999999995E-4</v>
      </c>
      <c r="AG221" s="228">
        <v>-0.72</v>
      </c>
      <c r="AH221" s="228">
        <v>-1.79</v>
      </c>
      <c r="AI221" s="228">
        <v>1.07</v>
      </c>
      <c r="AJ221" s="229">
        <v>-2.8999999999999998E-3</v>
      </c>
      <c r="AK221" s="228">
        <v>-1.07</v>
      </c>
      <c r="AL221" s="228">
        <v>-2.11</v>
      </c>
      <c r="AM221" s="228">
        <v>1.04</v>
      </c>
      <c r="AN221" s="229">
        <v>-4.3E-3</v>
      </c>
      <c r="AO221" s="228">
        <v>249.48</v>
      </c>
      <c r="AP221" s="228">
        <v>249.15</v>
      </c>
      <c r="AQ221" s="228">
        <v>0</v>
      </c>
      <c r="AR221" s="230">
        <v>33366000</v>
      </c>
      <c r="AS221" s="230">
        <v>13281000</v>
      </c>
      <c r="AT221" s="230">
        <v>20085000</v>
      </c>
      <c r="AU221" s="229">
        <v>1.5123</v>
      </c>
      <c r="AV221" s="230">
        <v>21879000</v>
      </c>
      <c r="AW221" s="230">
        <v>8784000</v>
      </c>
      <c r="AX221" s="230">
        <v>13095000</v>
      </c>
      <c r="AY221" s="229">
        <v>1.4907999999999999</v>
      </c>
      <c r="AZ221" s="230">
        <v>10689000</v>
      </c>
      <c r="BA221" s="230">
        <v>4251000</v>
      </c>
      <c r="BB221" s="230">
        <v>6438000</v>
      </c>
      <c r="BC221" s="229">
        <v>1.5145</v>
      </c>
      <c r="BD221" s="230">
        <v>798000</v>
      </c>
      <c r="BE221" s="230">
        <v>246000</v>
      </c>
      <c r="BF221" s="230">
        <v>552000</v>
      </c>
      <c r="BG221" s="229">
        <v>2.2439</v>
      </c>
      <c r="BH221" s="230">
        <v>121431000</v>
      </c>
      <c r="BI221" s="230">
        <v>34299000</v>
      </c>
      <c r="BJ221" s="230">
        <v>87132000</v>
      </c>
      <c r="BK221" s="229">
        <v>2.5404</v>
      </c>
      <c r="BL221" s="230">
        <v>62904000</v>
      </c>
      <c r="BM221" s="230">
        <v>16749000</v>
      </c>
      <c r="BN221" s="230">
        <v>46155000</v>
      </c>
      <c r="BO221" s="229">
        <v>2.7557</v>
      </c>
      <c r="BP221" s="230">
        <v>217701000</v>
      </c>
      <c r="BQ221" s="230">
        <v>64329000</v>
      </c>
      <c r="BR221" s="230">
        <v>153372000</v>
      </c>
      <c r="BS221" s="229">
        <v>2.3841999999999999</v>
      </c>
      <c r="BT221" s="230">
        <v>10330335</v>
      </c>
      <c r="BU221" s="230">
        <v>4424029</v>
      </c>
      <c r="BV221" s="230">
        <v>5906306</v>
      </c>
      <c r="BW221" s="229">
        <v>1.3351</v>
      </c>
      <c r="BX221" s="230">
        <v>165426000</v>
      </c>
      <c r="BY221" s="230">
        <v>161115000</v>
      </c>
      <c r="BZ221" s="230">
        <v>4311000</v>
      </c>
      <c r="CA221" s="229">
        <v>2.6800000000000001E-2</v>
      </c>
      <c r="CB221" s="230">
        <v>136167000</v>
      </c>
      <c r="CC221" s="230">
        <v>136857000</v>
      </c>
      <c r="CD221" s="230">
        <v>-690000</v>
      </c>
      <c r="CE221" s="229">
        <v>-5.0000000000000001E-3</v>
      </c>
      <c r="CF221" s="230">
        <v>28068000</v>
      </c>
      <c r="CG221" s="230">
        <v>23133000</v>
      </c>
      <c r="CH221" s="230">
        <v>4935000</v>
      </c>
      <c r="CI221" s="229">
        <v>0.21329999999999999</v>
      </c>
      <c r="CJ221" s="230">
        <v>1191000</v>
      </c>
      <c r="CK221" s="230">
        <v>1125000</v>
      </c>
      <c r="CL221" s="230">
        <v>66000</v>
      </c>
      <c r="CM221" s="229">
        <v>5.8700000000000002E-2</v>
      </c>
      <c r="CN221" s="230">
        <v>58602000</v>
      </c>
      <c r="CO221" s="230">
        <v>64425000</v>
      </c>
      <c r="CP221" s="230">
        <v>-5823000</v>
      </c>
      <c r="CQ221" s="229">
        <v>-9.0399999999999994E-2</v>
      </c>
      <c r="CR221" s="230">
        <v>38136000</v>
      </c>
      <c r="CS221" s="230">
        <v>36261000</v>
      </c>
      <c r="CT221" s="230">
        <v>1875000</v>
      </c>
      <c r="CU221" s="229">
        <v>5.1700000000000003E-2</v>
      </c>
      <c r="CV221" s="230">
        <v>262164000</v>
      </c>
      <c r="CW221" s="230">
        <v>261801000</v>
      </c>
      <c r="CX221" s="230">
        <v>363000</v>
      </c>
      <c r="CY221" s="229">
        <v>1.4E-3</v>
      </c>
      <c r="CZ221" s="228">
        <v>24.54</v>
      </c>
      <c r="DA221" s="228">
        <v>26.52</v>
      </c>
      <c r="DB221" s="228">
        <v>-1.98</v>
      </c>
      <c r="DC221" s="228">
        <v>-1.98</v>
      </c>
      <c r="DD221" s="228">
        <v>31.88</v>
      </c>
      <c r="DE221" s="228">
        <v>31.89</v>
      </c>
      <c r="DF221" s="228">
        <v>-7.34</v>
      </c>
      <c r="DG221" s="228">
        <v>-0.01</v>
      </c>
      <c r="DH221" s="228">
        <v>23.97</v>
      </c>
      <c r="DI221" s="228">
        <v>27.04</v>
      </c>
      <c r="DJ221" s="228">
        <v>-3.07</v>
      </c>
      <c r="DK221" s="228">
        <v>-3.07</v>
      </c>
      <c r="DL221" s="228">
        <v>25.65</v>
      </c>
      <c r="DM221" s="228">
        <v>25.46</v>
      </c>
      <c r="DN221" s="228">
        <v>0.19</v>
      </c>
      <c r="DO221" s="228">
        <v>0.19</v>
      </c>
      <c r="DP221" s="228">
        <v>0.65</v>
      </c>
      <c r="DQ221" s="228">
        <v>0.56000000000000005</v>
      </c>
      <c r="DR221" s="228">
        <v>0.09</v>
      </c>
      <c r="DS221" s="229">
        <v>0.16070000000000001</v>
      </c>
      <c r="DT221" s="228">
        <v>260</v>
      </c>
      <c r="DU221" s="228">
        <v>250</v>
      </c>
      <c r="DV221" s="228">
        <v>0.52</v>
      </c>
      <c r="DW221" s="228">
        <v>0.49</v>
      </c>
      <c r="DX221" s="228">
        <v>0.03</v>
      </c>
      <c r="DY221" s="229">
        <v>6.1199999999999997E-2</v>
      </c>
      <c r="DZ221" s="229">
        <v>0.1769</v>
      </c>
      <c r="EA221" s="230">
        <v>24258000</v>
      </c>
      <c r="EB221" s="229">
        <v>-2.3E-3</v>
      </c>
      <c r="EC221" s="229">
        <v>0.1769</v>
      </c>
      <c r="ED221" s="228">
        <v>-0.33</v>
      </c>
      <c r="EE221" s="229">
        <v>-1.2999999999999999E-3</v>
      </c>
      <c r="EF221" s="230">
        <v>4065530</v>
      </c>
      <c r="EG221" s="230">
        <v>1775305</v>
      </c>
      <c r="EH221" s="229">
        <v>1.29</v>
      </c>
      <c r="EI221" s="229">
        <v>0.39360000000000001</v>
      </c>
      <c r="EJ221" s="231">
        <v>311577</v>
      </c>
      <c r="EK221" s="231">
        <v>154849.60999999999</v>
      </c>
      <c r="EL221" s="231">
        <v>83199.28</v>
      </c>
      <c r="EM221" s="228">
        <v>0</v>
      </c>
      <c r="EN221" s="231">
        <v>549625.89</v>
      </c>
      <c r="EO221" s="231">
        <v>161244.75</v>
      </c>
      <c r="EP221" s="231">
        <v>388381.14</v>
      </c>
      <c r="EQ221" s="229">
        <v>2.4085999999999999</v>
      </c>
      <c r="ER221" s="231">
        <v>153675</v>
      </c>
      <c r="ES221" s="231">
        <v>92245</v>
      </c>
      <c r="ET221" s="231">
        <v>414535</v>
      </c>
      <c r="EU221" s="231">
        <v>570714350</v>
      </c>
      <c r="EV221" s="231">
        <v>660456</v>
      </c>
      <c r="EW221" s="231">
        <v>651328</v>
      </c>
      <c r="EX221" s="231">
        <v>9128</v>
      </c>
      <c r="EY221" s="229">
        <v>1.4E-2</v>
      </c>
      <c r="EZ221" s="229">
        <v>0.45939999999999998</v>
      </c>
      <c r="FA221" s="227" t="s">
        <v>555</v>
      </c>
      <c r="FB221" s="161">
        <f t="shared" si="5"/>
        <v>0</v>
      </c>
    </row>
    <row r="222" spans="1:158" ht="17.25" thickBot="1" x14ac:dyDescent="0.3">
      <c r="A222" s="226">
        <v>45889</v>
      </c>
      <c r="B222" s="227" t="s">
        <v>172</v>
      </c>
      <c r="C222" s="227" t="s">
        <v>591</v>
      </c>
      <c r="D222" s="228">
        <v>31100</v>
      </c>
      <c r="E222" s="228">
        <v>19.38</v>
      </c>
      <c r="F222" s="228">
        <v>19.38</v>
      </c>
      <c r="G222" s="228">
        <v>0</v>
      </c>
      <c r="H222" s="229">
        <v>0</v>
      </c>
      <c r="I222" s="228">
        <v>19.36</v>
      </c>
      <c r="J222" s="228">
        <v>19.350000000000001</v>
      </c>
      <c r="K222" s="228">
        <v>0.01</v>
      </c>
      <c r="L222" s="229">
        <v>5.0000000000000001E-4</v>
      </c>
      <c r="M222" s="228">
        <v>19.38</v>
      </c>
      <c r="N222" s="228">
        <v>19.38</v>
      </c>
      <c r="O222" s="228">
        <v>0</v>
      </c>
      <c r="P222" s="229">
        <v>0</v>
      </c>
      <c r="Q222" s="228">
        <v>19.5</v>
      </c>
      <c r="R222" s="228">
        <v>19.5</v>
      </c>
      <c r="S222" s="228">
        <v>0</v>
      </c>
      <c r="T222" s="229">
        <v>0</v>
      </c>
      <c r="U222" s="228">
        <v>19.61</v>
      </c>
      <c r="V222" s="228">
        <v>19.59</v>
      </c>
      <c r="W222" s="228">
        <v>0.02</v>
      </c>
      <c r="X222" s="229">
        <v>1E-3</v>
      </c>
      <c r="Y222" s="228">
        <v>0.02</v>
      </c>
      <c r="Z222" s="228">
        <v>0.03</v>
      </c>
      <c r="AA222" s="228">
        <v>-0.01</v>
      </c>
      <c r="AB222" s="229">
        <v>1E-3</v>
      </c>
      <c r="AC222" s="228">
        <v>0.02</v>
      </c>
      <c r="AD222" s="228">
        <v>0.03</v>
      </c>
      <c r="AE222" s="228">
        <v>-0.01</v>
      </c>
      <c r="AF222" s="229">
        <v>1E-3</v>
      </c>
      <c r="AG222" s="228">
        <v>0.14000000000000001</v>
      </c>
      <c r="AH222" s="228">
        <v>0.15</v>
      </c>
      <c r="AI222" s="228">
        <v>-0.01</v>
      </c>
      <c r="AJ222" s="229">
        <v>7.1999999999999998E-3</v>
      </c>
      <c r="AK222" s="228">
        <v>0.25</v>
      </c>
      <c r="AL222" s="228">
        <v>0.24</v>
      </c>
      <c r="AM222" s="228">
        <v>0.01</v>
      </c>
      <c r="AN222" s="229">
        <v>1.29E-2</v>
      </c>
      <c r="AO222" s="228">
        <v>19.39</v>
      </c>
      <c r="AP222" s="228">
        <v>19.510000000000002</v>
      </c>
      <c r="AQ222" s="228">
        <v>0</v>
      </c>
      <c r="AR222" s="230">
        <v>86147000</v>
      </c>
      <c r="AS222" s="230">
        <v>87142200</v>
      </c>
      <c r="AT222" s="230">
        <v>-995200</v>
      </c>
      <c r="AU222" s="229">
        <v>-1.14E-2</v>
      </c>
      <c r="AV222" s="230">
        <v>57379500</v>
      </c>
      <c r="AW222" s="230">
        <v>66243000</v>
      </c>
      <c r="AX222" s="230">
        <v>-8863500</v>
      </c>
      <c r="AY222" s="229">
        <v>-0.1338</v>
      </c>
      <c r="AZ222" s="230">
        <v>27181400</v>
      </c>
      <c r="BA222" s="230">
        <v>18566700</v>
      </c>
      <c r="BB222" s="230">
        <v>8614700</v>
      </c>
      <c r="BC222" s="229">
        <v>0.46400000000000002</v>
      </c>
      <c r="BD222" s="230">
        <v>1586100</v>
      </c>
      <c r="BE222" s="230">
        <v>2332500</v>
      </c>
      <c r="BF222" s="230">
        <v>-746400</v>
      </c>
      <c r="BG222" s="229">
        <v>-0.32</v>
      </c>
      <c r="BH222" s="230">
        <v>85089600</v>
      </c>
      <c r="BI222" s="230">
        <v>87826400</v>
      </c>
      <c r="BJ222" s="230">
        <v>-2736800</v>
      </c>
      <c r="BK222" s="229">
        <v>-3.1199999999999999E-2</v>
      </c>
      <c r="BL222" s="230">
        <v>23573800</v>
      </c>
      <c r="BM222" s="230">
        <v>37288900</v>
      </c>
      <c r="BN222" s="230">
        <v>-13715100</v>
      </c>
      <c r="BO222" s="229">
        <v>-0.36780000000000002</v>
      </c>
      <c r="BP222" s="230">
        <v>194810400</v>
      </c>
      <c r="BQ222" s="230">
        <v>212257500</v>
      </c>
      <c r="BR222" s="230">
        <v>-17447100</v>
      </c>
      <c r="BS222" s="229">
        <v>-8.2199999999999995E-2</v>
      </c>
      <c r="BT222" s="230">
        <v>46506056</v>
      </c>
      <c r="BU222" s="230">
        <v>51638294</v>
      </c>
      <c r="BV222" s="230">
        <v>-5132238</v>
      </c>
      <c r="BW222" s="229">
        <v>-9.9400000000000002E-2</v>
      </c>
      <c r="BX222" s="230">
        <v>1009288300</v>
      </c>
      <c r="BY222" s="230">
        <v>1021324000</v>
      </c>
      <c r="BZ222" s="230">
        <v>-12035700</v>
      </c>
      <c r="CA222" s="229">
        <v>-1.18E-2</v>
      </c>
      <c r="CB222" s="230">
        <v>890237500</v>
      </c>
      <c r="CC222" s="230">
        <v>919409300</v>
      </c>
      <c r="CD222" s="230">
        <v>-29171800</v>
      </c>
      <c r="CE222" s="229">
        <v>-3.1699999999999999E-2</v>
      </c>
      <c r="CF222" s="230">
        <v>108041400</v>
      </c>
      <c r="CG222" s="230">
        <v>91620600</v>
      </c>
      <c r="CH222" s="230">
        <v>16420800</v>
      </c>
      <c r="CI222" s="229">
        <v>0.1792</v>
      </c>
      <c r="CJ222" s="230">
        <v>11009400</v>
      </c>
      <c r="CK222" s="230">
        <v>10294100</v>
      </c>
      <c r="CL222" s="230">
        <v>715300</v>
      </c>
      <c r="CM222" s="229">
        <v>6.9500000000000006E-2</v>
      </c>
      <c r="CN222" s="230">
        <v>290909400</v>
      </c>
      <c r="CO222" s="230">
        <v>287115200</v>
      </c>
      <c r="CP222" s="230">
        <v>3794200</v>
      </c>
      <c r="CQ222" s="229">
        <v>1.32E-2</v>
      </c>
      <c r="CR222" s="230">
        <v>204389200</v>
      </c>
      <c r="CS222" s="230">
        <v>203083000</v>
      </c>
      <c r="CT222" s="230">
        <v>1306200</v>
      </c>
      <c r="CU222" s="229">
        <v>6.4000000000000003E-3</v>
      </c>
      <c r="CV222" s="230">
        <v>1504586900</v>
      </c>
      <c r="CW222" s="230">
        <v>1511522200</v>
      </c>
      <c r="CX222" s="230">
        <v>-6935300</v>
      </c>
      <c r="CY222" s="229">
        <v>-4.5999999999999999E-3</v>
      </c>
      <c r="CZ222" s="228">
        <v>31.06</v>
      </c>
      <c r="DA222" s="228">
        <v>29.5</v>
      </c>
      <c r="DB222" s="228">
        <v>1.56</v>
      </c>
      <c r="DC222" s="228">
        <v>1.56</v>
      </c>
      <c r="DD222" s="228">
        <v>43.31</v>
      </c>
      <c r="DE222" s="228">
        <v>43.42</v>
      </c>
      <c r="DF222" s="228">
        <v>-12.25</v>
      </c>
      <c r="DG222" s="228">
        <v>-0.11</v>
      </c>
      <c r="DH222" s="228">
        <v>30.34</v>
      </c>
      <c r="DI222" s="228">
        <v>29.77</v>
      </c>
      <c r="DJ222" s="228">
        <v>0.56999999999999995</v>
      </c>
      <c r="DK222" s="228">
        <v>0.56999999999999995</v>
      </c>
      <c r="DL222" s="228">
        <v>33.64</v>
      </c>
      <c r="DM222" s="228">
        <v>28.85</v>
      </c>
      <c r="DN222" s="228">
        <v>4.79</v>
      </c>
      <c r="DO222" s="228">
        <v>4.79</v>
      </c>
      <c r="DP222" s="228">
        <v>0.7</v>
      </c>
      <c r="DQ222" s="228">
        <v>0.71</v>
      </c>
      <c r="DR222" s="228">
        <v>-0.01</v>
      </c>
      <c r="DS222" s="229">
        <v>-1.41E-2</v>
      </c>
      <c r="DT222" s="228">
        <v>20</v>
      </c>
      <c r="DU222" s="228">
        <v>20</v>
      </c>
      <c r="DV222" s="228">
        <v>0.28000000000000003</v>
      </c>
      <c r="DW222" s="228">
        <v>0.42</v>
      </c>
      <c r="DX222" s="228">
        <v>-0.14000000000000001</v>
      </c>
      <c r="DY222" s="229">
        <v>-0.33329999999999999</v>
      </c>
      <c r="DZ222" s="229">
        <v>0.11799999999999999</v>
      </c>
      <c r="EA222" s="230">
        <v>101914700</v>
      </c>
      <c r="EB222" s="229">
        <v>6.1999999999999998E-3</v>
      </c>
      <c r="EC222" s="229">
        <v>0.11799999999999999</v>
      </c>
      <c r="ED222" s="228">
        <v>0.12</v>
      </c>
      <c r="EE222" s="229">
        <v>6.1999999999999998E-3</v>
      </c>
      <c r="EF222" s="230">
        <v>24427449</v>
      </c>
      <c r="EG222" s="230">
        <v>23217371</v>
      </c>
      <c r="EH222" s="229">
        <v>5.21E-2</v>
      </c>
      <c r="EI222" s="229">
        <v>0.52529999999999999</v>
      </c>
      <c r="EJ222" s="231">
        <v>17205.060000000001</v>
      </c>
      <c r="EK222" s="231">
        <v>4568.26</v>
      </c>
      <c r="EL222" s="231">
        <v>16743.080000000002</v>
      </c>
      <c r="EM222" s="228">
        <v>0</v>
      </c>
      <c r="EN222" s="231">
        <v>38516.400000000001</v>
      </c>
      <c r="EO222" s="231">
        <v>41663.72</v>
      </c>
      <c r="EP222" s="231">
        <v>-3147.32</v>
      </c>
      <c r="EQ222" s="229">
        <v>-7.5499999999999998E-2</v>
      </c>
      <c r="ER222" s="231">
        <v>60777</v>
      </c>
      <c r="ES222" s="231">
        <v>39258</v>
      </c>
      <c r="ET222" s="231">
        <v>195755</v>
      </c>
      <c r="EU222" s="231">
        <v>6273124692</v>
      </c>
      <c r="EV222" s="231">
        <v>295791</v>
      </c>
      <c r="EW222" s="231">
        <v>296962</v>
      </c>
      <c r="EX222" s="231">
        <v>-1171</v>
      </c>
      <c r="EY222" s="229">
        <v>-3.8999999999999998E-3</v>
      </c>
      <c r="EZ222" s="229">
        <v>0.23980000000000001</v>
      </c>
      <c r="FA222" s="227" t="s">
        <v>237</v>
      </c>
      <c r="FB222" s="161">
        <f t="shared" si="5"/>
        <v>0</v>
      </c>
    </row>
    <row r="223" spans="1:158" ht="17.25" thickBot="1" x14ac:dyDescent="0.3">
      <c r="A223" s="226">
        <v>45889</v>
      </c>
      <c r="B223" s="227" t="s">
        <v>170</v>
      </c>
      <c r="C223" s="227" t="s">
        <v>557</v>
      </c>
      <c r="D223" s="228">
        <v>900</v>
      </c>
      <c r="E223" s="228">
        <v>984.15</v>
      </c>
      <c r="F223" s="228">
        <v>992.9</v>
      </c>
      <c r="G223" s="228">
        <v>-8.75</v>
      </c>
      <c r="H223" s="229">
        <v>-8.8000000000000005E-3</v>
      </c>
      <c r="I223" s="228">
        <v>983.3</v>
      </c>
      <c r="J223" s="228">
        <v>989.45</v>
      </c>
      <c r="K223" s="228">
        <v>-6.15</v>
      </c>
      <c r="L223" s="229">
        <v>-6.1999999999999998E-3</v>
      </c>
      <c r="M223" s="228">
        <v>984.15</v>
      </c>
      <c r="N223" s="228">
        <v>992.9</v>
      </c>
      <c r="O223" s="228">
        <v>-8.75</v>
      </c>
      <c r="P223" s="229">
        <v>-8.8000000000000005E-3</v>
      </c>
      <c r="Q223" s="228">
        <v>989.85</v>
      </c>
      <c r="R223" s="228">
        <v>998.15</v>
      </c>
      <c r="S223" s="228">
        <v>-8.3000000000000007</v>
      </c>
      <c r="T223" s="229">
        <v>-8.3000000000000001E-3</v>
      </c>
      <c r="U223" s="228">
        <v>995</v>
      </c>
      <c r="V223" s="231">
        <v>1001.5</v>
      </c>
      <c r="W223" s="228">
        <v>-6.5</v>
      </c>
      <c r="X223" s="229">
        <v>-6.4999999999999997E-3</v>
      </c>
      <c r="Y223" s="228">
        <v>0.85</v>
      </c>
      <c r="Z223" s="228">
        <v>3.45</v>
      </c>
      <c r="AA223" s="228">
        <v>-2.6</v>
      </c>
      <c r="AB223" s="229">
        <v>8.9999999999999998E-4</v>
      </c>
      <c r="AC223" s="228">
        <v>0.85</v>
      </c>
      <c r="AD223" s="228">
        <v>3.45</v>
      </c>
      <c r="AE223" s="228">
        <v>-2.6</v>
      </c>
      <c r="AF223" s="229">
        <v>8.9999999999999998E-4</v>
      </c>
      <c r="AG223" s="228">
        <v>6.55</v>
      </c>
      <c r="AH223" s="228">
        <v>8.6999999999999993</v>
      </c>
      <c r="AI223" s="228">
        <v>-2.15</v>
      </c>
      <c r="AJ223" s="229">
        <v>6.7000000000000002E-3</v>
      </c>
      <c r="AK223" s="228">
        <v>11.7</v>
      </c>
      <c r="AL223" s="228">
        <v>12.05</v>
      </c>
      <c r="AM223" s="228">
        <v>-0.35</v>
      </c>
      <c r="AN223" s="229">
        <v>1.1900000000000001E-2</v>
      </c>
      <c r="AO223" s="228">
        <v>984.43</v>
      </c>
      <c r="AP223" s="228">
        <v>990.42</v>
      </c>
      <c r="AQ223" s="228">
        <v>0</v>
      </c>
      <c r="AR223" s="230">
        <v>1198800</v>
      </c>
      <c r="AS223" s="230">
        <v>1120500</v>
      </c>
      <c r="AT223" s="230">
        <v>78300</v>
      </c>
      <c r="AU223" s="229">
        <v>6.9900000000000004E-2</v>
      </c>
      <c r="AV223" s="230">
        <v>801900</v>
      </c>
      <c r="AW223" s="230">
        <v>932400</v>
      </c>
      <c r="AX223" s="230">
        <v>-130500</v>
      </c>
      <c r="AY223" s="229">
        <v>-0.14000000000000001</v>
      </c>
      <c r="AZ223" s="230">
        <v>393300</v>
      </c>
      <c r="BA223" s="230">
        <v>186300</v>
      </c>
      <c r="BB223" s="230">
        <v>207000</v>
      </c>
      <c r="BC223" s="229">
        <v>1.1111</v>
      </c>
      <c r="BD223" s="230">
        <v>3600</v>
      </c>
      <c r="BE223" s="230">
        <v>1800</v>
      </c>
      <c r="BF223" s="230">
        <v>1800</v>
      </c>
      <c r="BG223" s="229">
        <v>1</v>
      </c>
      <c r="BH223" s="230">
        <v>1919700</v>
      </c>
      <c r="BI223" s="230">
        <v>2870100</v>
      </c>
      <c r="BJ223" s="230">
        <v>-950400</v>
      </c>
      <c r="BK223" s="229">
        <v>-0.33110000000000001</v>
      </c>
      <c r="BL223" s="230">
        <v>933300</v>
      </c>
      <c r="BM223" s="230">
        <v>1064700</v>
      </c>
      <c r="BN223" s="230">
        <v>-131400</v>
      </c>
      <c r="BO223" s="229">
        <v>-0.1234</v>
      </c>
      <c r="BP223" s="230">
        <v>4051800</v>
      </c>
      <c r="BQ223" s="230">
        <v>5055300</v>
      </c>
      <c r="BR223" s="230">
        <v>-1003500</v>
      </c>
      <c r="BS223" s="229">
        <v>-0.19850000000000001</v>
      </c>
      <c r="BT223" s="230">
        <v>550172</v>
      </c>
      <c r="BU223" s="230">
        <v>787193</v>
      </c>
      <c r="BV223" s="230">
        <v>-237021</v>
      </c>
      <c r="BW223" s="229">
        <v>-0.30109999999999998</v>
      </c>
      <c r="BX223" s="230">
        <v>8392500</v>
      </c>
      <c r="BY223" s="230">
        <v>8198100</v>
      </c>
      <c r="BZ223" s="230">
        <v>194400</v>
      </c>
      <c r="CA223" s="229">
        <v>2.3699999999999999E-2</v>
      </c>
      <c r="CB223" s="230">
        <v>7093800</v>
      </c>
      <c r="CC223" s="230">
        <v>7133400</v>
      </c>
      <c r="CD223" s="230">
        <v>-39600</v>
      </c>
      <c r="CE223" s="229">
        <v>-5.5999999999999999E-3</v>
      </c>
      <c r="CF223" s="230">
        <v>1265400</v>
      </c>
      <c r="CG223" s="230">
        <v>1032300</v>
      </c>
      <c r="CH223" s="230">
        <v>233100</v>
      </c>
      <c r="CI223" s="229">
        <v>0.2258</v>
      </c>
      <c r="CJ223" s="230">
        <v>33300</v>
      </c>
      <c r="CK223" s="230">
        <v>32400</v>
      </c>
      <c r="CL223" s="228">
        <v>900</v>
      </c>
      <c r="CM223" s="229">
        <v>2.7799999999999998E-2</v>
      </c>
      <c r="CN223" s="230">
        <v>2946600</v>
      </c>
      <c r="CO223" s="230">
        <v>3067200</v>
      </c>
      <c r="CP223" s="230">
        <v>-120600</v>
      </c>
      <c r="CQ223" s="229">
        <v>-3.9300000000000002E-2</v>
      </c>
      <c r="CR223" s="230">
        <v>2889900</v>
      </c>
      <c r="CS223" s="230">
        <v>2883600</v>
      </c>
      <c r="CT223" s="230">
        <v>6300</v>
      </c>
      <c r="CU223" s="229">
        <v>2.2000000000000001E-3</v>
      </c>
      <c r="CV223" s="230">
        <v>14229000</v>
      </c>
      <c r="CW223" s="230">
        <v>14148900</v>
      </c>
      <c r="CX223" s="230">
        <v>80100</v>
      </c>
      <c r="CY223" s="229">
        <v>5.7000000000000002E-3</v>
      </c>
      <c r="CZ223" s="228">
        <v>24.16</v>
      </c>
      <c r="DA223" s="228">
        <v>24.22</v>
      </c>
      <c r="DB223" s="228">
        <v>-0.06</v>
      </c>
      <c r="DC223" s="228">
        <v>-0.06</v>
      </c>
      <c r="DD223" s="228">
        <v>30.66</v>
      </c>
      <c r="DE223" s="228">
        <v>30.71</v>
      </c>
      <c r="DF223" s="228">
        <v>-6.5</v>
      </c>
      <c r="DG223" s="228">
        <v>-0.05</v>
      </c>
      <c r="DH223" s="228">
        <v>23.69</v>
      </c>
      <c r="DI223" s="228">
        <v>23.57</v>
      </c>
      <c r="DJ223" s="228">
        <v>0.12</v>
      </c>
      <c r="DK223" s="228">
        <v>0.12</v>
      </c>
      <c r="DL223" s="228">
        <v>25.12</v>
      </c>
      <c r="DM223" s="228">
        <v>25.99</v>
      </c>
      <c r="DN223" s="228">
        <v>-0.87</v>
      </c>
      <c r="DO223" s="228">
        <v>-0.87</v>
      </c>
      <c r="DP223" s="228">
        <v>0.98</v>
      </c>
      <c r="DQ223" s="228">
        <v>0.94</v>
      </c>
      <c r="DR223" s="228">
        <v>0.04</v>
      </c>
      <c r="DS223" s="229">
        <v>4.2599999999999999E-2</v>
      </c>
      <c r="DT223" s="231">
        <v>1000</v>
      </c>
      <c r="DU223" s="228">
        <v>900</v>
      </c>
      <c r="DV223" s="228">
        <v>0.49</v>
      </c>
      <c r="DW223" s="228">
        <v>0.37</v>
      </c>
      <c r="DX223" s="228">
        <v>0.12</v>
      </c>
      <c r="DY223" s="229">
        <v>0.32429999999999998</v>
      </c>
      <c r="DZ223" s="229">
        <v>0.1547</v>
      </c>
      <c r="EA223" s="230">
        <v>1064700</v>
      </c>
      <c r="EB223" s="229">
        <v>5.7999999999999996E-3</v>
      </c>
      <c r="EC223" s="229">
        <v>0.1547</v>
      </c>
      <c r="ED223" s="228">
        <v>5.99</v>
      </c>
      <c r="EE223" s="229">
        <v>6.1000000000000004E-3</v>
      </c>
      <c r="EF223" s="230">
        <v>324609</v>
      </c>
      <c r="EG223" s="230">
        <v>439640</v>
      </c>
      <c r="EH223" s="229">
        <v>-0.2616</v>
      </c>
      <c r="EI223" s="229">
        <v>0.59</v>
      </c>
      <c r="EJ223" s="231">
        <v>19583.759999999998</v>
      </c>
      <c r="EK223" s="231">
        <v>9081.7900000000009</v>
      </c>
      <c r="EL223" s="231">
        <v>11825.17</v>
      </c>
      <c r="EM223" s="228">
        <v>0</v>
      </c>
      <c r="EN223" s="231">
        <v>40490.720000000001</v>
      </c>
      <c r="EO223" s="231">
        <v>50798.03</v>
      </c>
      <c r="EP223" s="231">
        <v>-10307.31</v>
      </c>
      <c r="EQ223" s="229">
        <v>-0.2029</v>
      </c>
      <c r="ER223" s="231">
        <v>29898</v>
      </c>
      <c r="ES223" s="231">
        <v>27035</v>
      </c>
      <c r="ET223" s="231">
        <v>82671</v>
      </c>
      <c r="EU223" s="231">
        <v>50321935</v>
      </c>
      <c r="EV223" s="231">
        <v>139603</v>
      </c>
      <c r="EW223" s="231">
        <v>139563</v>
      </c>
      <c r="EX223" s="228">
        <v>40</v>
      </c>
      <c r="EY223" s="229">
        <v>2.9999999999999997E-4</v>
      </c>
      <c r="EZ223" s="229">
        <v>0.2828</v>
      </c>
      <c r="FA223" s="227" t="s">
        <v>567</v>
      </c>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BX333-CB333</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O10" sqref="EO10"/>
    </sheetView>
  </sheetViews>
  <sheetFormatPr defaultRowHeight="15" x14ac:dyDescent="0.25"/>
  <cols>
    <col min="1" max="1" width="12.425781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140625" bestFit="1" customWidth="1"/>
    <col min="91" max="92" width="14.28515625" bestFit="1" customWidth="1"/>
    <col min="93" max="93" width="14"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45889</v>
      </c>
      <c r="B2" s="227" t="s">
        <v>215</v>
      </c>
      <c r="C2" s="227" t="s">
        <v>159</v>
      </c>
      <c r="D2" s="231">
        <v>2386.4</v>
      </c>
      <c r="E2" s="231">
        <v>2388.9</v>
      </c>
      <c r="F2" s="228">
        <v>-2.5</v>
      </c>
      <c r="G2" s="229">
        <v>-1E-3</v>
      </c>
      <c r="H2" s="231">
        <v>2387.1</v>
      </c>
      <c r="I2" s="231">
        <v>2388.4</v>
      </c>
      <c r="J2" s="228">
        <v>-1.3</v>
      </c>
      <c r="K2" s="229">
        <v>-5.0000000000000001E-4</v>
      </c>
      <c r="L2" s="231">
        <v>2386.4</v>
      </c>
      <c r="M2" s="231">
        <v>2388.9</v>
      </c>
      <c r="N2" s="228">
        <v>-2.5</v>
      </c>
      <c r="O2" s="229">
        <v>-1E-3</v>
      </c>
      <c r="P2" s="231">
        <v>2400</v>
      </c>
      <c r="Q2" s="231">
        <v>2402.3000000000002</v>
      </c>
      <c r="R2" s="228">
        <v>-2.2999999999999998</v>
      </c>
      <c r="S2" s="229">
        <v>-1E-3</v>
      </c>
      <c r="T2" s="231">
        <v>2411.1999999999998</v>
      </c>
      <c r="U2" s="231">
        <v>2411.1999999999998</v>
      </c>
      <c r="V2" s="228">
        <v>0</v>
      </c>
      <c r="W2" s="229">
        <v>0</v>
      </c>
      <c r="X2" s="228">
        <v>-0.7</v>
      </c>
      <c r="Y2" s="228">
        <v>0.5</v>
      </c>
      <c r="Z2" s="228">
        <v>-1.2</v>
      </c>
      <c r="AA2" s="229">
        <v>-2.9999999999999997E-4</v>
      </c>
      <c r="AB2" s="228">
        <v>-0.7</v>
      </c>
      <c r="AC2" s="228">
        <v>0.5</v>
      </c>
      <c r="AD2" s="228">
        <v>-1.2</v>
      </c>
      <c r="AE2" s="229">
        <v>-2.9999999999999997E-4</v>
      </c>
      <c r="AF2" s="228">
        <v>12.9</v>
      </c>
      <c r="AG2" s="228">
        <v>13.9</v>
      </c>
      <c r="AH2" s="228">
        <v>-1</v>
      </c>
      <c r="AI2" s="229">
        <v>5.4000000000000003E-3</v>
      </c>
      <c r="AJ2" s="228">
        <v>24.1</v>
      </c>
      <c r="AK2" s="228">
        <v>22.8</v>
      </c>
      <c r="AL2" s="228">
        <v>1.3</v>
      </c>
      <c r="AM2" s="229">
        <v>1.01E-2</v>
      </c>
      <c r="AN2" s="231">
        <v>2390.66</v>
      </c>
      <c r="AO2" s="231">
        <v>2403.2199999999998</v>
      </c>
      <c r="AP2" s="228">
        <v>0</v>
      </c>
      <c r="AQ2" s="230">
        <v>8031</v>
      </c>
      <c r="AR2" s="230">
        <v>9973</v>
      </c>
      <c r="AS2" s="230">
        <v>-1942</v>
      </c>
      <c r="AT2" s="229">
        <v>-0.19470000000000001</v>
      </c>
      <c r="AU2" s="230">
        <v>6770</v>
      </c>
      <c r="AV2" s="230">
        <v>8150</v>
      </c>
      <c r="AW2" s="230">
        <v>-1380</v>
      </c>
      <c r="AX2" s="229">
        <v>-0.16930000000000001</v>
      </c>
      <c r="AY2" s="230">
        <v>1236</v>
      </c>
      <c r="AZ2" s="230">
        <v>1780</v>
      </c>
      <c r="BA2" s="228">
        <v>-544</v>
      </c>
      <c r="BB2" s="229">
        <v>-0.30559999999999998</v>
      </c>
      <c r="BC2" s="228">
        <v>25</v>
      </c>
      <c r="BD2" s="228">
        <v>43</v>
      </c>
      <c r="BE2" s="228">
        <v>-18</v>
      </c>
      <c r="BF2" s="229">
        <v>-0.41860000000000003</v>
      </c>
      <c r="BG2" s="230">
        <v>34844</v>
      </c>
      <c r="BH2" s="230">
        <v>48798</v>
      </c>
      <c r="BI2" s="230">
        <v>-13954</v>
      </c>
      <c r="BJ2" s="229">
        <v>-0.28599999999999998</v>
      </c>
      <c r="BK2" s="230">
        <v>18225</v>
      </c>
      <c r="BL2" s="230">
        <v>26059</v>
      </c>
      <c r="BM2" s="230">
        <v>-7834</v>
      </c>
      <c r="BN2" s="229">
        <v>-0.30059999999999998</v>
      </c>
      <c r="BO2" s="230">
        <v>61100</v>
      </c>
      <c r="BP2" s="230">
        <v>84830</v>
      </c>
      <c r="BQ2" s="230">
        <v>-23730</v>
      </c>
      <c r="BR2" s="229">
        <v>-0.2797</v>
      </c>
      <c r="BS2" s="230">
        <v>813558</v>
      </c>
      <c r="BT2" s="230">
        <v>1131103</v>
      </c>
      <c r="BU2" s="230">
        <v>-317545</v>
      </c>
      <c r="BV2" s="229">
        <v>-0.28070000000000001</v>
      </c>
      <c r="BW2" s="230">
        <v>17055000</v>
      </c>
      <c r="BX2" s="230">
        <v>17252700</v>
      </c>
      <c r="BY2" s="230">
        <v>-197700</v>
      </c>
      <c r="BZ2" s="229">
        <v>-1.15E-2</v>
      </c>
      <c r="CA2" s="230">
        <v>15794700</v>
      </c>
      <c r="CB2" s="230">
        <v>16201500</v>
      </c>
      <c r="CC2" s="230">
        <v>-406800</v>
      </c>
      <c r="CD2" s="229">
        <v>-2.5100000000000001E-2</v>
      </c>
      <c r="CE2" s="230">
        <v>1010400</v>
      </c>
      <c r="CF2" s="230">
        <v>802500</v>
      </c>
      <c r="CG2" s="230">
        <v>207900</v>
      </c>
      <c r="CH2" s="229">
        <v>0.2591</v>
      </c>
      <c r="CI2" s="230">
        <v>249900</v>
      </c>
      <c r="CJ2" s="230">
        <v>248700</v>
      </c>
      <c r="CK2" s="230">
        <v>1200</v>
      </c>
      <c r="CL2" s="229">
        <v>4.7999999999999996E-3</v>
      </c>
      <c r="CM2" s="230">
        <v>9311100</v>
      </c>
      <c r="CN2" s="230">
        <v>9068400</v>
      </c>
      <c r="CO2" s="230">
        <v>242700</v>
      </c>
      <c r="CP2" s="229">
        <v>2.6800000000000001E-2</v>
      </c>
      <c r="CQ2" s="230">
        <v>8688000</v>
      </c>
      <c r="CR2" s="230">
        <v>8773800</v>
      </c>
      <c r="CS2" s="230">
        <v>-85800</v>
      </c>
      <c r="CT2" s="229">
        <v>-9.7999999999999997E-3</v>
      </c>
      <c r="CU2" s="230">
        <v>35054100</v>
      </c>
      <c r="CV2" s="230">
        <v>35094900</v>
      </c>
      <c r="CW2" s="230">
        <v>-40800</v>
      </c>
      <c r="CX2" s="229">
        <v>-1.1999999999999999E-3</v>
      </c>
      <c r="CY2" s="228">
        <v>29.72</v>
      </c>
      <c r="CZ2" s="228">
        <v>30.35</v>
      </c>
      <c r="DA2" s="228">
        <v>-0.63</v>
      </c>
      <c r="DB2" s="228">
        <v>-0.63</v>
      </c>
      <c r="DC2" s="228">
        <v>52.58</v>
      </c>
      <c r="DD2" s="228">
        <v>52.72</v>
      </c>
      <c r="DE2" s="228">
        <v>-22.86</v>
      </c>
      <c r="DF2" s="228">
        <v>-0.14000000000000001</v>
      </c>
      <c r="DG2" s="228">
        <v>28.62</v>
      </c>
      <c r="DH2" s="228">
        <v>28.07</v>
      </c>
      <c r="DI2" s="228">
        <v>0.55000000000000004</v>
      </c>
      <c r="DJ2" s="228">
        <v>0.55000000000000004</v>
      </c>
      <c r="DK2" s="228">
        <v>31.81</v>
      </c>
      <c r="DL2" s="228">
        <v>34.619999999999997</v>
      </c>
      <c r="DM2" s="228">
        <v>-2.81</v>
      </c>
      <c r="DN2" s="228">
        <v>-2.81</v>
      </c>
      <c r="DO2" s="228">
        <v>0.93</v>
      </c>
      <c r="DP2" s="228">
        <v>0.97</v>
      </c>
      <c r="DQ2" s="228">
        <v>-0.04</v>
      </c>
      <c r="DR2" s="229">
        <v>-4.1200000000000001E-2</v>
      </c>
      <c r="DS2" s="231">
        <v>2600</v>
      </c>
      <c r="DT2" s="231">
        <v>2700</v>
      </c>
      <c r="DU2" s="228">
        <v>0.52</v>
      </c>
      <c r="DV2" s="228">
        <v>0.53</v>
      </c>
      <c r="DW2" s="228">
        <v>-0.01</v>
      </c>
      <c r="DX2" s="229">
        <v>-1.89E-2</v>
      </c>
      <c r="DY2" s="229">
        <v>7.3899999999999993E-2</v>
      </c>
      <c r="DZ2" s="230">
        <v>1051200</v>
      </c>
      <c r="EA2" s="229">
        <v>5.7000000000000002E-3</v>
      </c>
      <c r="EB2" s="229">
        <v>7.3899999999999993E-2</v>
      </c>
      <c r="EC2" s="228">
        <v>12.56</v>
      </c>
      <c r="ED2" s="229">
        <v>5.3E-3</v>
      </c>
      <c r="EE2" s="230">
        <v>330033</v>
      </c>
      <c r="EF2" s="230">
        <v>435487</v>
      </c>
      <c r="EG2" s="229">
        <v>-0.2422</v>
      </c>
      <c r="EH2" s="229">
        <v>0.40570000000000001</v>
      </c>
      <c r="EI2" s="231">
        <v>259637.55</v>
      </c>
      <c r="EJ2" s="231">
        <v>126448.15</v>
      </c>
      <c r="EK2" s="231">
        <v>57646.27</v>
      </c>
      <c r="EL2" s="228">
        <v>0</v>
      </c>
      <c r="EM2" s="231">
        <v>443731.97</v>
      </c>
      <c r="EN2" s="231">
        <v>609925.30000000005</v>
      </c>
      <c r="EO2" s="231">
        <v>-166193.32999999999</v>
      </c>
      <c r="EP2" s="229">
        <v>-0.27250000000000002</v>
      </c>
      <c r="EQ2" s="231">
        <v>232028</v>
      </c>
      <c r="ER2" s="231">
        <v>207930</v>
      </c>
      <c r="ES2" s="231">
        <v>407200</v>
      </c>
      <c r="ET2" s="231">
        <v>60081955</v>
      </c>
      <c r="EU2" s="231">
        <v>847158</v>
      </c>
      <c r="EV2" s="231">
        <v>847397</v>
      </c>
      <c r="EW2" s="228">
        <v>-239</v>
      </c>
      <c r="EX2" s="229">
        <v>-2.9999999999999997E-4</v>
      </c>
      <c r="EY2" s="229">
        <v>0.58340000000000003</v>
      </c>
    </row>
    <row r="3" spans="1:155" ht="17.25" thickBot="1" x14ac:dyDescent="0.3">
      <c r="A3" s="226">
        <v>45889</v>
      </c>
      <c r="B3" s="227" t="s">
        <v>215</v>
      </c>
      <c r="C3" s="227" t="s">
        <v>160</v>
      </c>
      <c r="D3" s="231">
        <v>1371.3</v>
      </c>
      <c r="E3" s="231">
        <v>1373.2</v>
      </c>
      <c r="F3" s="228">
        <v>-1.9</v>
      </c>
      <c r="G3" s="229">
        <v>-1.4E-3</v>
      </c>
      <c r="H3" s="231">
        <v>1370.6</v>
      </c>
      <c r="I3" s="231">
        <v>1369.4</v>
      </c>
      <c r="J3" s="228">
        <v>1.2</v>
      </c>
      <c r="K3" s="229">
        <v>8.9999999999999998E-4</v>
      </c>
      <c r="L3" s="231">
        <v>1371.3</v>
      </c>
      <c r="M3" s="231">
        <v>1373.2</v>
      </c>
      <c r="N3" s="228">
        <v>-1.9</v>
      </c>
      <c r="O3" s="229">
        <v>-1.4E-3</v>
      </c>
      <c r="P3" s="231">
        <v>1378.8</v>
      </c>
      <c r="Q3" s="231">
        <v>1380.7</v>
      </c>
      <c r="R3" s="228">
        <v>-1.9</v>
      </c>
      <c r="S3" s="229">
        <v>-1.4E-3</v>
      </c>
      <c r="T3" s="231">
        <v>1386.6</v>
      </c>
      <c r="U3" s="231">
        <v>1387.8</v>
      </c>
      <c r="V3" s="228">
        <v>-1.2</v>
      </c>
      <c r="W3" s="229">
        <v>-8.9999999999999998E-4</v>
      </c>
      <c r="X3" s="228">
        <v>0.7</v>
      </c>
      <c r="Y3" s="228">
        <v>3.8</v>
      </c>
      <c r="Z3" s="228">
        <v>-3.1</v>
      </c>
      <c r="AA3" s="229">
        <v>5.0000000000000001E-4</v>
      </c>
      <c r="AB3" s="228">
        <v>0.7</v>
      </c>
      <c r="AC3" s="228">
        <v>3.8</v>
      </c>
      <c r="AD3" s="228">
        <v>-3.1</v>
      </c>
      <c r="AE3" s="229">
        <v>5.0000000000000001E-4</v>
      </c>
      <c r="AF3" s="228">
        <v>8.1999999999999993</v>
      </c>
      <c r="AG3" s="228">
        <v>11.3</v>
      </c>
      <c r="AH3" s="228">
        <v>-3.1</v>
      </c>
      <c r="AI3" s="229">
        <v>6.0000000000000001E-3</v>
      </c>
      <c r="AJ3" s="228">
        <v>16</v>
      </c>
      <c r="AK3" s="228">
        <v>18.399999999999999</v>
      </c>
      <c r="AL3" s="228">
        <v>-2.4</v>
      </c>
      <c r="AM3" s="229">
        <v>1.17E-2</v>
      </c>
      <c r="AN3" s="231">
        <v>1369.53</v>
      </c>
      <c r="AO3" s="231">
        <v>1377.47</v>
      </c>
      <c r="AP3" s="228">
        <v>0</v>
      </c>
      <c r="AQ3" s="230">
        <v>5651</v>
      </c>
      <c r="AR3" s="230">
        <v>12197</v>
      </c>
      <c r="AS3" s="230">
        <v>-6546</v>
      </c>
      <c r="AT3" s="229">
        <v>-0.53669999999999995</v>
      </c>
      <c r="AU3" s="230">
        <v>4670</v>
      </c>
      <c r="AV3" s="230">
        <v>10459</v>
      </c>
      <c r="AW3" s="230">
        <v>-5789</v>
      </c>
      <c r="AX3" s="229">
        <v>-0.55349999999999999</v>
      </c>
      <c r="AY3" s="228">
        <v>907</v>
      </c>
      <c r="AZ3" s="230">
        <v>1555</v>
      </c>
      <c r="BA3" s="228">
        <v>-648</v>
      </c>
      <c r="BB3" s="229">
        <v>-0.41670000000000001</v>
      </c>
      <c r="BC3" s="228">
        <v>74</v>
      </c>
      <c r="BD3" s="228">
        <v>183</v>
      </c>
      <c r="BE3" s="228">
        <v>-109</v>
      </c>
      <c r="BF3" s="229">
        <v>-0.59560000000000002</v>
      </c>
      <c r="BG3" s="230">
        <v>25093</v>
      </c>
      <c r="BH3" s="230">
        <v>71644</v>
      </c>
      <c r="BI3" s="230">
        <v>-46551</v>
      </c>
      <c r="BJ3" s="229">
        <v>-0.64980000000000004</v>
      </c>
      <c r="BK3" s="230">
        <v>13798</v>
      </c>
      <c r="BL3" s="230">
        <v>27265</v>
      </c>
      <c r="BM3" s="230">
        <v>-13467</v>
      </c>
      <c r="BN3" s="229">
        <v>-0.49390000000000001</v>
      </c>
      <c r="BO3" s="230">
        <v>44542</v>
      </c>
      <c r="BP3" s="230">
        <v>111106</v>
      </c>
      <c r="BQ3" s="230">
        <v>-66564</v>
      </c>
      <c r="BR3" s="229">
        <v>-0.59909999999999997</v>
      </c>
      <c r="BS3" s="230">
        <v>1731428</v>
      </c>
      <c r="BT3" s="230">
        <v>3316763</v>
      </c>
      <c r="BU3" s="230">
        <v>-1585335</v>
      </c>
      <c r="BV3" s="229">
        <v>-0.47799999999999998</v>
      </c>
      <c r="BW3" s="230">
        <v>25108025</v>
      </c>
      <c r="BX3" s="230">
        <v>25344575</v>
      </c>
      <c r="BY3" s="230">
        <v>-236550</v>
      </c>
      <c r="BZ3" s="229">
        <v>-9.2999999999999992E-3</v>
      </c>
      <c r="CA3" s="230">
        <v>22980975</v>
      </c>
      <c r="CB3" s="230">
        <v>23431750</v>
      </c>
      <c r="CC3" s="230">
        <v>-450775</v>
      </c>
      <c r="CD3" s="229">
        <v>-1.9199999999999998E-2</v>
      </c>
      <c r="CE3" s="230">
        <v>1913300</v>
      </c>
      <c r="CF3" s="230">
        <v>1704300</v>
      </c>
      <c r="CG3" s="230">
        <v>209000</v>
      </c>
      <c r="CH3" s="229">
        <v>0.1226</v>
      </c>
      <c r="CI3" s="230">
        <v>213750</v>
      </c>
      <c r="CJ3" s="230">
        <v>208525</v>
      </c>
      <c r="CK3" s="230">
        <v>5225</v>
      </c>
      <c r="CL3" s="229">
        <v>2.5100000000000001E-2</v>
      </c>
      <c r="CM3" s="230">
        <v>9014550</v>
      </c>
      <c r="CN3" s="230">
        <v>9161800</v>
      </c>
      <c r="CO3" s="230">
        <v>-147250</v>
      </c>
      <c r="CP3" s="229">
        <v>-1.61E-2</v>
      </c>
      <c r="CQ3" s="230">
        <v>6855675</v>
      </c>
      <c r="CR3" s="230">
        <v>7068475</v>
      </c>
      <c r="CS3" s="230">
        <v>-212800</v>
      </c>
      <c r="CT3" s="229">
        <v>-3.0099999999999998E-2</v>
      </c>
      <c r="CU3" s="230">
        <v>40978250</v>
      </c>
      <c r="CV3" s="230">
        <v>41574850</v>
      </c>
      <c r="CW3" s="230">
        <v>-596600</v>
      </c>
      <c r="CX3" s="229">
        <v>-1.44E-2</v>
      </c>
      <c r="CY3" s="228">
        <v>23.65</v>
      </c>
      <c r="CZ3" s="228">
        <v>24.79</v>
      </c>
      <c r="DA3" s="228">
        <v>-1.1399999999999999</v>
      </c>
      <c r="DB3" s="228">
        <v>-1.1399999999999999</v>
      </c>
      <c r="DC3" s="228">
        <v>41.98</v>
      </c>
      <c r="DD3" s="228">
        <v>42.08</v>
      </c>
      <c r="DE3" s="228">
        <v>-18.329999999999998</v>
      </c>
      <c r="DF3" s="228">
        <v>-0.1</v>
      </c>
      <c r="DG3" s="228">
        <v>23.61</v>
      </c>
      <c r="DH3" s="228">
        <v>24.33</v>
      </c>
      <c r="DI3" s="228">
        <v>-0.72</v>
      </c>
      <c r="DJ3" s="228">
        <v>-0.72</v>
      </c>
      <c r="DK3" s="228">
        <v>23.71</v>
      </c>
      <c r="DL3" s="228">
        <v>25.98</v>
      </c>
      <c r="DM3" s="228">
        <v>-2.27</v>
      </c>
      <c r="DN3" s="228">
        <v>-2.27</v>
      </c>
      <c r="DO3" s="228">
        <v>0.76</v>
      </c>
      <c r="DP3" s="228">
        <v>0.77</v>
      </c>
      <c r="DQ3" s="228">
        <v>-0.01</v>
      </c>
      <c r="DR3" s="229">
        <v>-1.2999999999999999E-2</v>
      </c>
      <c r="DS3" s="231">
        <v>1400</v>
      </c>
      <c r="DT3" s="231">
        <v>1300</v>
      </c>
      <c r="DU3" s="228">
        <v>0.55000000000000004</v>
      </c>
      <c r="DV3" s="228">
        <v>0.38</v>
      </c>
      <c r="DW3" s="228">
        <v>0.17</v>
      </c>
      <c r="DX3" s="229">
        <v>0.44740000000000002</v>
      </c>
      <c r="DY3" s="229">
        <v>8.4699999999999998E-2</v>
      </c>
      <c r="DZ3" s="230">
        <v>1912825</v>
      </c>
      <c r="EA3" s="229">
        <v>5.4999999999999997E-3</v>
      </c>
      <c r="EB3" s="229">
        <v>8.4699999999999998E-2</v>
      </c>
      <c r="EC3" s="228">
        <v>7.94</v>
      </c>
      <c r="ED3" s="229">
        <v>5.7999999999999996E-3</v>
      </c>
      <c r="EE3" s="230">
        <v>891234</v>
      </c>
      <c r="EF3" s="230">
        <v>1200263</v>
      </c>
      <c r="EG3" s="229">
        <v>-0.25750000000000001</v>
      </c>
      <c r="EH3" s="229">
        <v>0.51470000000000005</v>
      </c>
      <c r="EI3" s="231">
        <v>167916.64</v>
      </c>
      <c r="EJ3" s="231">
        <v>88996.69</v>
      </c>
      <c r="EK3" s="231">
        <v>36800.54</v>
      </c>
      <c r="EL3" s="228">
        <v>0</v>
      </c>
      <c r="EM3" s="231">
        <v>293713.87</v>
      </c>
      <c r="EN3" s="231">
        <v>726939.16</v>
      </c>
      <c r="EO3" s="231">
        <v>-433225.29</v>
      </c>
      <c r="EP3" s="229">
        <v>-0.59599999999999997</v>
      </c>
      <c r="EQ3" s="231">
        <v>127422</v>
      </c>
      <c r="ER3" s="231">
        <v>91189</v>
      </c>
      <c r="ES3" s="231">
        <v>344483</v>
      </c>
      <c r="ET3" s="231">
        <v>147352572</v>
      </c>
      <c r="EU3" s="231">
        <v>563094</v>
      </c>
      <c r="EV3" s="231">
        <v>571366</v>
      </c>
      <c r="EW3" s="231">
        <v>-8272</v>
      </c>
      <c r="EX3" s="229">
        <v>-1.4500000000000001E-2</v>
      </c>
      <c r="EY3" s="229">
        <v>0.27810000000000001</v>
      </c>
    </row>
    <row r="4" spans="1:155" ht="17.25" thickBot="1" x14ac:dyDescent="0.3">
      <c r="A4" s="226">
        <v>45889</v>
      </c>
      <c r="B4" s="227" t="s">
        <v>170</v>
      </c>
      <c r="C4" s="227" t="s">
        <v>165</v>
      </c>
      <c r="D4" s="231">
        <v>7885.5</v>
      </c>
      <c r="E4" s="231">
        <v>7847.5</v>
      </c>
      <c r="F4" s="228">
        <v>38</v>
      </c>
      <c r="G4" s="229">
        <v>4.7999999999999996E-3</v>
      </c>
      <c r="H4" s="231">
        <v>7883</v>
      </c>
      <c r="I4" s="231">
        <v>7823.5</v>
      </c>
      <c r="J4" s="228">
        <v>59.5</v>
      </c>
      <c r="K4" s="229">
        <v>7.6E-3</v>
      </c>
      <c r="L4" s="231">
        <v>7885.5</v>
      </c>
      <c r="M4" s="231">
        <v>7847.5</v>
      </c>
      <c r="N4" s="228">
        <v>38</v>
      </c>
      <c r="O4" s="229">
        <v>4.7999999999999996E-3</v>
      </c>
      <c r="P4" s="231">
        <v>7931.5</v>
      </c>
      <c r="Q4" s="231">
        <v>7892</v>
      </c>
      <c r="R4" s="228">
        <v>39.5</v>
      </c>
      <c r="S4" s="229">
        <v>5.0000000000000001E-3</v>
      </c>
      <c r="T4" s="231">
        <v>7969</v>
      </c>
      <c r="U4" s="231">
        <v>7930</v>
      </c>
      <c r="V4" s="228">
        <v>39</v>
      </c>
      <c r="W4" s="229">
        <v>4.8999999999999998E-3</v>
      </c>
      <c r="X4" s="228">
        <v>2.5</v>
      </c>
      <c r="Y4" s="228">
        <v>24</v>
      </c>
      <c r="Z4" s="228">
        <v>-21.5</v>
      </c>
      <c r="AA4" s="229">
        <v>2.9999999999999997E-4</v>
      </c>
      <c r="AB4" s="228">
        <v>2.5</v>
      </c>
      <c r="AC4" s="228">
        <v>24</v>
      </c>
      <c r="AD4" s="228">
        <v>-21.5</v>
      </c>
      <c r="AE4" s="229">
        <v>2.9999999999999997E-4</v>
      </c>
      <c r="AF4" s="228">
        <v>48.5</v>
      </c>
      <c r="AG4" s="228">
        <v>68.5</v>
      </c>
      <c r="AH4" s="228">
        <v>-20</v>
      </c>
      <c r="AI4" s="229">
        <v>6.1999999999999998E-3</v>
      </c>
      <c r="AJ4" s="228">
        <v>86</v>
      </c>
      <c r="AK4" s="228">
        <v>106.5</v>
      </c>
      <c r="AL4" s="228">
        <v>-20.5</v>
      </c>
      <c r="AM4" s="229">
        <v>1.09E-2</v>
      </c>
      <c r="AN4" s="231">
        <v>7889.41</v>
      </c>
      <c r="AO4" s="231">
        <v>7936.83</v>
      </c>
      <c r="AP4" s="228">
        <v>0</v>
      </c>
      <c r="AQ4" s="230">
        <v>4553</v>
      </c>
      <c r="AR4" s="230">
        <v>2697</v>
      </c>
      <c r="AS4" s="230">
        <v>1856</v>
      </c>
      <c r="AT4" s="229">
        <v>0.68820000000000003</v>
      </c>
      <c r="AU4" s="230">
        <v>3860</v>
      </c>
      <c r="AV4" s="230">
        <v>2068</v>
      </c>
      <c r="AW4" s="230">
        <v>1792</v>
      </c>
      <c r="AX4" s="229">
        <v>0.86650000000000005</v>
      </c>
      <c r="AY4" s="228">
        <v>646</v>
      </c>
      <c r="AZ4" s="228">
        <v>585</v>
      </c>
      <c r="BA4" s="228">
        <v>61</v>
      </c>
      <c r="BB4" s="229">
        <v>0.1043</v>
      </c>
      <c r="BC4" s="228">
        <v>47</v>
      </c>
      <c r="BD4" s="228">
        <v>44</v>
      </c>
      <c r="BE4" s="228">
        <v>3</v>
      </c>
      <c r="BF4" s="229">
        <v>6.8199999999999997E-2</v>
      </c>
      <c r="BG4" s="230">
        <v>32875</v>
      </c>
      <c r="BH4" s="230">
        <v>15856</v>
      </c>
      <c r="BI4" s="230">
        <v>17019</v>
      </c>
      <c r="BJ4" s="229">
        <v>1.0732999999999999</v>
      </c>
      <c r="BK4" s="230">
        <v>20867</v>
      </c>
      <c r="BL4" s="230">
        <v>14754</v>
      </c>
      <c r="BM4" s="230">
        <v>6113</v>
      </c>
      <c r="BN4" s="229">
        <v>0.4143</v>
      </c>
      <c r="BO4" s="230">
        <v>58295</v>
      </c>
      <c r="BP4" s="230">
        <v>33307</v>
      </c>
      <c r="BQ4" s="230">
        <v>24988</v>
      </c>
      <c r="BR4" s="229">
        <v>0.75019999999999998</v>
      </c>
      <c r="BS4" s="230">
        <v>470677</v>
      </c>
      <c r="BT4" s="230">
        <v>407383</v>
      </c>
      <c r="BU4" s="230">
        <v>63294</v>
      </c>
      <c r="BV4" s="229">
        <v>0.15540000000000001</v>
      </c>
      <c r="BW4" s="230">
        <v>3423625</v>
      </c>
      <c r="BX4" s="230">
        <v>3537500</v>
      </c>
      <c r="BY4" s="230">
        <v>-113875</v>
      </c>
      <c r="BZ4" s="229">
        <v>-3.2199999999999999E-2</v>
      </c>
      <c r="CA4" s="230">
        <v>3119625</v>
      </c>
      <c r="CB4" s="230">
        <v>3251250</v>
      </c>
      <c r="CC4" s="230">
        <v>-131625</v>
      </c>
      <c r="CD4" s="229">
        <v>-4.0500000000000001E-2</v>
      </c>
      <c r="CE4" s="230">
        <v>278250</v>
      </c>
      <c r="CF4" s="230">
        <v>259125</v>
      </c>
      <c r="CG4" s="230">
        <v>19125</v>
      </c>
      <c r="CH4" s="229">
        <v>7.3800000000000004E-2</v>
      </c>
      <c r="CI4" s="230">
        <v>25750</v>
      </c>
      <c r="CJ4" s="230">
        <v>27125</v>
      </c>
      <c r="CK4" s="230">
        <v>-1375</v>
      </c>
      <c r="CL4" s="229">
        <v>-5.0700000000000002E-2</v>
      </c>
      <c r="CM4" s="230">
        <v>2044000</v>
      </c>
      <c r="CN4" s="230">
        <v>2025250</v>
      </c>
      <c r="CO4" s="230">
        <v>18750</v>
      </c>
      <c r="CP4" s="229">
        <v>9.2999999999999992E-3</v>
      </c>
      <c r="CQ4" s="230">
        <v>2415625</v>
      </c>
      <c r="CR4" s="230">
        <v>2281125</v>
      </c>
      <c r="CS4" s="230">
        <v>134500</v>
      </c>
      <c r="CT4" s="229">
        <v>5.8999999999999997E-2</v>
      </c>
      <c r="CU4" s="230">
        <v>7883250</v>
      </c>
      <c r="CV4" s="230">
        <v>7843875</v>
      </c>
      <c r="CW4" s="230">
        <v>39375</v>
      </c>
      <c r="CX4" s="229">
        <v>5.0000000000000001E-3</v>
      </c>
      <c r="CY4" s="228">
        <v>20.79</v>
      </c>
      <c r="CZ4" s="228">
        <v>21.67</v>
      </c>
      <c r="DA4" s="228">
        <v>-0.88</v>
      </c>
      <c r="DB4" s="228">
        <v>-0.88</v>
      </c>
      <c r="DC4" s="228">
        <v>28.05</v>
      </c>
      <c r="DD4" s="228">
        <v>28.1</v>
      </c>
      <c r="DE4" s="228">
        <v>-7.26</v>
      </c>
      <c r="DF4" s="228">
        <v>-0.05</v>
      </c>
      <c r="DG4" s="228">
        <v>19.649999999999999</v>
      </c>
      <c r="DH4" s="228">
        <v>19.97</v>
      </c>
      <c r="DI4" s="228">
        <v>-0.32</v>
      </c>
      <c r="DJ4" s="228">
        <v>-0.32</v>
      </c>
      <c r="DK4" s="228">
        <v>22.58</v>
      </c>
      <c r="DL4" s="228">
        <v>23.5</v>
      </c>
      <c r="DM4" s="228">
        <v>-0.92</v>
      </c>
      <c r="DN4" s="228">
        <v>-0.92</v>
      </c>
      <c r="DO4" s="228">
        <v>1.18</v>
      </c>
      <c r="DP4" s="228">
        <v>1.1299999999999999</v>
      </c>
      <c r="DQ4" s="228">
        <v>0.05</v>
      </c>
      <c r="DR4" s="229">
        <v>4.4200000000000003E-2</v>
      </c>
      <c r="DS4" s="231">
        <v>7900</v>
      </c>
      <c r="DT4" s="231">
        <v>7600</v>
      </c>
      <c r="DU4" s="228">
        <v>0.63</v>
      </c>
      <c r="DV4" s="228">
        <v>0.93</v>
      </c>
      <c r="DW4" s="228">
        <v>-0.3</v>
      </c>
      <c r="DX4" s="229">
        <v>-0.3226</v>
      </c>
      <c r="DY4" s="229">
        <v>8.8800000000000004E-2</v>
      </c>
      <c r="DZ4" s="230">
        <v>286250</v>
      </c>
      <c r="EA4" s="229">
        <v>5.7999999999999996E-3</v>
      </c>
      <c r="EB4" s="229">
        <v>8.8800000000000004E-2</v>
      </c>
      <c r="EC4" s="228">
        <v>47.42</v>
      </c>
      <c r="ED4" s="229">
        <v>6.0000000000000001E-3</v>
      </c>
      <c r="EE4" s="230">
        <v>317292</v>
      </c>
      <c r="EF4" s="230">
        <v>296233</v>
      </c>
      <c r="EG4" s="229">
        <v>7.1099999999999997E-2</v>
      </c>
      <c r="EH4" s="229">
        <v>0.67410000000000003</v>
      </c>
      <c r="EI4" s="231">
        <v>331263.32</v>
      </c>
      <c r="EJ4" s="231">
        <v>201738.4</v>
      </c>
      <c r="EK4" s="231">
        <v>44944.23</v>
      </c>
      <c r="EL4" s="228">
        <v>0</v>
      </c>
      <c r="EM4" s="231">
        <v>577945.94999999995</v>
      </c>
      <c r="EN4" s="231">
        <v>327262.8</v>
      </c>
      <c r="EO4" s="231">
        <v>250683.15</v>
      </c>
      <c r="EP4" s="229">
        <v>0.76600000000000001</v>
      </c>
      <c r="EQ4" s="231">
        <v>162546</v>
      </c>
      <c r="ER4" s="231">
        <v>180341</v>
      </c>
      <c r="ES4" s="231">
        <v>270119</v>
      </c>
      <c r="ET4" s="231">
        <v>20320057</v>
      </c>
      <c r="EU4" s="231">
        <v>613007</v>
      </c>
      <c r="EV4" s="231">
        <v>608101</v>
      </c>
      <c r="EW4" s="231">
        <v>4906</v>
      </c>
      <c r="EX4" s="229">
        <v>8.0999999999999996E-3</v>
      </c>
      <c r="EY4" s="229">
        <v>0.38800000000000001</v>
      </c>
    </row>
    <row r="5" spans="1:155" ht="17.25" thickBot="1" x14ac:dyDescent="0.3">
      <c r="A5" s="226">
        <v>45889</v>
      </c>
      <c r="B5" s="227" t="s">
        <v>168</v>
      </c>
      <c r="C5" s="227" t="s">
        <v>169</v>
      </c>
      <c r="D5" s="231">
        <v>2569.6</v>
      </c>
      <c r="E5" s="231">
        <v>2579.8000000000002</v>
      </c>
      <c r="F5" s="228">
        <v>-10.199999999999999</v>
      </c>
      <c r="G5" s="229">
        <v>-4.0000000000000001E-3</v>
      </c>
      <c r="H5" s="231">
        <v>2570.1</v>
      </c>
      <c r="I5" s="231">
        <v>2579.4</v>
      </c>
      <c r="J5" s="228">
        <v>-9.3000000000000007</v>
      </c>
      <c r="K5" s="229">
        <v>-3.5999999999999999E-3</v>
      </c>
      <c r="L5" s="231">
        <v>2569.6</v>
      </c>
      <c r="M5" s="231">
        <v>2579.8000000000002</v>
      </c>
      <c r="N5" s="228">
        <v>-10.199999999999999</v>
      </c>
      <c r="O5" s="229">
        <v>-4.0000000000000001E-3</v>
      </c>
      <c r="P5" s="231">
        <v>2582.8000000000002</v>
      </c>
      <c r="Q5" s="231">
        <v>2593.4</v>
      </c>
      <c r="R5" s="228">
        <v>-10.6</v>
      </c>
      <c r="S5" s="229">
        <v>-4.1000000000000003E-3</v>
      </c>
      <c r="T5" s="231">
        <v>2596.8000000000002</v>
      </c>
      <c r="U5" s="231">
        <v>2608.4</v>
      </c>
      <c r="V5" s="228">
        <v>-11.6</v>
      </c>
      <c r="W5" s="229">
        <v>-4.4000000000000003E-3</v>
      </c>
      <c r="X5" s="228">
        <v>-0.5</v>
      </c>
      <c r="Y5" s="228">
        <v>0.4</v>
      </c>
      <c r="Z5" s="228">
        <v>-0.9</v>
      </c>
      <c r="AA5" s="229">
        <v>-2.0000000000000001E-4</v>
      </c>
      <c r="AB5" s="228">
        <v>-0.5</v>
      </c>
      <c r="AC5" s="228">
        <v>0.4</v>
      </c>
      <c r="AD5" s="228">
        <v>-0.9</v>
      </c>
      <c r="AE5" s="229">
        <v>-2.0000000000000001E-4</v>
      </c>
      <c r="AF5" s="228">
        <v>12.7</v>
      </c>
      <c r="AG5" s="228">
        <v>14</v>
      </c>
      <c r="AH5" s="228">
        <v>-1.3</v>
      </c>
      <c r="AI5" s="229">
        <v>4.8999999999999998E-3</v>
      </c>
      <c r="AJ5" s="228">
        <v>26.7</v>
      </c>
      <c r="AK5" s="228">
        <v>29</v>
      </c>
      <c r="AL5" s="228">
        <v>-2.2999999999999998</v>
      </c>
      <c r="AM5" s="229">
        <v>1.04E-2</v>
      </c>
      <c r="AN5" s="231">
        <v>2570.41</v>
      </c>
      <c r="AO5" s="231">
        <v>2584.0100000000002</v>
      </c>
      <c r="AP5" s="228">
        <v>0</v>
      </c>
      <c r="AQ5" s="230">
        <v>5519</v>
      </c>
      <c r="AR5" s="230">
        <v>7467</v>
      </c>
      <c r="AS5" s="230">
        <v>-1948</v>
      </c>
      <c r="AT5" s="229">
        <v>-0.26090000000000002</v>
      </c>
      <c r="AU5" s="230">
        <v>4630</v>
      </c>
      <c r="AV5" s="230">
        <v>6287</v>
      </c>
      <c r="AW5" s="230">
        <v>-1657</v>
      </c>
      <c r="AX5" s="229">
        <v>-0.2636</v>
      </c>
      <c r="AY5" s="228">
        <v>860</v>
      </c>
      <c r="AZ5" s="230">
        <v>1102</v>
      </c>
      <c r="BA5" s="228">
        <v>-242</v>
      </c>
      <c r="BB5" s="229">
        <v>-0.21959999999999999</v>
      </c>
      <c r="BC5" s="228">
        <v>29</v>
      </c>
      <c r="BD5" s="228">
        <v>78</v>
      </c>
      <c r="BE5" s="228">
        <v>-49</v>
      </c>
      <c r="BF5" s="229">
        <v>-0.62819999999999998</v>
      </c>
      <c r="BG5" s="230">
        <v>15377</v>
      </c>
      <c r="BH5" s="230">
        <v>30335</v>
      </c>
      <c r="BI5" s="230">
        <v>-14958</v>
      </c>
      <c r="BJ5" s="229">
        <v>-0.49309999999999998</v>
      </c>
      <c r="BK5" s="230">
        <v>9165</v>
      </c>
      <c r="BL5" s="230">
        <v>15760</v>
      </c>
      <c r="BM5" s="230">
        <v>-6595</v>
      </c>
      <c r="BN5" s="229">
        <v>-0.41849999999999998</v>
      </c>
      <c r="BO5" s="230">
        <v>30061</v>
      </c>
      <c r="BP5" s="230">
        <v>53562</v>
      </c>
      <c r="BQ5" s="230">
        <v>-23501</v>
      </c>
      <c r="BR5" s="229">
        <v>-0.43880000000000002</v>
      </c>
      <c r="BS5" s="230">
        <v>357165</v>
      </c>
      <c r="BT5" s="230">
        <v>722677</v>
      </c>
      <c r="BU5" s="230">
        <v>-365512</v>
      </c>
      <c r="BV5" s="229">
        <v>-0.50580000000000003</v>
      </c>
      <c r="BW5" s="230">
        <v>14227750</v>
      </c>
      <c r="BX5" s="230">
        <v>13866750</v>
      </c>
      <c r="BY5" s="230">
        <v>361000</v>
      </c>
      <c r="BZ5" s="229">
        <v>2.5999999999999999E-2</v>
      </c>
      <c r="CA5" s="230">
        <v>13286250</v>
      </c>
      <c r="CB5" s="230">
        <v>13067250</v>
      </c>
      <c r="CC5" s="230">
        <v>219000</v>
      </c>
      <c r="CD5" s="229">
        <v>1.6799999999999999E-2</v>
      </c>
      <c r="CE5" s="230">
        <v>892250</v>
      </c>
      <c r="CF5" s="230">
        <v>753500</v>
      </c>
      <c r="CG5" s="230">
        <v>138750</v>
      </c>
      <c r="CH5" s="229">
        <v>0.18410000000000001</v>
      </c>
      <c r="CI5" s="230">
        <v>49250</v>
      </c>
      <c r="CJ5" s="230">
        <v>46000</v>
      </c>
      <c r="CK5" s="230">
        <v>3250</v>
      </c>
      <c r="CL5" s="229">
        <v>7.0699999999999999E-2</v>
      </c>
      <c r="CM5" s="230">
        <v>6602500</v>
      </c>
      <c r="CN5" s="230">
        <v>6741500</v>
      </c>
      <c r="CO5" s="230">
        <v>-139000</v>
      </c>
      <c r="CP5" s="229">
        <v>-2.06E-2</v>
      </c>
      <c r="CQ5" s="230">
        <v>4156500</v>
      </c>
      <c r="CR5" s="230">
        <v>4085250</v>
      </c>
      <c r="CS5" s="230">
        <v>71250</v>
      </c>
      <c r="CT5" s="229">
        <v>1.7399999999999999E-2</v>
      </c>
      <c r="CU5" s="230">
        <v>24986750</v>
      </c>
      <c r="CV5" s="230">
        <v>24693500</v>
      </c>
      <c r="CW5" s="230">
        <v>293250</v>
      </c>
      <c r="CX5" s="229">
        <v>1.1900000000000001E-2</v>
      </c>
      <c r="CY5" s="228">
        <v>18.87</v>
      </c>
      <c r="CZ5" s="228">
        <v>18.63</v>
      </c>
      <c r="DA5" s="228">
        <v>0.24</v>
      </c>
      <c r="DB5" s="228">
        <v>0.24</v>
      </c>
      <c r="DC5" s="228">
        <v>24.11</v>
      </c>
      <c r="DD5" s="228">
        <v>24.16</v>
      </c>
      <c r="DE5" s="228">
        <v>-5.24</v>
      </c>
      <c r="DF5" s="228">
        <v>-0.05</v>
      </c>
      <c r="DG5" s="228">
        <v>18.78</v>
      </c>
      <c r="DH5" s="228">
        <v>18.48</v>
      </c>
      <c r="DI5" s="228">
        <v>0.3</v>
      </c>
      <c r="DJ5" s="228">
        <v>0.3</v>
      </c>
      <c r="DK5" s="228">
        <v>19.03</v>
      </c>
      <c r="DL5" s="228">
        <v>18.899999999999999</v>
      </c>
      <c r="DM5" s="228">
        <v>0.13</v>
      </c>
      <c r="DN5" s="228">
        <v>0.13</v>
      </c>
      <c r="DO5" s="228">
        <v>0.63</v>
      </c>
      <c r="DP5" s="228">
        <v>0.61</v>
      </c>
      <c r="DQ5" s="228">
        <v>0.02</v>
      </c>
      <c r="DR5" s="229">
        <v>3.2800000000000003E-2</v>
      </c>
      <c r="DS5" s="231">
        <v>2540</v>
      </c>
      <c r="DT5" s="231">
        <v>2400</v>
      </c>
      <c r="DU5" s="228">
        <v>0.6</v>
      </c>
      <c r="DV5" s="228">
        <v>0.52</v>
      </c>
      <c r="DW5" s="228">
        <v>0.08</v>
      </c>
      <c r="DX5" s="229">
        <v>0.15379999999999999</v>
      </c>
      <c r="DY5" s="229">
        <v>6.6199999999999995E-2</v>
      </c>
      <c r="DZ5" s="230">
        <v>799500</v>
      </c>
      <c r="EA5" s="229">
        <v>5.1000000000000004E-3</v>
      </c>
      <c r="EB5" s="229">
        <v>6.6199999999999995E-2</v>
      </c>
      <c r="EC5" s="228">
        <v>13.6</v>
      </c>
      <c r="ED5" s="229">
        <v>5.3E-3</v>
      </c>
      <c r="EE5" s="230">
        <v>227336</v>
      </c>
      <c r="EF5" s="230">
        <v>362782</v>
      </c>
      <c r="EG5" s="229">
        <v>-0.37340000000000001</v>
      </c>
      <c r="EH5" s="229">
        <v>0.63649999999999995</v>
      </c>
      <c r="EI5" s="231">
        <v>101685.78</v>
      </c>
      <c r="EJ5" s="231">
        <v>57711.91</v>
      </c>
      <c r="EK5" s="231">
        <v>35496.51</v>
      </c>
      <c r="EL5" s="228">
        <v>0</v>
      </c>
      <c r="EM5" s="231">
        <v>194894.2</v>
      </c>
      <c r="EN5" s="231">
        <v>349073.34</v>
      </c>
      <c r="EO5" s="231">
        <v>-154179.14000000001</v>
      </c>
      <c r="EP5" s="229">
        <v>-0.44169999999999998</v>
      </c>
      <c r="EQ5" s="231">
        <v>169935</v>
      </c>
      <c r="ER5" s="231">
        <v>101271</v>
      </c>
      <c r="ES5" s="231">
        <v>365727</v>
      </c>
      <c r="ET5" s="231">
        <v>90755647</v>
      </c>
      <c r="EU5" s="231">
        <v>636934</v>
      </c>
      <c r="EV5" s="231">
        <v>631074</v>
      </c>
      <c r="EW5" s="231">
        <v>5860</v>
      </c>
      <c r="EX5" s="229">
        <v>9.2999999999999992E-3</v>
      </c>
      <c r="EY5" s="229">
        <v>0.27529999999999999</v>
      </c>
    </row>
    <row r="6" spans="1:155" ht="17.25" thickBot="1" x14ac:dyDescent="0.3">
      <c r="A6" s="226">
        <v>45889</v>
      </c>
      <c r="B6" s="227" t="s">
        <v>172</v>
      </c>
      <c r="C6" s="227" t="s">
        <v>173</v>
      </c>
      <c r="D6" s="231">
        <v>1082.0999999999999</v>
      </c>
      <c r="E6" s="231">
        <v>1086.8</v>
      </c>
      <c r="F6" s="228">
        <v>-4.7</v>
      </c>
      <c r="G6" s="229">
        <v>-4.3E-3</v>
      </c>
      <c r="H6" s="231">
        <v>1080.2</v>
      </c>
      <c r="I6" s="231">
        <v>1083.2</v>
      </c>
      <c r="J6" s="228">
        <v>-3</v>
      </c>
      <c r="K6" s="229">
        <v>-2.8E-3</v>
      </c>
      <c r="L6" s="231">
        <v>1082.0999999999999</v>
      </c>
      <c r="M6" s="231">
        <v>1086.8</v>
      </c>
      <c r="N6" s="228">
        <v>-4.7</v>
      </c>
      <c r="O6" s="229">
        <v>-4.3E-3</v>
      </c>
      <c r="P6" s="231">
        <v>1088.3</v>
      </c>
      <c r="Q6" s="231">
        <v>1092.8</v>
      </c>
      <c r="R6" s="228">
        <v>-4.5</v>
      </c>
      <c r="S6" s="229">
        <v>-4.1000000000000003E-3</v>
      </c>
      <c r="T6" s="231">
        <v>1094.0999999999999</v>
      </c>
      <c r="U6" s="231">
        <v>1098.4000000000001</v>
      </c>
      <c r="V6" s="228">
        <v>-4.3</v>
      </c>
      <c r="W6" s="229">
        <v>-3.8999999999999998E-3</v>
      </c>
      <c r="X6" s="228">
        <v>1.9</v>
      </c>
      <c r="Y6" s="228">
        <v>3.6</v>
      </c>
      <c r="Z6" s="228">
        <v>-1.7</v>
      </c>
      <c r="AA6" s="229">
        <v>1.8E-3</v>
      </c>
      <c r="AB6" s="228">
        <v>1.9</v>
      </c>
      <c r="AC6" s="228">
        <v>3.6</v>
      </c>
      <c r="AD6" s="228">
        <v>-1.7</v>
      </c>
      <c r="AE6" s="229">
        <v>1.8E-3</v>
      </c>
      <c r="AF6" s="228">
        <v>8.1</v>
      </c>
      <c r="AG6" s="228">
        <v>9.6</v>
      </c>
      <c r="AH6" s="228">
        <v>-1.5</v>
      </c>
      <c r="AI6" s="229">
        <v>7.4999999999999997E-3</v>
      </c>
      <c r="AJ6" s="228">
        <v>13.9</v>
      </c>
      <c r="AK6" s="228">
        <v>15.2</v>
      </c>
      <c r="AL6" s="228">
        <v>-1.3</v>
      </c>
      <c r="AM6" s="229">
        <v>1.29E-2</v>
      </c>
      <c r="AN6" s="231">
        <v>1082.8900000000001</v>
      </c>
      <c r="AO6" s="231">
        <v>1089.29</v>
      </c>
      <c r="AP6" s="228">
        <v>0</v>
      </c>
      <c r="AQ6" s="230">
        <v>13050</v>
      </c>
      <c r="AR6" s="230">
        <v>12585</v>
      </c>
      <c r="AS6" s="228">
        <v>465</v>
      </c>
      <c r="AT6" s="229">
        <v>3.6900000000000002E-2</v>
      </c>
      <c r="AU6" s="230">
        <v>8884</v>
      </c>
      <c r="AV6" s="230">
        <v>9963</v>
      </c>
      <c r="AW6" s="230">
        <v>-1079</v>
      </c>
      <c r="AX6" s="229">
        <v>-0.10829999999999999</v>
      </c>
      <c r="AY6" s="230">
        <v>3089</v>
      </c>
      <c r="AZ6" s="230">
        <v>1994</v>
      </c>
      <c r="BA6" s="230">
        <v>1095</v>
      </c>
      <c r="BB6" s="229">
        <v>0.54910000000000003</v>
      </c>
      <c r="BC6" s="230">
        <v>1077</v>
      </c>
      <c r="BD6" s="228">
        <v>628</v>
      </c>
      <c r="BE6" s="228">
        <v>449</v>
      </c>
      <c r="BF6" s="229">
        <v>0.71499999999999997</v>
      </c>
      <c r="BG6" s="230">
        <v>23777</v>
      </c>
      <c r="BH6" s="230">
        <v>37251</v>
      </c>
      <c r="BI6" s="230">
        <v>-13474</v>
      </c>
      <c r="BJ6" s="229">
        <v>-0.36170000000000002</v>
      </c>
      <c r="BK6" s="230">
        <v>12730</v>
      </c>
      <c r="BL6" s="230">
        <v>19838</v>
      </c>
      <c r="BM6" s="230">
        <v>-7108</v>
      </c>
      <c r="BN6" s="229">
        <v>-0.35830000000000001</v>
      </c>
      <c r="BO6" s="230">
        <v>49557</v>
      </c>
      <c r="BP6" s="230">
        <v>69674</v>
      </c>
      <c r="BQ6" s="230">
        <v>-20117</v>
      </c>
      <c r="BR6" s="229">
        <v>-0.28870000000000001</v>
      </c>
      <c r="BS6" s="230">
        <v>3074305</v>
      </c>
      <c r="BT6" s="230">
        <v>5935351</v>
      </c>
      <c r="BU6" s="230">
        <v>-2861046</v>
      </c>
      <c r="BV6" s="229">
        <v>-0.48199999999999998</v>
      </c>
      <c r="BW6" s="230">
        <v>104709375</v>
      </c>
      <c r="BX6" s="230">
        <v>104156875</v>
      </c>
      <c r="BY6" s="230">
        <v>552500</v>
      </c>
      <c r="BZ6" s="229">
        <v>5.3E-3</v>
      </c>
      <c r="CA6" s="230">
        <v>95144375</v>
      </c>
      <c r="CB6" s="230">
        <v>96861875</v>
      </c>
      <c r="CC6" s="230">
        <v>-1717500</v>
      </c>
      <c r="CD6" s="229">
        <v>-1.77E-2</v>
      </c>
      <c r="CE6" s="230">
        <v>5656250</v>
      </c>
      <c r="CF6" s="230">
        <v>4034375</v>
      </c>
      <c r="CG6" s="230">
        <v>1621875</v>
      </c>
      <c r="CH6" s="229">
        <v>0.40200000000000002</v>
      </c>
      <c r="CI6" s="230">
        <v>3908750</v>
      </c>
      <c r="CJ6" s="230">
        <v>3260625</v>
      </c>
      <c r="CK6" s="230">
        <v>648125</v>
      </c>
      <c r="CL6" s="229">
        <v>0.1988</v>
      </c>
      <c r="CM6" s="230">
        <v>21047500</v>
      </c>
      <c r="CN6" s="230">
        <v>20078125</v>
      </c>
      <c r="CO6" s="230">
        <v>969375</v>
      </c>
      <c r="CP6" s="229">
        <v>4.8300000000000003E-2</v>
      </c>
      <c r="CQ6" s="230">
        <v>11648125</v>
      </c>
      <c r="CR6" s="230">
        <v>11292500</v>
      </c>
      <c r="CS6" s="230">
        <v>355625</v>
      </c>
      <c r="CT6" s="229">
        <v>3.15E-2</v>
      </c>
      <c r="CU6" s="230">
        <v>137405000</v>
      </c>
      <c r="CV6" s="230">
        <v>135527500</v>
      </c>
      <c r="CW6" s="230">
        <v>1877500</v>
      </c>
      <c r="CX6" s="229">
        <v>1.3899999999999999E-2</v>
      </c>
      <c r="CY6" s="228">
        <v>19.52</v>
      </c>
      <c r="CZ6" s="228">
        <v>18.78</v>
      </c>
      <c r="DA6" s="228">
        <v>0.74</v>
      </c>
      <c r="DB6" s="228">
        <v>0.74</v>
      </c>
      <c r="DC6" s="228">
        <v>27.53</v>
      </c>
      <c r="DD6" s="228">
        <v>27.59</v>
      </c>
      <c r="DE6" s="228">
        <v>-8.01</v>
      </c>
      <c r="DF6" s="228">
        <v>-0.06</v>
      </c>
      <c r="DG6" s="228">
        <v>19.84</v>
      </c>
      <c r="DH6" s="228">
        <v>18.71</v>
      </c>
      <c r="DI6" s="228">
        <v>1.1299999999999999</v>
      </c>
      <c r="DJ6" s="228">
        <v>1.1299999999999999</v>
      </c>
      <c r="DK6" s="228">
        <v>18.920000000000002</v>
      </c>
      <c r="DL6" s="228">
        <v>18.920000000000002</v>
      </c>
      <c r="DM6" s="228">
        <v>0</v>
      </c>
      <c r="DN6" s="228">
        <v>0</v>
      </c>
      <c r="DO6" s="228">
        <v>0.55000000000000004</v>
      </c>
      <c r="DP6" s="228">
        <v>0.56000000000000005</v>
      </c>
      <c r="DQ6" s="228">
        <v>-0.01</v>
      </c>
      <c r="DR6" s="229">
        <v>-1.7899999999999999E-2</v>
      </c>
      <c r="DS6" s="231">
        <v>1100</v>
      </c>
      <c r="DT6" s="231">
        <v>1060</v>
      </c>
      <c r="DU6" s="228">
        <v>0.54</v>
      </c>
      <c r="DV6" s="228">
        <v>0.53</v>
      </c>
      <c r="DW6" s="228">
        <v>0.01</v>
      </c>
      <c r="DX6" s="229">
        <v>1.89E-2</v>
      </c>
      <c r="DY6" s="229">
        <v>9.1300000000000006E-2</v>
      </c>
      <c r="DZ6" s="230">
        <v>7295000</v>
      </c>
      <c r="EA6" s="229">
        <v>5.7000000000000002E-3</v>
      </c>
      <c r="EB6" s="229">
        <v>9.1300000000000006E-2</v>
      </c>
      <c r="EC6" s="228">
        <v>6.4</v>
      </c>
      <c r="ED6" s="229">
        <v>5.8999999999999999E-3</v>
      </c>
      <c r="EE6" s="230">
        <v>2123656</v>
      </c>
      <c r="EF6" s="230">
        <v>3845138</v>
      </c>
      <c r="EG6" s="229">
        <v>-0.44769999999999999</v>
      </c>
      <c r="EH6" s="229">
        <v>0.69079999999999997</v>
      </c>
      <c r="EI6" s="231">
        <v>165968.51999999999</v>
      </c>
      <c r="EJ6" s="231">
        <v>85757.23</v>
      </c>
      <c r="EK6" s="231">
        <v>88530.72</v>
      </c>
      <c r="EL6" s="228">
        <v>0</v>
      </c>
      <c r="EM6" s="231">
        <v>340256.47</v>
      </c>
      <c r="EN6" s="231">
        <v>479198.64</v>
      </c>
      <c r="EO6" s="231">
        <v>-138942.17000000001</v>
      </c>
      <c r="EP6" s="229">
        <v>-0.28989999999999999</v>
      </c>
      <c r="EQ6" s="231">
        <v>239850</v>
      </c>
      <c r="ER6" s="231">
        <v>122813</v>
      </c>
      <c r="ES6" s="231">
        <v>1133880</v>
      </c>
      <c r="ET6" s="231">
        <v>550740541</v>
      </c>
      <c r="EU6" s="231">
        <v>1496543</v>
      </c>
      <c r="EV6" s="231">
        <v>1480883</v>
      </c>
      <c r="EW6" s="231">
        <v>15660</v>
      </c>
      <c r="EX6" s="229">
        <v>1.06E-2</v>
      </c>
      <c r="EY6" s="229">
        <v>0.2495</v>
      </c>
    </row>
    <row r="7" spans="1:155" ht="17.25" thickBot="1" x14ac:dyDescent="0.3">
      <c r="A7" s="226">
        <v>45889</v>
      </c>
      <c r="B7" s="227" t="s">
        <v>162</v>
      </c>
      <c r="C7" s="227" t="s">
        <v>174</v>
      </c>
      <c r="D7" s="231">
        <v>8826.5</v>
      </c>
      <c r="E7" s="231">
        <v>8800.5</v>
      </c>
      <c r="F7" s="228">
        <v>26</v>
      </c>
      <c r="G7" s="229">
        <v>3.0000000000000001E-3</v>
      </c>
      <c r="H7" s="231">
        <v>8827.5</v>
      </c>
      <c r="I7" s="231">
        <v>8795.5</v>
      </c>
      <c r="J7" s="228">
        <v>32</v>
      </c>
      <c r="K7" s="229">
        <v>3.5999999999999999E-3</v>
      </c>
      <c r="L7" s="231">
        <v>8826.5</v>
      </c>
      <c r="M7" s="231">
        <v>8800.5</v>
      </c>
      <c r="N7" s="228">
        <v>26</v>
      </c>
      <c r="O7" s="229">
        <v>3.0000000000000001E-3</v>
      </c>
      <c r="P7" s="231">
        <v>8872</v>
      </c>
      <c r="Q7" s="231">
        <v>8846</v>
      </c>
      <c r="R7" s="228">
        <v>26</v>
      </c>
      <c r="S7" s="229">
        <v>2.8999999999999998E-3</v>
      </c>
      <c r="T7" s="231">
        <v>8913</v>
      </c>
      <c r="U7" s="231">
        <v>8892.5</v>
      </c>
      <c r="V7" s="228">
        <v>20.5</v>
      </c>
      <c r="W7" s="229">
        <v>2.3E-3</v>
      </c>
      <c r="X7" s="228">
        <v>-1</v>
      </c>
      <c r="Y7" s="228">
        <v>5</v>
      </c>
      <c r="Z7" s="228">
        <v>-6</v>
      </c>
      <c r="AA7" s="229">
        <v>-1E-4</v>
      </c>
      <c r="AB7" s="228">
        <v>-1</v>
      </c>
      <c r="AC7" s="228">
        <v>5</v>
      </c>
      <c r="AD7" s="228">
        <v>-6</v>
      </c>
      <c r="AE7" s="229">
        <v>-1E-4</v>
      </c>
      <c r="AF7" s="228">
        <v>44.5</v>
      </c>
      <c r="AG7" s="228">
        <v>50.5</v>
      </c>
      <c r="AH7" s="228">
        <v>-6</v>
      </c>
      <c r="AI7" s="229">
        <v>5.0000000000000001E-3</v>
      </c>
      <c r="AJ7" s="228">
        <v>85.5</v>
      </c>
      <c r="AK7" s="228">
        <v>97</v>
      </c>
      <c r="AL7" s="228">
        <v>-11.5</v>
      </c>
      <c r="AM7" s="229">
        <v>9.7000000000000003E-3</v>
      </c>
      <c r="AN7" s="231">
        <v>8826</v>
      </c>
      <c r="AO7" s="231">
        <v>8873.66</v>
      </c>
      <c r="AP7" s="228">
        <v>0</v>
      </c>
      <c r="AQ7" s="230">
        <v>8559</v>
      </c>
      <c r="AR7" s="230">
        <v>19896</v>
      </c>
      <c r="AS7" s="230">
        <v>-11337</v>
      </c>
      <c r="AT7" s="229">
        <v>-0.56979999999999997</v>
      </c>
      <c r="AU7" s="230">
        <v>6890</v>
      </c>
      <c r="AV7" s="230">
        <v>17160</v>
      </c>
      <c r="AW7" s="230">
        <v>-10270</v>
      </c>
      <c r="AX7" s="229">
        <v>-0.59850000000000003</v>
      </c>
      <c r="AY7" s="230">
        <v>1569</v>
      </c>
      <c r="AZ7" s="230">
        <v>2583</v>
      </c>
      <c r="BA7" s="230">
        <v>-1014</v>
      </c>
      <c r="BB7" s="229">
        <v>-0.3926</v>
      </c>
      <c r="BC7" s="228">
        <v>100</v>
      </c>
      <c r="BD7" s="228">
        <v>153</v>
      </c>
      <c r="BE7" s="228">
        <v>-53</v>
      </c>
      <c r="BF7" s="229">
        <v>-0.34639999999999999</v>
      </c>
      <c r="BG7" s="230">
        <v>58006</v>
      </c>
      <c r="BH7" s="230">
        <v>238612</v>
      </c>
      <c r="BI7" s="230">
        <v>-180606</v>
      </c>
      <c r="BJ7" s="229">
        <v>-0.75690000000000002</v>
      </c>
      <c r="BK7" s="230">
        <v>30059</v>
      </c>
      <c r="BL7" s="230">
        <v>97254</v>
      </c>
      <c r="BM7" s="230">
        <v>-67195</v>
      </c>
      <c r="BN7" s="229">
        <v>-0.69089999999999996</v>
      </c>
      <c r="BO7" s="230">
        <v>96624</v>
      </c>
      <c r="BP7" s="230">
        <v>355762</v>
      </c>
      <c r="BQ7" s="230">
        <v>-259138</v>
      </c>
      <c r="BR7" s="229">
        <v>-0.72840000000000005</v>
      </c>
      <c r="BS7" s="230">
        <v>501159</v>
      </c>
      <c r="BT7" s="230">
        <v>1079516</v>
      </c>
      <c r="BU7" s="230">
        <v>-578357</v>
      </c>
      <c r="BV7" s="229">
        <v>-0.53580000000000005</v>
      </c>
      <c r="BW7" s="230">
        <v>2877825</v>
      </c>
      <c r="BX7" s="230">
        <v>2877225</v>
      </c>
      <c r="BY7" s="228">
        <v>600</v>
      </c>
      <c r="BZ7" s="229">
        <v>2.0000000000000001E-4</v>
      </c>
      <c r="CA7" s="230">
        <v>2699850</v>
      </c>
      <c r="CB7" s="230">
        <v>2748900</v>
      </c>
      <c r="CC7" s="230">
        <v>-49050</v>
      </c>
      <c r="CD7" s="229">
        <v>-1.78E-2</v>
      </c>
      <c r="CE7" s="230">
        <v>167100</v>
      </c>
      <c r="CF7" s="230">
        <v>119025</v>
      </c>
      <c r="CG7" s="230">
        <v>48075</v>
      </c>
      <c r="CH7" s="229">
        <v>0.40389999999999998</v>
      </c>
      <c r="CI7" s="230">
        <v>10875</v>
      </c>
      <c r="CJ7" s="230">
        <v>9300</v>
      </c>
      <c r="CK7" s="230">
        <v>1575</v>
      </c>
      <c r="CL7" s="229">
        <v>0.1694</v>
      </c>
      <c r="CM7" s="230">
        <v>1481475</v>
      </c>
      <c r="CN7" s="230">
        <v>1558200</v>
      </c>
      <c r="CO7" s="230">
        <v>-76725</v>
      </c>
      <c r="CP7" s="229">
        <v>-4.9200000000000001E-2</v>
      </c>
      <c r="CQ7" s="230">
        <v>1233975</v>
      </c>
      <c r="CR7" s="230">
        <v>1203075</v>
      </c>
      <c r="CS7" s="230">
        <v>30900</v>
      </c>
      <c r="CT7" s="229">
        <v>2.5700000000000001E-2</v>
      </c>
      <c r="CU7" s="230">
        <v>5593275</v>
      </c>
      <c r="CV7" s="230">
        <v>5638500</v>
      </c>
      <c r="CW7" s="230">
        <v>-45225</v>
      </c>
      <c r="CX7" s="229">
        <v>-8.0000000000000002E-3</v>
      </c>
      <c r="CY7" s="228">
        <v>25.01</v>
      </c>
      <c r="CZ7" s="228">
        <v>25.35</v>
      </c>
      <c r="DA7" s="228">
        <v>-0.34</v>
      </c>
      <c r="DB7" s="228">
        <v>-0.34</v>
      </c>
      <c r="DC7" s="228">
        <v>31.72</v>
      </c>
      <c r="DD7" s="228">
        <v>31.8</v>
      </c>
      <c r="DE7" s="228">
        <v>-6.71</v>
      </c>
      <c r="DF7" s="228">
        <v>-0.08</v>
      </c>
      <c r="DG7" s="228">
        <v>24.61</v>
      </c>
      <c r="DH7" s="228">
        <v>25.08</v>
      </c>
      <c r="DI7" s="228">
        <v>-0.47</v>
      </c>
      <c r="DJ7" s="228">
        <v>-0.47</v>
      </c>
      <c r="DK7" s="228">
        <v>25.77</v>
      </c>
      <c r="DL7" s="228">
        <v>26</v>
      </c>
      <c r="DM7" s="228">
        <v>-0.23</v>
      </c>
      <c r="DN7" s="228">
        <v>-0.23</v>
      </c>
      <c r="DO7" s="228">
        <v>0.83</v>
      </c>
      <c r="DP7" s="228">
        <v>0.77</v>
      </c>
      <c r="DQ7" s="228">
        <v>0.06</v>
      </c>
      <c r="DR7" s="229">
        <v>7.7899999999999997E-2</v>
      </c>
      <c r="DS7" s="231">
        <v>9000</v>
      </c>
      <c r="DT7" s="231">
        <v>8500</v>
      </c>
      <c r="DU7" s="228">
        <v>0.52</v>
      </c>
      <c r="DV7" s="228">
        <v>0.41</v>
      </c>
      <c r="DW7" s="228">
        <v>0.11</v>
      </c>
      <c r="DX7" s="229">
        <v>0.26829999999999998</v>
      </c>
      <c r="DY7" s="229">
        <v>6.1800000000000001E-2</v>
      </c>
      <c r="DZ7" s="230">
        <v>128325</v>
      </c>
      <c r="EA7" s="229">
        <v>5.1999999999999998E-3</v>
      </c>
      <c r="EB7" s="229">
        <v>6.1800000000000001E-2</v>
      </c>
      <c r="EC7" s="228">
        <v>47.66</v>
      </c>
      <c r="ED7" s="229">
        <v>5.4000000000000003E-3</v>
      </c>
      <c r="EE7" s="230">
        <v>240505</v>
      </c>
      <c r="EF7" s="230">
        <v>434315</v>
      </c>
      <c r="EG7" s="229">
        <v>-0.44619999999999999</v>
      </c>
      <c r="EH7" s="229">
        <v>0.47989999999999999</v>
      </c>
      <c r="EI7" s="231">
        <v>395968.22</v>
      </c>
      <c r="EJ7" s="231">
        <v>195252.28</v>
      </c>
      <c r="EK7" s="231">
        <v>56719.75</v>
      </c>
      <c r="EL7" s="228">
        <v>0</v>
      </c>
      <c r="EM7" s="231">
        <v>647940.25</v>
      </c>
      <c r="EN7" s="231">
        <v>2384185.5099999998</v>
      </c>
      <c r="EO7" s="231">
        <v>-1736245.26</v>
      </c>
      <c r="EP7" s="229">
        <v>-0.72819999999999996</v>
      </c>
      <c r="EQ7" s="231">
        <v>131542</v>
      </c>
      <c r="ER7" s="231">
        <v>101505</v>
      </c>
      <c r="ES7" s="231">
        <v>254097</v>
      </c>
      <c r="ET7" s="231">
        <v>25095463</v>
      </c>
      <c r="EU7" s="231">
        <v>487144</v>
      </c>
      <c r="EV7" s="231">
        <v>490332</v>
      </c>
      <c r="EW7" s="231">
        <v>-3188</v>
      </c>
      <c r="EX7" s="229">
        <v>-6.4999999999999997E-3</v>
      </c>
      <c r="EY7" s="229">
        <v>0.22289999999999999</v>
      </c>
    </row>
    <row r="8" spans="1:155" ht="17.25" thickBot="1" x14ac:dyDescent="0.3">
      <c r="A8" s="226">
        <v>45889</v>
      </c>
      <c r="B8" s="227" t="s">
        <v>175</v>
      </c>
      <c r="C8" s="227" t="s">
        <v>176</v>
      </c>
      <c r="D8" s="231">
        <v>1962.9</v>
      </c>
      <c r="E8" s="231">
        <v>1978.8</v>
      </c>
      <c r="F8" s="228">
        <v>-15.9</v>
      </c>
      <c r="G8" s="229">
        <v>-8.0000000000000002E-3</v>
      </c>
      <c r="H8" s="231">
        <v>1958.5</v>
      </c>
      <c r="I8" s="231">
        <v>1972.2</v>
      </c>
      <c r="J8" s="228">
        <v>-13.7</v>
      </c>
      <c r="K8" s="229">
        <v>-6.8999999999999999E-3</v>
      </c>
      <c r="L8" s="231">
        <v>1962.9</v>
      </c>
      <c r="M8" s="231">
        <v>1978.8</v>
      </c>
      <c r="N8" s="228">
        <v>-15.9</v>
      </c>
      <c r="O8" s="229">
        <v>-8.0000000000000002E-3</v>
      </c>
      <c r="P8" s="231">
        <v>1972.2</v>
      </c>
      <c r="Q8" s="231">
        <v>1989.8</v>
      </c>
      <c r="R8" s="228">
        <v>-17.600000000000001</v>
      </c>
      <c r="S8" s="229">
        <v>-8.8000000000000005E-3</v>
      </c>
      <c r="T8" s="231">
        <v>1982.3</v>
      </c>
      <c r="U8" s="231">
        <v>1998</v>
      </c>
      <c r="V8" s="228">
        <v>-15.7</v>
      </c>
      <c r="W8" s="229">
        <v>-7.9000000000000008E-3</v>
      </c>
      <c r="X8" s="228">
        <v>4.4000000000000004</v>
      </c>
      <c r="Y8" s="228">
        <v>6.6</v>
      </c>
      <c r="Z8" s="228">
        <v>-2.2000000000000002</v>
      </c>
      <c r="AA8" s="229">
        <v>2.2000000000000001E-3</v>
      </c>
      <c r="AB8" s="228">
        <v>4.4000000000000004</v>
      </c>
      <c r="AC8" s="228">
        <v>6.6</v>
      </c>
      <c r="AD8" s="228">
        <v>-2.2000000000000002</v>
      </c>
      <c r="AE8" s="229">
        <v>2.2000000000000001E-3</v>
      </c>
      <c r="AF8" s="228">
        <v>13.7</v>
      </c>
      <c r="AG8" s="228">
        <v>17.600000000000001</v>
      </c>
      <c r="AH8" s="228">
        <v>-3.9</v>
      </c>
      <c r="AI8" s="229">
        <v>7.0000000000000001E-3</v>
      </c>
      <c r="AJ8" s="228">
        <v>23.8</v>
      </c>
      <c r="AK8" s="228">
        <v>25.8</v>
      </c>
      <c r="AL8" s="228">
        <v>-2</v>
      </c>
      <c r="AM8" s="229">
        <v>1.2200000000000001E-2</v>
      </c>
      <c r="AN8" s="231">
        <v>1961.01</v>
      </c>
      <c r="AO8" s="231">
        <v>1972.26</v>
      </c>
      <c r="AP8" s="228">
        <v>0</v>
      </c>
      <c r="AQ8" s="230">
        <v>4292</v>
      </c>
      <c r="AR8" s="230">
        <v>4350</v>
      </c>
      <c r="AS8" s="228">
        <v>-58</v>
      </c>
      <c r="AT8" s="229">
        <v>-1.3299999999999999E-2</v>
      </c>
      <c r="AU8" s="230">
        <v>3391</v>
      </c>
      <c r="AV8" s="230">
        <v>3659</v>
      </c>
      <c r="AW8" s="228">
        <v>-268</v>
      </c>
      <c r="AX8" s="229">
        <v>-7.3200000000000001E-2</v>
      </c>
      <c r="AY8" s="228">
        <v>846</v>
      </c>
      <c r="AZ8" s="228">
        <v>637</v>
      </c>
      <c r="BA8" s="228">
        <v>209</v>
      </c>
      <c r="BB8" s="229">
        <v>0.3281</v>
      </c>
      <c r="BC8" s="228">
        <v>55</v>
      </c>
      <c r="BD8" s="228">
        <v>54</v>
      </c>
      <c r="BE8" s="228">
        <v>1</v>
      </c>
      <c r="BF8" s="229">
        <v>1.8499999999999999E-2</v>
      </c>
      <c r="BG8" s="230">
        <v>18911</v>
      </c>
      <c r="BH8" s="230">
        <v>19735</v>
      </c>
      <c r="BI8" s="228">
        <v>-824</v>
      </c>
      <c r="BJ8" s="229">
        <v>-4.1799999999999997E-2</v>
      </c>
      <c r="BK8" s="230">
        <v>9163</v>
      </c>
      <c r="BL8" s="230">
        <v>12511</v>
      </c>
      <c r="BM8" s="230">
        <v>-3348</v>
      </c>
      <c r="BN8" s="229">
        <v>-0.2676</v>
      </c>
      <c r="BO8" s="230">
        <v>32366</v>
      </c>
      <c r="BP8" s="230">
        <v>36596</v>
      </c>
      <c r="BQ8" s="230">
        <v>-4230</v>
      </c>
      <c r="BR8" s="229">
        <v>-0.11559999999999999</v>
      </c>
      <c r="BS8" s="230">
        <v>1480633</v>
      </c>
      <c r="BT8" s="230">
        <v>1419398</v>
      </c>
      <c r="BU8" s="230">
        <v>61235</v>
      </c>
      <c r="BV8" s="229">
        <v>4.3099999999999999E-2</v>
      </c>
      <c r="BW8" s="230">
        <v>17114500</v>
      </c>
      <c r="BX8" s="230">
        <v>16985000</v>
      </c>
      <c r="BY8" s="230">
        <v>129500</v>
      </c>
      <c r="BZ8" s="229">
        <v>7.6E-3</v>
      </c>
      <c r="CA8" s="230">
        <v>16301500</v>
      </c>
      <c r="CB8" s="230">
        <v>16408000</v>
      </c>
      <c r="CC8" s="230">
        <v>-106500</v>
      </c>
      <c r="CD8" s="229">
        <v>-6.4999999999999997E-3</v>
      </c>
      <c r="CE8" s="230">
        <v>702000</v>
      </c>
      <c r="CF8" s="230">
        <v>475000</v>
      </c>
      <c r="CG8" s="230">
        <v>227000</v>
      </c>
      <c r="CH8" s="229">
        <v>0.47789999999999999</v>
      </c>
      <c r="CI8" s="230">
        <v>111000</v>
      </c>
      <c r="CJ8" s="230">
        <v>102000</v>
      </c>
      <c r="CK8" s="230">
        <v>9000</v>
      </c>
      <c r="CL8" s="229">
        <v>8.8200000000000001E-2</v>
      </c>
      <c r="CM8" s="230">
        <v>6388500</v>
      </c>
      <c r="CN8" s="230">
        <v>5815000</v>
      </c>
      <c r="CO8" s="230">
        <v>573500</v>
      </c>
      <c r="CP8" s="229">
        <v>9.8599999999999993E-2</v>
      </c>
      <c r="CQ8" s="230">
        <v>4542500</v>
      </c>
      <c r="CR8" s="230">
        <v>4621500</v>
      </c>
      <c r="CS8" s="230">
        <v>-79000</v>
      </c>
      <c r="CT8" s="229">
        <v>-1.7100000000000001E-2</v>
      </c>
      <c r="CU8" s="230">
        <v>28045500</v>
      </c>
      <c r="CV8" s="230">
        <v>27421500</v>
      </c>
      <c r="CW8" s="230">
        <v>624000</v>
      </c>
      <c r="CX8" s="229">
        <v>2.2800000000000001E-2</v>
      </c>
      <c r="CY8" s="228">
        <v>22.01</v>
      </c>
      <c r="CZ8" s="228">
        <v>21</v>
      </c>
      <c r="DA8" s="228">
        <v>1.01</v>
      </c>
      <c r="DB8" s="228">
        <v>1.01</v>
      </c>
      <c r="DC8" s="228">
        <v>29.56</v>
      </c>
      <c r="DD8" s="228">
        <v>29.61</v>
      </c>
      <c r="DE8" s="228">
        <v>-7.55</v>
      </c>
      <c r="DF8" s="228">
        <v>-0.05</v>
      </c>
      <c r="DG8" s="228">
        <v>22.15</v>
      </c>
      <c r="DH8" s="228">
        <v>21.17</v>
      </c>
      <c r="DI8" s="228">
        <v>0.98</v>
      </c>
      <c r="DJ8" s="228">
        <v>0.98</v>
      </c>
      <c r="DK8" s="228">
        <v>21.72</v>
      </c>
      <c r="DL8" s="228">
        <v>20.75</v>
      </c>
      <c r="DM8" s="228">
        <v>0.97</v>
      </c>
      <c r="DN8" s="228">
        <v>0.97</v>
      </c>
      <c r="DO8" s="228">
        <v>0.71</v>
      </c>
      <c r="DP8" s="228">
        <v>0.79</v>
      </c>
      <c r="DQ8" s="228">
        <v>-0.08</v>
      </c>
      <c r="DR8" s="229">
        <v>-0.1013</v>
      </c>
      <c r="DS8" s="231">
        <v>2000</v>
      </c>
      <c r="DT8" s="231">
        <v>1900</v>
      </c>
      <c r="DU8" s="228">
        <v>0.48</v>
      </c>
      <c r="DV8" s="228">
        <v>0.63</v>
      </c>
      <c r="DW8" s="228">
        <v>-0.15</v>
      </c>
      <c r="DX8" s="229">
        <v>-0.23810000000000001</v>
      </c>
      <c r="DY8" s="229">
        <v>4.7500000000000001E-2</v>
      </c>
      <c r="DZ8" s="230">
        <v>577000</v>
      </c>
      <c r="EA8" s="229">
        <v>4.7000000000000002E-3</v>
      </c>
      <c r="EB8" s="229">
        <v>4.7500000000000001E-2</v>
      </c>
      <c r="EC8" s="228">
        <v>11.25</v>
      </c>
      <c r="ED8" s="229">
        <v>5.7000000000000002E-3</v>
      </c>
      <c r="EE8" s="230">
        <v>1015639</v>
      </c>
      <c r="EF8" s="230">
        <v>968153</v>
      </c>
      <c r="EG8" s="229">
        <v>4.9000000000000002E-2</v>
      </c>
      <c r="EH8" s="229">
        <v>0.68589999999999995</v>
      </c>
      <c r="EI8" s="231">
        <v>190820.04</v>
      </c>
      <c r="EJ8" s="231">
        <v>89300.43</v>
      </c>
      <c r="EK8" s="231">
        <v>42136.79</v>
      </c>
      <c r="EL8" s="228">
        <v>0</v>
      </c>
      <c r="EM8" s="231">
        <v>322257.26</v>
      </c>
      <c r="EN8" s="231">
        <v>367402.68</v>
      </c>
      <c r="EO8" s="231">
        <v>-45145.42</v>
      </c>
      <c r="EP8" s="229">
        <v>-0.1229</v>
      </c>
      <c r="EQ8" s="231">
        <v>130982</v>
      </c>
      <c r="ER8" s="231">
        <v>85271</v>
      </c>
      <c r="ES8" s="231">
        <v>336027</v>
      </c>
      <c r="ET8" s="231">
        <v>131319425</v>
      </c>
      <c r="EU8" s="231">
        <v>552280</v>
      </c>
      <c r="EV8" s="231">
        <v>542643</v>
      </c>
      <c r="EW8" s="231">
        <v>9637</v>
      </c>
      <c r="EX8" s="229">
        <v>1.78E-2</v>
      </c>
      <c r="EY8" s="229">
        <v>0.21360000000000001</v>
      </c>
    </row>
    <row r="9" spans="1:155" ht="17.25" thickBot="1" x14ac:dyDescent="0.3">
      <c r="A9" s="226">
        <v>45889</v>
      </c>
      <c r="B9" s="227" t="s">
        <v>175</v>
      </c>
      <c r="C9" s="227" t="s">
        <v>177</v>
      </c>
      <c r="D9" s="228">
        <v>887.95</v>
      </c>
      <c r="E9" s="228">
        <v>904.1</v>
      </c>
      <c r="F9" s="228">
        <v>-16.149999999999999</v>
      </c>
      <c r="G9" s="229">
        <v>-1.7899999999999999E-2</v>
      </c>
      <c r="H9" s="228">
        <v>887.8</v>
      </c>
      <c r="I9" s="228">
        <v>902.3</v>
      </c>
      <c r="J9" s="228">
        <v>-14.5</v>
      </c>
      <c r="K9" s="229">
        <v>-1.61E-2</v>
      </c>
      <c r="L9" s="228">
        <v>887.95</v>
      </c>
      <c r="M9" s="228">
        <v>904.1</v>
      </c>
      <c r="N9" s="228">
        <v>-16.149999999999999</v>
      </c>
      <c r="O9" s="229">
        <v>-1.7899999999999999E-2</v>
      </c>
      <c r="P9" s="228">
        <v>893.2</v>
      </c>
      <c r="Q9" s="228">
        <v>909.2</v>
      </c>
      <c r="R9" s="228">
        <v>-16</v>
      </c>
      <c r="S9" s="229">
        <v>-1.7600000000000001E-2</v>
      </c>
      <c r="T9" s="228">
        <v>897.5</v>
      </c>
      <c r="U9" s="228">
        <v>913.2</v>
      </c>
      <c r="V9" s="228">
        <v>-15.7</v>
      </c>
      <c r="W9" s="229">
        <v>-1.72E-2</v>
      </c>
      <c r="X9" s="228">
        <v>0.15</v>
      </c>
      <c r="Y9" s="228">
        <v>1.8</v>
      </c>
      <c r="Z9" s="228">
        <v>-1.65</v>
      </c>
      <c r="AA9" s="229">
        <v>2.0000000000000001E-4</v>
      </c>
      <c r="AB9" s="228">
        <v>0.15</v>
      </c>
      <c r="AC9" s="228">
        <v>1.8</v>
      </c>
      <c r="AD9" s="228">
        <v>-1.65</v>
      </c>
      <c r="AE9" s="229">
        <v>2.0000000000000001E-4</v>
      </c>
      <c r="AF9" s="228">
        <v>5.4</v>
      </c>
      <c r="AG9" s="228">
        <v>6.9</v>
      </c>
      <c r="AH9" s="228">
        <v>-1.5</v>
      </c>
      <c r="AI9" s="229">
        <v>6.1000000000000004E-3</v>
      </c>
      <c r="AJ9" s="228">
        <v>9.6999999999999993</v>
      </c>
      <c r="AK9" s="228">
        <v>10.9</v>
      </c>
      <c r="AL9" s="228">
        <v>-1.2</v>
      </c>
      <c r="AM9" s="229">
        <v>1.09E-2</v>
      </c>
      <c r="AN9" s="228">
        <v>889.76</v>
      </c>
      <c r="AO9" s="228">
        <v>894.53</v>
      </c>
      <c r="AP9" s="228">
        <v>0</v>
      </c>
      <c r="AQ9" s="230">
        <v>15380</v>
      </c>
      <c r="AR9" s="230">
        <v>14005</v>
      </c>
      <c r="AS9" s="230">
        <v>1375</v>
      </c>
      <c r="AT9" s="229">
        <v>9.8199999999999996E-2</v>
      </c>
      <c r="AU9" s="230">
        <v>11581</v>
      </c>
      <c r="AV9" s="230">
        <v>10757</v>
      </c>
      <c r="AW9" s="228">
        <v>824</v>
      </c>
      <c r="AX9" s="229">
        <v>7.6600000000000001E-2</v>
      </c>
      <c r="AY9" s="230">
        <v>3631</v>
      </c>
      <c r="AZ9" s="230">
        <v>2065</v>
      </c>
      <c r="BA9" s="230">
        <v>1566</v>
      </c>
      <c r="BB9" s="229">
        <v>0.75839999999999996</v>
      </c>
      <c r="BC9" s="228">
        <v>168</v>
      </c>
      <c r="BD9" s="230">
        <v>1183</v>
      </c>
      <c r="BE9" s="230">
        <v>-1015</v>
      </c>
      <c r="BF9" s="229">
        <v>-0.85799999999999998</v>
      </c>
      <c r="BG9" s="230">
        <v>43329</v>
      </c>
      <c r="BH9" s="230">
        <v>50766</v>
      </c>
      <c r="BI9" s="230">
        <v>-7437</v>
      </c>
      <c r="BJ9" s="229">
        <v>-0.14649999999999999</v>
      </c>
      <c r="BK9" s="230">
        <v>23807</v>
      </c>
      <c r="BL9" s="230">
        <v>28122</v>
      </c>
      <c r="BM9" s="230">
        <v>-4315</v>
      </c>
      <c r="BN9" s="229">
        <v>-0.15340000000000001</v>
      </c>
      <c r="BO9" s="230">
        <v>82516</v>
      </c>
      <c r="BP9" s="230">
        <v>92893</v>
      </c>
      <c r="BQ9" s="230">
        <v>-10377</v>
      </c>
      <c r="BR9" s="229">
        <v>-0.11169999999999999</v>
      </c>
      <c r="BS9" s="230">
        <v>5811966</v>
      </c>
      <c r="BT9" s="230">
        <v>5939275</v>
      </c>
      <c r="BU9" s="230">
        <v>-127309</v>
      </c>
      <c r="BV9" s="229">
        <v>-2.1399999999999999E-2</v>
      </c>
      <c r="BW9" s="230">
        <v>98822250</v>
      </c>
      <c r="BX9" s="230">
        <v>98391750</v>
      </c>
      <c r="BY9" s="230">
        <v>430500</v>
      </c>
      <c r="BZ9" s="229">
        <v>4.4000000000000003E-3</v>
      </c>
      <c r="CA9" s="230">
        <v>84292500</v>
      </c>
      <c r="CB9" s="230">
        <v>85797750</v>
      </c>
      <c r="CC9" s="230">
        <v>-1505250</v>
      </c>
      <c r="CD9" s="229">
        <v>-1.7500000000000002E-2</v>
      </c>
      <c r="CE9" s="230">
        <v>10796250</v>
      </c>
      <c r="CF9" s="230">
        <v>8923500</v>
      </c>
      <c r="CG9" s="230">
        <v>1872750</v>
      </c>
      <c r="CH9" s="229">
        <v>0.2099</v>
      </c>
      <c r="CI9" s="230">
        <v>3733500</v>
      </c>
      <c r="CJ9" s="230">
        <v>3670500</v>
      </c>
      <c r="CK9" s="230">
        <v>63000</v>
      </c>
      <c r="CL9" s="229">
        <v>1.72E-2</v>
      </c>
      <c r="CM9" s="230">
        <v>29713500</v>
      </c>
      <c r="CN9" s="230">
        <v>26250750</v>
      </c>
      <c r="CO9" s="230">
        <v>3462750</v>
      </c>
      <c r="CP9" s="229">
        <v>0.13189999999999999</v>
      </c>
      <c r="CQ9" s="230">
        <v>15764250</v>
      </c>
      <c r="CR9" s="230">
        <v>15322500</v>
      </c>
      <c r="CS9" s="230">
        <v>441750</v>
      </c>
      <c r="CT9" s="229">
        <v>2.8799999999999999E-2</v>
      </c>
      <c r="CU9" s="230">
        <v>144300000</v>
      </c>
      <c r="CV9" s="230">
        <v>139965000</v>
      </c>
      <c r="CW9" s="230">
        <v>4335000</v>
      </c>
      <c r="CX9" s="229">
        <v>3.1E-2</v>
      </c>
      <c r="CY9" s="228">
        <v>27.59</v>
      </c>
      <c r="CZ9" s="228">
        <v>26.27</v>
      </c>
      <c r="DA9" s="228">
        <v>1.32</v>
      </c>
      <c r="DB9" s="228">
        <v>1.32</v>
      </c>
      <c r="DC9" s="228">
        <v>31.85</v>
      </c>
      <c r="DD9" s="228">
        <v>31.85</v>
      </c>
      <c r="DE9" s="228">
        <v>-4.26</v>
      </c>
      <c r="DF9" s="228">
        <v>0</v>
      </c>
      <c r="DG9" s="228">
        <v>28.07</v>
      </c>
      <c r="DH9" s="228">
        <v>26.41</v>
      </c>
      <c r="DI9" s="228">
        <v>1.66</v>
      </c>
      <c r="DJ9" s="228">
        <v>1.66</v>
      </c>
      <c r="DK9" s="228">
        <v>26.7</v>
      </c>
      <c r="DL9" s="228">
        <v>26.02</v>
      </c>
      <c r="DM9" s="228">
        <v>0.68</v>
      </c>
      <c r="DN9" s="228">
        <v>0.68</v>
      </c>
      <c r="DO9" s="228">
        <v>0.53</v>
      </c>
      <c r="DP9" s="228">
        <v>0.57999999999999996</v>
      </c>
      <c r="DQ9" s="228">
        <v>-0.05</v>
      </c>
      <c r="DR9" s="229">
        <v>-8.6199999999999999E-2</v>
      </c>
      <c r="DS9" s="228">
        <v>900</v>
      </c>
      <c r="DT9" s="228">
        <v>900</v>
      </c>
      <c r="DU9" s="228">
        <v>0.55000000000000004</v>
      </c>
      <c r="DV9" s="228">
        <v>0.55000000000000004</v>
      </c>
      <c r="DW9" s="228">
        <v>0</v>
      </c>
      <c r="DX9" s="229">
        <v>0</v>
      </c>
      <c r="DY9" s="229">
        <v>0.14699999999999999</v>
      </c>
      <c r="DZ9" s="230">
        <v>12594000</v>
      </c>
      <c r="EA9" s="229">
        <v>5.8999999999999999E-3</v>
      </c>
      <c r="EB9" s="229">
        <v>0.14699999999999999</v>
      </c>
      <c r="EC9" s="228">
        <v>4.7699999999999996</v>
      </c>
      <c r="ED9" s="229">
        <v>5.4000000000000003E-3</v>
      </c>
      <c r="EE9" s="230">
        <v>3694117</v>
      </c>
      <c r="EF9" s="230">
        <v>2936986</v>
      </c>
      <c r="EG9" s="229">
        <v>0.25779999999999997</v>
      </c>
      <c r="EH9" s="229">
        <v>0.63560000000000005</v>
      </c>
      <c r="EI9" s="231">
        <v>301018.93</v>
      </c>
      <c r="EJ9" s="231">
        <v>158962.39000000001</v>
      </c>
      <c r="EK9" s="231">
        <v>102776.19</v>
      </c>
      <c r="EL9" s="228">
        <v>0</v>
      </c>
      <c r="EM9" s="231">
        <v>562757.51</v>
      </c>
      <c r="EN9" s="231">
        <v>638579.80000000005</v>
      </c>
      <c r="EO9" s="231">
        <v>-75822.289999999994</v>
      </c>
      <c r="EP9" s="229">
        <v>-0.1187</v>
      </c>
      <c r="EQ9" s="231">
        <v>279828</v>
      </c>
      <c r="ER9" s="231">
        <v>136183</v>
      </c>
      <c r="ES9" s="231">
        <v>878416</v>
      </c>
      <c r="ET9" s="231">
        <v>562232690</v>
      </c>
      <c r="EU9" s="231">
        <v>1294426</v>
      </c>
      <c r="EV9" s="231">
        <v>1270904</v>
      </c>
      <c r="EW9" s="231">
        <v>23522</v>
      </c>
      <c r="EX9" s="229">
        <v>1.8499999999999999E-2</v>
      </c>
      <c r="EY9" s="229">
        <v>0.25669999999999998</v>
      </c>
    </row>
    <row r="10" spans="1:155" ht="17.25" thickBot="1" x14ac:dyDescent="0.3">
      <c r="A10" s="226">
        <v>45889</v>
      </c>
      <c r="B10" s="227" t="s">
        <v>184</v>
      </c>
      <c r="C10" s="227" t="s">
        <v>185</v>
      </c>
      <c r="D10" s="228">
        <v>372.15</v>
      </c>
      <c r="E10" s="228">
        <v>380.4</v>
      </c>
      <c r="F10" s="228">
        <v>-8.25</v>
      </c>
      <c r="G10" s="229">
        <v>-2.1700000000000001E-2</v>
      </c>
      <c r="H10" s="228">
        <v>371.85</v>
      </c>
      <c r="I10" s="228">
        <v>380.05</v>
      </c>
      <c r="J10" s="228">
        <v>-8.1999999999999993</v>
      </c>
      <c r="K10" s="229">
        <v>-2.1600000000000001E-2</v>
      </c>
      <c r="L10" s="228">
        <v>372.15</v>
      </c>
      <c r="M10" s="228">
        <v>380.4</v>
      </c>
      <c r="N10" s="228">
        <v>-8.25</v>
      </c>
      <c r="O10" s="229">
        <v>-2.1700000000000001E-2</v>
      </c>
      <c r="P10" s="228">
        <v>374.4</v>
      </c>
      <c r="Q10" s="228">
        <v>382.6</v>
      </c>
      <c r="R10" s="228">
        <v>-8.1999999999999993</v>
      </c>
      <c r="S10" s="229">
        <v>-2.1399999999999999E-2</v>
      </c>
      <c r="T10" s="228">
        <v>376.25</v>
      </c>
      <c r="U10" s="228">
        <v>384.4</v>
      </c>
      <c r="V10" s="228">
        <v>-8.15</v>
      </c>
      <c r="W10" s="229">
        <v>-2.12E-2</v>
      </c>
      <c r="X10" s="228">
        <v>0.3</v>
      </c>
      <c r="Y10" s="228">
        <v>0.35</v>
      </c>
      <c r="Z10" s="228">
        <v>-0.05</v>
      </c>
      <c r="AA10" s="229">
        <v>8.0000000000000004E-4</v>
      </c>
      <c r="AB10" s="228">
        <v>0.3</v>
      </c>
      <c r="AC10" s="228">
        <v>0.35</v>
      </c>
      <c r="AD10" s="228">
        <v>-0.05</v>
      </c>
      <c r="AE10" s="229">
        <v>8.0000000000000004E-4</v>
      </c>
      <c r="AF10" s="228">
        <v>2.5499999999999998</v>
      </c>
      <c r="AG10" s="228">
        <v>2.5499999999999998</v>
      </c>
      <c r="AH10" s="228">
        <v>0</v>
      </c>
      <c r="AI10" s="229">
        <v>6.8999999999999999E-3</v>
      </c>
      <c r="AJ10" s="228">
        <v>4.4000000000000004</v>
      </c>
      <c r="AK10" s="228">
        <v>4.3499999999999996</v>
      </c>
      <c r="AL10" s="228">
        <v>0.05</v>
      </c>
      <c r="AM10" s="229">
        <v>1.18E-2</v>
      </c>
      <c r="AN10" s="228">
        <v>375.52</v>
      </c>
      <c r="AO10" s="228">
        <v>377.09</v>
      </c>
      <c r="AP10" s="228">
        <v>0</v>
      </c>
      <c r="AQ10" s="230">
        <v>14110</v>
      </c>
      <c r="AR10" s="230">
        <v>8459</v>
      </c>
      <c r="AS10" s="230">
        <v>5651</v>
      </c>
      <c r="AT10" s="229">
        <v>0.66800000000000004</v>
      </c>
      <c r="AU10" s="230">
        <v>10344</v>
      </c>
      <c r="AV10" s="230">
        <v>6566</v>
      </c>
      <c r="AW10" s="230">
        <v>3778</v>
      </c>
      <c r="AX10" s="229">
        <v>0.57540000000000002</v>
      </c>
      <c r="AY10" s="230">
        <v>3379</v>
      </c>
      <c r="AZ10" s="230">
        <v>1627</v>
      </c>
      <c r="BA10" s="230">
        <v>1752</v>
      </c>
      <c r="BB10" s="229">
        <v>1.0768</v>
      </c>
      <c r="BC10" s="228">
        <v>387</v>
      </c>
      <c r="BD10" s="228">
        <v>266</v>
      </c>
      <c r="BE10" s="228">
        <v>121</v>
      </c>
      <c r="BF10" s="229">
        <v>0.45490000000000003</v>
      </c>
      <c r="BG10" s="230">
        <v>54969</v>
      </c>
      <c r="BH10" s="230">
        <v>30797</v>
      </c>
      <c r="BI10" s="230">
        <v>24172</v>
      </c>
      <c r="BJ10" s="229">
        <v>0.78490000000000004</v>
      </c>
      <c r="BK10" s="230">
        <v>28692</v>
      </c>
      <c r="BL10" s="230">
        <v>16447</v>
      </c>
      <c r="BM10" s="230">
        <v>12245</v>
      </c>
      <c r="BN10" s="229">
        <v>0.74450000000000005</v>
      </c>
      <c r="BO10" s="230">
        <v>97771</v>
      </c>
      <c r="BP10" s="230">
        <v>55703</v>
      </c>
      <c r="BQ10" s="230">
        <v>42068</v>
      </c>
      <c r="BR10" s="229">
        <v>0.75519999999999998</v>
      </c>
      <c r="BS10" s="230">
        <v>21174135</v>
      </c>
      <c r="BT10" s="230">
        <v>11755370</v>
      </c>
      <c r="BU10" s="230">
        <v>9418765</v>
      </c>
      <c r="BV10" s="229">
        <v>0.80120000000000002</v>
      </c>
      <c r="BW10" s="230">
        <v>131137050</v>
      </c>
      <c r="BX10" s="230">
        <v>125009550</v>
      </c>
      <c r="BY10" s="230">
        <v>6127500</v>
      </c>
      <c r="BZ10" s="229">
        <v>4.9000000000000002E-2</v>
      </c>
      <c r="CA10" s="230">
        <v>111728550</v>
      </c>
      <c r="CB10" s="230">
        <v>112674750</v>
      </c>
      <c r="CC10" s="230">
        <v>-946200</v>
      </c>
      <c r="CD10" s="229">
        <v>-8.3999999999999995E-3</v>
      </c>
      <c r="CE10" s="230">
        <v>18000600</v>
      </c>
      <c r="CF10" s="230">
        <v>11351550</v>
      </c>
      <c r="CG10" s="230">
        <v>6649050</v>
      </c>
      <c r="CH10" s="229">
        <v>0.5857</v>
      </c>
      <c r="CI10" s="230">
        <v>1407900</v>
      </c>
      <c r="CJ10" s="230">
        <v>983250</v>
      </c>
      <c r="CK10" s="230">
        <v>424650</v>
      </c>
      <c r="CL10" s="229">
        <v>0.43190000000000001</v>
      </c>
      <c r="CM10" s="230">
        <v>91872600</v>
      </c>
      <c r="CN10" s="230">
        <v>74310900</v>
      </c>
      <c r="CO10" s="230">
        <v>17561700</v>
      </c>
      <c r="CP10" s="229">
        <v>0.23630000000000001</v>
      </c>
      <c r="CQ10" s="230">
        <v>45793800</v>
      </c>
      <c r="CR10" s="230">
        <v>39954150</v>
      </c>
      <c r="CS10" s="230">
        <v>5839650</v>
      </c>
      <c r="CT10" s="229">
        <v>0.1462</v>
      </c>
      <c r="CU10" s="230">
        <v>268803450</v>
      </c>
      <c r="CV10" s="230">
        <v>239274600</v>
      </c>
      <c r="CW10" s="230">
        <v>29528850</v>
      </c>
      <c r="CX10" s="229">
        <v>0.1234</v>
      </c>
      <c r="CY10" s="228">
        <v>30.62</v>
      </c>
      <c r="CZ10" s="228">
        <v>27.02</v>
      </c>
      <c r="DA10" s="228">
        <v>3.6</v>
      </c>
      <c r="DB10" s="228">
        <v>3.6</v>
      </c>
      <c r="DC10" s="228">
        <v>39.520000000000003</v>
      </c>
      <c r="DD10" s="228">
        <v>39.51</v>
      </c>
      <c r="DE10" s="228">
        <v>-8.9</v>
      </c>
      <c r="DF10" s="228">
        <v>0.01</v>
      </c>
      <c r="DG10" s="228">
        <v>31.64</v>
      </c>
      <c r="DH10" s="228">
        <v>27.44</v>
      </c>
      <c r="DI10" s="228">
        <v>4.2</v>
      </c>
      <c r="DJ10" s="228">
        <v>4.2</v>
      </c>
      <c r="DK10" s="228">
        <v>28.68</v>
      </c>
      <c r="DL10" s="228">
        <v>26.23</v>
      </c>
      <c r="DM10" s="228">
        <v>2.4500000000000002</v>
      </c>
      <c r="DN10" s="228">
        <v>2.4500000000000002</v>
      </c>
      <c r="DO10" s="228">
        <v>0.5</v>
      </c>
      <c r="DP10" s="228">
        <v>0.54</v>
      </c>
      <c r="DQ10" s="228">
        <v>-0.04</v>
      </c>
      <c r="DR10" s="229">
        <v>-7.4099999999999999E-2</v>
      </c>
      <c r="DS10" s="228">
        <v>390</v>
      </c>
      <c r="DT10" s="228">
        <v>380</v>
      </c>
      <c r="DU10" s="228">
        <v>0.52</v>
      </c>
      <c r="DV10" s="228">
        <v>0.53</v>
      </c>
      <c r="DW10" s="228">
        <v>-0.01</v>
      </c>
      <c r="DX10" s="229">
        <v>-1.89E-2</v>
      </c>
      <c r="DY10" s="229">
        <v>0.14799999999999999</v>
      </c>
      <c r="DZ10" s="230">
        <v>12334800</v>
      </c>
      <c r="EA10" s="229">
        <v>6.0000000000000001E-3</v>
      </c>
      <c r="EB10" s="229">
        <v>0.14799999999999999</v>
      </c>
      <c r="EC10" s="228">
        <v>1.57</v>
      </c>
      <c r="ED10" s="229">
        <v>4.1999999999999997E-3</v>
      </c>
      <c r="EE10" s="230">
        <v>10565886</v>
      </c>
      <c r="EF10" s="230">
        <v>5218549</v>
      </c>
      <c r="EG10" s="229">
        <v>1.0246999999999999</v>
      </c>
      <c r="EH10" s="229">
        <v>0.499</v>
      </c>
      <c r="EI10" s="231">
        <v>616966.43999999994</v>
      </c>
      <c r="EJ10" s="231">
        <v>309442.27</v>
      </c>
      <c r="EK10" s="231">
        <v>151199.4</v>
      </c>
      <c r="EL10" s="228">
        <v>0</v>
      </c>
      <c r="EM10" s="231">
        <v>1077608.1100000001</v>
      </c>
      <c r="EN10" s="231">
        <v>617566.84</v>
      </c>
      <c r="EO10" s="231">
        <v>460041.27</v>
      </c>
      <c r="EP10" s="229">
        <v>0.74490000000000001</v>
      </c>
      <c r="EQ10" s="231">
        <v>367425</v>
      </c>
      <c r="ER10" s="231">
        <v>174144</v>
      </c>
      <c r="ES10" s="231">
        <v>488489</v>
      </c>
      <c r="ET10" s="231">
        <v>714371379</v>
      </c>
      <c r="EU10" s="231">
        <v>1030058</v>
      </c>
      <c r="EV10" s="231">
        <v>929278</v>
      </c>
      <c r="EW10" s="231">
        <v>100780</v>
      </c>
      <c r="EX10" s="229">
        <v>0.1084</v>
      </c>
      <c r="EY10" s="229">
        <v>0.37630000000000002</v>
      </c>
    </row>
    <row r="11" spans="1:155" ht="17.25" thickBot="1" x14ac:dyDescent="0.3">
      <c r="A11" s="226">
        <v>45889</v>
      </c>
      <c r="B11" s="227" t="s">
        <v>188</v>
      </c>
      <c r="C11" s="227" t="s">
        <v>189</v>
      </c>
      <c r="D11" s="231">
        <v>1929.2</v>
      </c>
      <c r="E11" s="231">
        <v>1915</v>
      </c>
      <c r="F11" s="228">
        <v>14.2</v>
      </c>
      <c r="G11" s="229">
        <v>7.4000000000000003E-3</v>
      </c>
      <c r="H11" s="231">
        <v>1928.4</v>
      </c>
      <c r="I11" s="231">
        <v>1909.7</v>
      </c>
      <c r="J11" s="228">
        <v>18.7</v>
      </c>
      <c r="K11" s="229">
        <v>9.7999999999999997E-3</v>
      </c>
      <c r="L11" s="231">
        <v>1929.2</v>
      </c>
      <c r="M11" s="231">
        <v>1915</v>
      </c>
      <c r="N11" s="228">
        <v>14.2</v>
      </c>
      <c r="O11" s="229">
        <v>7.4000000000000003E-3</v>
      </c>
      <c r="P11" s="231">
        <v>1940.8</v>
      </c>
      <c r="Q11" s="231">
        <v>1926.3</v>
      </c>
      <c r="R11" s="228">
        <v>14.5</v>
      </c>
      <c r="S11" s="229">
        <v>7.4999999999999997E-3</v>
      </c>
      <c r="T11" s="231">
        <v>1950.7</v>
      </c>
      <c r="U11" s="231">
        <v>1935.7</v>
      </c>
      <c r="V11" s="228">
        <v>15</v>
      </c>
      <c r="W11" s="229">
        <v>7.7000000000000002E-3</v>
      </c>
      <c r="X11" s="228">
        <v>0.8</v>
      </c>
      <c r="Y11" s="228">
        <v>5.3</v>
      </c>
      <c r="Z11" s="228">
        <v>-4.5</v>
      </c>
      <c r="AA11" s="229">
        <v>4.0000000000000002E-4</v>
      </c>
      <c r="AB11" s="228">
        <v>0.8</v>
      </c>
      <c r="AC11" s="228">
        <v>5.3</v>
      </c>
      <c r="AD11" s="228">
        <v>-4.5</v>
      </c>
      <c r="AE11" s="229">
        <v>4.0000000000000002E-4</v>
      </c>
      <c r="AF11" s="228">
        <v>12.4</v>
      </c>
      <c r="AG11" s="228">
        <v>16.600000000000001</v>
      </c>
      <c r="AH11" s="228">
        <v>-4.2</v>
      </c>
      <c r="AI11" s="229">
        <v>6.4000000000000003E-3</v>
      </c>
      <c r="AJ11" s="228">
        <v>22.3</v>
      </c>
      <c r="AK11" s="228">
        <v>26</v>
      </c>
      <c r="AL11" s="228">
        <v>-3.7</v>
      </c>
      <c r="AM11" s="229">
        <v>1.1599999999999999E-2</v>
      </c>
      <c r="AN11" s="231">
        <v>1936.81</v>
      </c>
      <c r="AO11" s="231">
        <v>1946.3</v>
      </c>
      <c r="AP11" s="228">
        <v>0</v>
      </c>
      <c r="AQ11" s="230">
        <v>14843</v>
      </c>
      <c r="AR11" s="230">
        <v>12224</v>
      </c>
      <c r="AS11" s="230">
        <v>2619</v>
      </c>
      <c r="AT11" s="229">
        <v>0.21429999999999999</v>
      </c>
      <c r="AU11" s="230">
        <v>12875</v>
      </c>
      <c r="AV11" s="230">
        <v>11022</v>
      </c>
      <c r="AW11" s="230">
        <v>1853</v>
      </c>
      <c r="AX11" s="229">
        <v>0.1681</v>
      </c>
      <c r="AY11" s="230">
        <v>1884</v>
      </c>
      <c r="AZ11" s="230">
        <v>1026</v>
      </c>
      <c r="BA11" s="228">
        <v>858</v>
      </c>
      <c r="BB11" s="229">
        <v>0.83630000000000004</v>
      </c>
      <c r="BC11" s="228">
        <v>84</v>
      </c>
      <c r="BD11" s="228">
        <v>176</v>
      </c>
      <c r="BE11" s="228">
        <v>-92</v>
      </c>
      <c r="BF11" s="229">
        <v>-0.52270000000000005</v>
      </c>
      <c r="BG11" s="230">
        <v>107629</v>
      </c>
      <c r="BH11" s="230">
        <v>114326</v>
      </c>
      <c r="BI11" s="230">
        <v>-6697</v>
      </c>
      <c r="BJ11" s="229">
        <v>-5.8599999999999999E-2</v>
      </c>
      <c r="BK11" s="230">
        <v>40364</v>
      </c>
      <c r="BL11" s="230">
        <v>44894</v>
      </c>
      <c r="BM11" s="230">
        <v>-4530</v>
      </c>
      <c r="BN11" s="229">
        <v>-0.1009</v>
      </c>
      <c r="BO11" s="230">
        <v>162836</v>
      </c>
      <c r="BP11" s="230">
        <v>171444</v>
      </c>
      <c r="BQ11" s="230">
        <v>-8608</v>
      </c>
      <c r="BR11" s="229">
        <v>-5.0200000000000002E-2</v>
      </c>
      <c r="BS11" s="230">
        <v>7080041</v>
      </c>
      <c r="BT11" s="230">
        <v>6008086</v>
      </c>
      <c r="BU11" s="230">
        <v>1071955</v>
      </c>
      <c r="BV11" s="229">
        <v>0.1784</v>
      </c>
      <c r="BW11" s="230">
        <v>46707225</v>
      </c>
      <c r="BX11" s="230">
        <v>47742725</v>
      </c>
      <c r="BY11" s="230">
        <v>-1035500</v>
      </c>
      <c r="BZ11" s="229">
        <v>-2.1700000000000001E-2</v>
      </c>
      <c r="CA11" s="230">
        <v>39167550</v>
      </c>
      <c r="CB11" s="230">
        <v>40663325</v>
      </c>
      <c r="CC11" s="230">
        <v>-1495775</v>
      </c>
      <c r="CD11" s="229">
        <v>-3.6799999999999999E-2</v>
      </c>
      <c r="CE11" s="230">
        <v>4991775</v>
      </c>
      <c r="CF11" s="230">
        <v>4535300</v>
      </c>
      <c r="CG11" s="230">
        <v>456475</v>
      </c>
      <c r="CH11" s="229">
        <v>0.10059999999999999</v>
      </c>
      <c r="CI11" s="230">
        <v>2547900</v>
      </c>
      <c r="CJ11" s="230">
        <v>2544100</v>
      </c>
      <c r="CK11" s="230">
        <v>3800</v>
      </c>
      <c r="CL11" s="229">
        <v>1.5E-3</v>
      </c>
      <c r="CM11" s="230">
        <v>18500300</v>
      </c>
      <c r="CN11" s="230">
        <v>18693625</v>
      </c>
      <c r="CO11" s="230">
        <v>-193325</v>
      </c>
      <c r="CP11" s="229">
        <v>-1.03E-2</v>
      </c>
      <c r="CQ11" s="230">
        <v>8288750</v>
      </c>
      <c r="CR11" s="230">
        <v>8006600</v>
      </c>
      <c r="CS11" s="230">
        <v>282150</v>
      </c>
      <c r="CT11" s="229">
        <v>3.5200000000000002E-2</v>
      </c>
      <c r="CU11" s="230">
        <v>73496275</v>
      </c>
      <c r="CV11" s="230">
        <v>74442950</v>
      </c>
      <c r="CW11" s="230">
        <v>-946675</v>
      </c>
      <c r="CX11" s="229">
        <v>-1.2699999999999999E-2</v>
      </c>
      <c r="CY11" s="228">
        <v>17.23</v>
      </c>
      <c r="CZ11" s="228">
        <v>17.47</v>
      </c>
      <c r="DA11" s="228">
        <v>-0.24</v>
      </c>
      <c r="DB11" s="228">
        <v>-0.24</v>
      </c>
      <c r="DC11" s="228">
        <v>26.23</v>
      </c>
      <c r="DD11" s="228">
        <v>26.27</v>
      </c>
      <c r="DE11" s="228">
        <v>-9</v>
      </c>
      <c r="DF11" s="228">
        <v>-0.04</v>
      </c>
      <c r="DG11" s="228">
        <v>17.27</v>
      </c>
      <c r="DH11" s="228">
        <v>17.52</v>
      </c>
      <c r="DI11" s="228">
        <v>-0.25</v>
      </c>
      <c r="DJ11" s="228">
        <v>-0.25</v>
      </c>
      <c r="DK11" s="228">
        <v>17.13</v>
      </c>
      <c r="DL11" s="228">
        <v>17.36</v>
      </c>
      <c r="DM11" s="228">
        <v>-0.23</v>
      </c>
      <c r="DN11" s="228">
        <v>-0.23</v>
      </c>
      <c r="DO11" s="228">
        <v>0.45</v>
      </c>
      <c r="DP11" s="228">
        <v>0.43</v>
      </c>
      <c r="DQ11" s="228">
        <v>0.02</v>
      </c>
      <c r="DR11" s="229">
        <v>4.65E-2</v>
      </c>
      <c r="DS11" s="231">
        <v>2000</v>
      </c>
      <c r="DT11" s="231">
        <v>1860</v>
      </c>
      <c r="DU11" s="228">
        <v>0.38</v>
      </c>
      <c r="DV11" s="228">
        <v>0.39</v>
      </c>
      <c r="DW11" s="228">
        <v>-0.01</v>
      </c>
      <c r="DX11" s="229">
        <v>-2.5600000000000001E-2</v>
      </c>
      <c r="DY11" s="229">
        <v>0.16139999999999999</v>
      </c>
      <c r="DZ11" s="230">
        <v>7079400</v>
      </c>
      <c r="EA11" s="229">
        <v>6.0000000000000001E-3</v>
      </c>
      <c r="EB11" s="229">
        <v>0.16139999999999999</v>
      </c>
      <c r="EC11" s="228">
        <v>9.49</v>
      </c>
      <c r="ED11" s="229">
        <v>4.8999999999999998E-3</v>
      </c>
      <c r="EE11" s="230">
        <v>4680676</v>
      </c>
      <c r="EF11" s="230">
        <v>3545771</v>
      </c>
      <c r="EG11" s="229">
        <v>0.3201</v>
      </c>
      <c r="EH11" s="229">
        <v>0.66110000000000002</v>
      </c>
      <c r="EI11" s="231">
        <v>1009510.72</v>
      </c>
      <c r="EJ11" s="231">
        <v>368138.5</v>
      </c>
      <c r="EK11" s="231">
        <v>136646.51</v>
      </c>
      <c r="EL11" s="228">
        <v>0</v>
      </c>
      <c r="EM11" s="231">
        <v>1514295.73</v>
      </c>
      <c r="EN11" s="231">
        <v>1584133.43</v>
      </c>
      <c r="EO11" s="231">
        <v>-69837.7</v>
      </c>
      <c r="EP11" s="229">
        <v>-4.41E-2</v>
      </c>
      <c r="EQ11" s="231">
        <v>365719</v>
      </c>
      <c r="ER11" s="231">
        <v>153342</v>
      </c>
      <c r="ES11" s="231">
        <v>902203</v>
      </c>
      <c r="ET11" s="231">
        <v>593304654</v>
      </c>
      <c r="EU11" s="231">
        <v>1421264</v>
      </c>
      <c r="EV11" s="231">
        <v>1431929</v>
      </c>
      <c r="EW11" s="231">
        <v>-10665</v>
      </c>
      <c r="EX11" s="229">
        <v>-7.4000000000000003E-3</v>
      </c>
      <c r="EY11" s="229">
        <v>0.1239</v>
      </c>
    </row>
    <row r="12" spans="1:155" ht="17.25" thickBot="1" x14ac:dyDescent="0.3">
      <c r="A12" s="226">
        <v>45889</v>
      </c>
      <c r="B12" s="227" t="s">
        <v>170</v>
      </c>
      <c r="C12" s="227" t="s">
        <v>199</v>
      </c>
      <c r="D12" s="231">
        <v>1549.4</v>
      </c>
      <c r="E12" s="231">
        <v>1553</v>
      </c>
      <c r="F12" s="228">
        <v>-3.6</v>
      </c>
      <c r="G12" s="229">
        <v>-2.3E-3</v>
      </c>
      <c r="H12" s="231">
        <v>1546.1</v>
      </c>
      <c r="I12" s="231">
        <v>1548.9</v>
      </c>
      <c r="J12" s="228">
        <v>-2.8</v>
      </c>
      <c r="K12" s="229">
        <v>-1.8E-3</v>
      </c>
      <c r="L12" s="231">
        <v>1549.4</v>
      </c>
      <c r="M12" s="231">
        <v>1553</v>
      </c>
      <c r="N12" s="228">
        <v>-3.6</v>
      </c>
      <c r="O12" s="229">
        <v>-2.3E-3</v>
      </c>
      <c r="P12" s="231">
        <v>1558.2</v>
      </c>
      <c r="Q12" s="231">
        <v>1561.8</v>
      </c>
      <c r="R12" s="228">
        <v>-3.6</v>
      </c>
      <c r="S12" s="229">
        <v>-2.3E-3</v>
      </c>
      <c r="T12" s="231">
        <v>1565.5</v>
      </c>
      <c r="U12" s="231">
        <v>1568.9</v>
      </c>
      <c r="V12" s="228">
        <v>-3.4</v>
      </c>
      <c r="W12" s="229">
        <v>-2.2000000000000001E-3</v>
      </c>
      <c r="X12" s="228">
        <v>3.3</v>
      </c>
      <c r="Y12" s="228">
        <v>4.0999999999999996</v>
      </c>
      <c r="Z12" s="228">
        <v>-0.8</v>
      </c>
      <c r="AA12" s="229">
        <v>2.0999999999999999E-3</v>
      </c>
      <c r="AB12" s="228">
        <v>3.3</v>
      </c>
      <c r="AC12" s="228">
        <v>4.0999999999999996</v>
      </c>
      <c r="AD12" s="228">
        <v>-0.8</v>
      </c>
      <c r="AE12" s="229">
        <v>2.0999999999999999E-3</v>
      </c>
      <c r="AF12" s="228">
        <v>12.1</v>
      </c>
      <c r="AG12" s="228">
        <v>12.9</v>
      </c>
      <c r="AH12" s="228">
        <v>-0.8</v>
      </c>
      <c r="AI12" s="229">
        <v>7.7999999999999996E-3</v>
      </c>
      <c r="AJ12" s="228">
        <v>19.399999999999999</v>
      </c>
      <c r="AK12" s="228">
        <v>20</v>
      </c>
      <c r="AL12" s="228">
        <v>-0.6</v>
      </c>
      <c r="AM12" s="229">
        <v>1.2500000000000001E-2</v>
      </c>
      <c r="AN12" s="231">
        <v>1547.03</v>
      </c>
      <c r="AO12" s="231">
        <v>1559.23</v>
      </c>
      <c r="AP12" s="228">
        <v>0</v>
      </c>
      <c r="AQ12" s="230">
        <v>2749</v>
      </c>
      <c r="AR12" s="230">
        <v>2276</v>
      </c>
      <c r="AS12" s="228">
        <v>473</v>
      </c>
      <c r="AT12" s="229">
        <v>0.20780000000000001</v>
      </c>
      <c r="AU12" s="230">
        <v>2247</v>
      </c>
      <c r="AV12" s="230">
        <v>1931</v>
      </c>
      <c r="AW12" s="228">
        <v>316</v>
      </c>
      <c r="AX12" s="229">
        <v>0.1636</v>
      </c>
      <c r="AY12" s="228">
        <v>492</v>
      </c>
      <c r="AZ12" s="228">
        <v>329</v>
      </c>
      <c r="BA12" s="228">
        <v>163</v>
      </c>
      <c r="BB12" s="229">
        <v>0.49540000000000001</v>
      </c>
      <c r="BC12" s="228">
        <v>10</v>
      </c>
      <c r="BD12" s="228">
        <v>16</v>
      </c>
      <c r="BE12" s="228">
        <v>-6</v>
      </c>
      <c r="BF12" s="229">
        <v>-0.375</v>
      </c>
      <c r="BG12" s="230">
        <v>11044</v>
      </c>
      <c r="BH12" s="230">
        <v>7022</v>
      </c>
      <c r="BI12" s="230">
        <v>4022</v>
      </c>
      <c r="BJ12" s="229">
        <v>0.57279999999999998</v>
      </c>
      <c r="BK12" s="230">
        <v>9700</v>
      </c>
      <c r="BL12" s="230">
        <v>6610</v>
      </c>
      <c r="BM12" s="230">
        <v>3090</v>
      </c>
      <c r="BN12" s="229">
        <v>0.46750000000000003</v>
      </c>
      <c r="BO12" s="230">
        <v>23493</v>
      </c>
      <c r="BP12" s="230">
        <v>15908</v>
      </c>
      <c r="BQ12" s="230">
        <v>7585</v>
      </c>
      <c r="BR12" s="229">
        <v>0.4768</v>
      </c>
      <c r="BS12" s="230">
        <v>956060</v>
      </c>
      <c r="BT12" s="230">
        <v>952899</v>
      </c>
      <c r="BU12" s="230">
        <v>3161</v>
      </c>
      <c r="BV12" s="229">
        <v>3.3E-3</v>
      </c>
      <c r="BW12" s="230">
        <v>10809750</v>
      </c>
      <c r="BX12" s="230">
        <v>10776375</v>
      </c>
      <c r="BY12" s="230">
        <v>33375</v>
      </c>
      <c r="BZ12" s="229">
        <v>3.0999999999999999E-3</v>
      </c>
      <c r="CA12" s="230">
        <v>10316250</v>
      </c>
      <c r="CB12" s="230">
        <v>10410750</v>
      </c>
      <c r="CC12" s="230">
        <v>-94500</v>
      </c>
      <c r="CD12" s="229">
        <v>-9.1000000000000004E-3</v>
      </c>
      <c r="CE12" s="230">
        <v>480375</v>
      </c>
      <c r="CF12" s="230">
        <v>354750</v>
      </c>
      <c r="CG12" s="230">
        <v>125625</v>
      </c>
      <c r="CH12" s="229">
        <v>0.35410000000000003</v>
      </c>
      <c r="CI12" s="230">
        <v>13125</v>
      </c>
      <c r="CJ12" s="230">
        <v>10875</v>
      </c>
      <c r="CK12" s="230">
        <v>2250</v>
      </c>
      <c r="CL12" s="229">
        <v>0.2069</v>
      </c>
      <c r="CM12" s="230">
        <v>4220625</v>
      </c>
      <c r="CN12" s="230">
        <v>4279875</v>
      </c>
      <c r="CO12" s="230">
        <v>-59250</v>
      </c>
      <c r="CP12" s="229">
        <v>-1.38E-2</v>
      </c>
      <c r="CQ12" s="230">
        <v>3286125</v>
      </c>
      <c r="CR12" s="230">
        <v>3269625</v>
      </c>
      <c r="CS12" s="230">
        <v>16500</v>
      </c>
      <c r="CT12" s="229">
        <v>5.0000000000000001E-3</v>
      </c>
      <c r="CU12" s="230">
        <v>18316500</v>
      </c>
      <c r="CV12" s="230">
        <v>18325875</v>
      </c>
      <c r="CW12" s="230">
        <v>-9375</v>
      </c>
      <c r="CX12" s="229">
        <v>-5.0000000000000001E-4</v>
      </c>
      <c r="CY12" s="228">
        <v>21.02</v>
      </c>
      <c r="CZ12" s="228">
        <v>20.56</v>
      </c>
      <c r="DA12" s="228">
        <v>0.46</v>
      </c>
      <c r="DB12" s="228">
        <v>0.46</v>
      </c>
      <c r="DC12" s="228">
        <v>27.2</v>
      </c>
      <c r="DD12" s="228">
        <v>27.27</v>
      </c>
      <c r="DE12" s="228">
        <v>-6.18</v>
      </c>
      <c r="DF12" s="228">
        <v>-7.0000000000000007E-2</v>
      </c>
      <c r="DG12" s="228">
        <v>20.07</v>
      </c>
      <c r="DH12" s="228">
        <v>19.22</v>
      </c>
      <c r="DI12" s="228">
        <v>0.85</v>
      </c>
      <c r="DJ12" s="228">
        <v>0.85</v>
      </c>
      <c r="DK12" s="228">
        <v>22.11</v>
      </c>
      <c r="DL12" s="228">
        <v>21.97</v>
      </c>
      <c r="DM12" s="228">
        <v>0.14000000000000001</v>
      </c>
      <c r="DN12" s="228">
        <v>0.14000000000000001</v>
      </c>
      <c r="DO12" s="228">
        <v>0.78</v>
      </c>
      <c r="DP12" s="228">
        <v>0.76</v>
      </c>
      <c r="DQ12" s="228">
        <v>0.02</v>
      </c>
      <c r="DR12" s="229">
        <v>2.63E-2</v>
      </c>
      <c r="DS12" s="231">
        <v>1600</v>
      </c>
      <c r="DT12" s="231">
        <v>1340</v>
      </c>
      <c r="DU12" s="228">
        <v>0.88</v>
      </c>
      <c r="DV12" s="228">
        <v>0.94</v>
      </c>
      <c r="DW12" s="228">
        <v>-0.06</v>
      </c>
      <c r="DX12" s="229">
        <v>-6.3799999999999996E-2</v>
      </c>
      <c r="DY12" s="229">
        <v>4.5699999999999998E-2</v>
      </c>
      <c r="DZ12" s="230">
        <v>365625</v>
      </c>
      <c r="EA12" s="229">
        <v>5.7000000000000002E-3</v>
      </c>
      <c r="EB12" s="229">
        <v>4.5699999999999998E-2</v>
      </c>
      <c r="EC12" s="228">
        <v>12.2</v>
      </c>
      <c r="ED12" s="229">
        <v>7.9000000000000008E-3</v>
      </c>
      <c r="EE12" s="230">
        <v>448185</v>
      </c>
      <c r="EF12" s="230">
        <v>488482</v>
      </c>
      <c r="EG12" s="229">
        <v>-8.2500000000000004E-2</v>
      </c>
      <c r="EH12" s="229">
        <v>0.46879999999999999</v>
      </c>
      <c r="EI12" s="231">
        <v>65803.77</v>
      </c>
      <c r="EJ12" s="231">
        <v>55588.32</v>
      </c>
      <c r="EK12" s="231">
        <v>15971.15</v>
      </c>
      <c r="EL12" s="228">
        <v>0</v>
      </c>
      <c r="EM12" s="231">
        <v>137363.24</v>
      </c>
      <c r="EN12" s="231">
        <v>93710.22</v>
      </c>
      <c r="EO12" s="231">
        <v>43653.02</v>
      </c>
      <c r="EP12" s="229">
        <v>0.46579999999999999</v>
      </c>
      <c r="EQ12" s="231">
        <v>67762</v>
      </c>
      <c r="ER12" s="231">
        <v>47343</v>
      </c>
      <c r="ES12" s="231">
        <v>167531</v>
      </c>
      <c r="ET12" s="231">
        <v>114147881</v>
      </c>
      <c r="EU12" s="231">
        <v>282636</v>
      </c>
      <c r="EV12" s="231">
        <v>283053</v>
      </c>
      <c r="EW12" s="228">
        <v>-417</v>
      </c>
      <c r="EX12" s="229">
        <v>-1.5E-3</v>
      </c>
      <c r="EY12" s="229">
        <v>0.1605</v>
      </c>
    </row>
    <row r="13" spans="1:155" ht="17.25" thickBot="1" x14ac:dyDescent="0.3">
      <c r="A13" s="226">
        <v>45889</v>
      </c>
      <c r="B13" s="227" t="s">
        <v>227</v>
      </c>
      <c r="C13" s="227" t="s">
        <v>200</v>
      </c>
      <c r="D13" s="228">
        <v>380.05</v>
      </c>
      <c r="E13" s="228">
        <v>380.75</v>
      </c>
      <c r="F13" s="228">
        <v>-0.7</v>
      </c>
      <c r="G13" s="229">
        <v>-1.8E-3</v>
      </c>
      <c r="H13" s="228">
        <v>384.7</v>
      </c>
      <c r="I13" s="228">
        <v>385.35</v>
      </c>
      <c r="J13" s="228">
        <v>-0.65</v>
      </c>
      <c r="K13" s="229">
        <v>-1.6999999999999999E-3</v>
      </c>
      <c r="L13" s="228">
        <v>380.05</v>
      </c>
      <c r="M13" s="228">
        <v>380.75</v>
      </c>
      <c r="N13" s="228">
        <v>-0.7</v>
      </c>
      <c r="O13" s="229">
        <v>-1.8E-3</v>
      </c>
      <c r="P13" s="228">
        <v>382.25</v>
      </c>
      <c r="Q13" s="228">
        <v>382.95</v>
      </c>
      <c r="R13" s="228">
        <v>-0.7</v>
      </c>
      <c r="S13" s="229">
        <v>-1.8E-3</v>
      </c>
      <c r="T13" s="228">
        <v>384.15</v>
      </c>
      <c r="U13" s="228">
        <v>385.2</v>
      </c>
      <c r="V13" s="228">
        <v>-1.05</v>
      </c>
      <c r="W13" s="229">
        <v>-2.7000000000000001E-3</v>
      </c>
      <c r="X13" s="228">
        <v>-4.6500000000000004</v>
      </c>
      <c r="Y13" s="228">
        <v>-4.5999999999999996</v>
      </c>
      <c r="Z13" s="228">
        <v>-0.05</v>
      </c>
      <c r="AA13" s="229">
        <v>-1.21E-2</v>
      </c>
      <c r="AB13" s="228">
        <v>-4.6500000000000004</v>
      </c>
      <c r="AC13" s="228">
        <v>-4.5999999999999996</v>
      </c>
      <c r="AD13" s="228">
        <v>-0.05</v>
      </c>
      <c r="AE13" s="229">
        <v>-1.21E-2</v>
      </c>
      <c r="AF13" s="228">
        <v>-2.4500000000000002</v>
      </c>
      <c r="AG13" s="228">
        <v>-2.4</v>
      </c>
      <c r="AH13" s="228">
        <v>-0.05</v>
      </c>
      <c r="AI13" s="229">
        <v>-6.4000000000000003E-3</v>
      </c>
      <c r="AJ13" s="228">
        <v>-0.55000000000000004</v>
      </c>
      <c r="AK13" s="228">
        <v>-0.15</v>
      </c>
      <c r="AL13" s="228">
        <v>-0.4</v>
      </c>
      <c r="AM13" s="229">
        <v>-1.4E-3</v>
      </c>
      <c r="AN13" s="228">
        <v>380.13</v>
      </c>
      <c r="AO13" s="228">
        <v>382.29</v>
      </c>
      <c r="AP13" s="228">
        <v>0</v>
      </c>
      <c r="AQ13" s="230">
        <v>4657</v>
      </c>
      <c r="AR13" s="230">
        <v>5236</v>
      </c>
      <c r="AS13" s="228">
        <v>-579</v>
      </c>
      <c r="AT13" s="229">
        <v>-0.1106</v>
      </c>
      <c r="AU13" s="230">
        <v>3538</v>
      </c>
      <c r="AV13" s="230">
        <v>4349</v>
      </c>
      <c r="AW13" s="228">
        <v>-811</v>
      </c>
      <c r="AX13" s="229">
        <v>-0.1865</v>
      </c>
      <c r="AY13" s="230">
        <v>1043</v>
      </c>
      <c r="AZ13" s="228">
        <v>810</v>
      </c>
      <c r="BA13" s="228">
        <v>233</v>
      </c>
      <c r="BB13" s="229">
        <v>0.28770000000000001</v>
      </c>
      <c r="BC13" s="228">
        <v>76</v>
      </c>
      <c r="BD13" s="228">
        <v>77</v>
      </c>
      <c r="BE13" s="228">
        <v>-1</v>
      </c>
      <c r="BF13" s="229">
        <v>-1.2999999999999999E-2</v>
      </c>
      <c r="BG13" s="230">
        <v>13771</v>
      </c>
      <c r="BH13" s="230">
        <v>21260</v>
      </c>
      <c r="BI13" s="230">
        <v>-7489</v>
      </c>
      <c r="BJ13" s="229">
        <v>-0.3523</v>
      </c>
      <c r="BK13" s="230">
        <v>6426</v>
      </c>
      <c r="BL13" s="230">
        <v>14641</v>
      </c>
      <c r="BM13" s="230">
        <v>-8215</v>
      </c>
      <c r="BN13" s="229">
        <v>-0.56110000000000004</v>
      </c>
      <c r="BO13" s="230">
        <v>24854</v>
      </c>
      <c r="BP13" s="230">
        <v>41137</v>
      </c>
      <c r="BQ13" s="230">
        <v>-16283</v>
      </c>
      <c r="BR13" s="229">
        <v>-0.39579999999999999</v>
      </c>
      <c r="BS13" s="230">
        <v>5518097</v>
      </c>
      <c r="BT13" s="230">
        <v>5513809</v>
      </c>
      <c r="BU13" s="230">
        <v>4288</v>
      </c>
      <c r="BV13" s="229">
        <v>8.0000000000000004E-4</v>
      </c>
      <c r="BW13" s="230">
        <v>76693500</v>
      </c>
      <c r="BX13" s="230">
        <v>75636450</v>
      </c>
      <c r="BY13" s="230">
        <v>1057050</v>
      </c>
      <c r="BZ13" s="229">
        <v>1.4E-2</v>
      </c>
      <c r="CA13" s="230">
        <v>71329950</v>
      </c>
      <c r="CB13" s="230">
        <v>71097750</v>
      </c>
      <c r="CC13" s="230">
        <v>232200</v>
      </c>
      <c r="CD13" s="229">
        <v>3.3E-3</v>
      </c>
      <c r="CE13" s="230">
        <v>5089500</v>
      </c>
      <c r="CF13" s="230">
        <v>4288950</v>
      </c>
      <c r="CG13" s="230">
        <v>800550</v>
      </c>
      <c r="CH13" s="229">
        <v>0.1867</v>
      </c>
      <c r="CI13" s="230">
        <v>274050</v>
      </c>
      <c r="CJ13" s="230">
        <v>249750</v>
      </c>
      <c r="CK13" s="230">
        <v>24300</v>
      </c>
      <c r="CL13" s="229">
        <v>9.7299999999999998E-2</v>
      </c>
      <c r="CM13" s="230">
        <v>32540400</v>
      </c>
      <c r="CN13" s="230">
        <v>31957200</v>
      </c>
      <c r="CO13" s="230">
        <v>583200</v>
      </c>
      <c r="CP13" s="229">
        <v>1.8200000000000001E-2</v>
      </c>
      <c r="CQ13" s="230">
        <v>23037750</v>
      </c>
      <c r="CR13" s="230">
        <v>22376250</v>
      </c>
      <c r="CS13" s="230">
        <v>661500</v>
      </c>
      <c r="CT13" s="229">
        <v>2.9600000000000001E-2</v>
      </c>
      <c r="CU13" s="230">
        <v>132271650</v>
      </c>
      <c r="CV13" s="230">
        <v>129969900</v>
      </c>
      <c r="CW13" s="230">
        <v>2301750</v>
      </c>
      <c r="CX13" s="229">
        <v>1.77E-2</v>
      </c>
      <c r="CY13" s="228">
        <v>18.149999999999999</v>
      </c>
      <c r="CZ13" s="228">
        <v>18.649999999999999</v>
      </c>
      <c r="DA13" s="228">
        <v>-0.5</v>
      </c>
      <c r="DB13" s="228">
        <v>-0.5</v>
      </c>
      <c r="DC13" s="228">
        <v>30.86</v>
      </c>
      <c r="DD13" s="228">
        <v>30.94</v>
      </c>
      <c r="DE13" s="228">
        <v>-12.71</v>
      </c>
      <c r="DF13" s="228">
        <v>-0.08</v>
      </c>
      <c r="DG13" s="228">
        <v>18.14</v>
      </c>
      <c r="DH13" s="228">
        <v>18.54</v>
      </c>
      <c r="DI13" s="228">
        <v>-0.4</v>
      </c>
      <c r="DJ13" s="228">
        <v>-0.4</v>
      </c>
      <c r="DK13" s="228">
        <v>18.16</v>
      </c>
      <c r="DL13" s="228">
        <v>18.809999999999999</v>
      </c>
      <c r="DM13" s="228">
        <v>-0.65</v>
      </c>
      <c r="DN13" s="228">
        <v>-0.65</v>
      </c>
      <c r="DO13" s="228">
        <v>0.71</v>
      </c>
      <c r="DP13" s="228">
        <v>0.7</v>
      </c>
      <c r="DQ13" s="228">
        <v>0.01</v>
      </c>
      <c r="DR13" s="229">
        <v>1.43E-2</v>
      </c>
      <c r="DS13" s="228">
        <v>400</v>
      </c>
      <c r="DT13" s="228">
        <v>450</v>
      </c>
      <c r="DU13" s="228">
        <v>0.47</v>
      </c>
      <c r="DV13" s="228">
        <v>0.69</v>
      </c>
      <c r="DW13" s="228">
        <v>-0.22</v>
      </c>
      <c r="DX13" s="229">
        <v>-0.31879999999999997</v>
      </c>
      <c r="DY13" s="229">
        <v>6.9900000000000004E-2</v>
      </c>
      <c r="DZ13" s="230">
        <v>4538700</v>
      </c>
      <c r="EA13" s="229">
        <v>5.7999999999999996E-3</v>
      </c>
      <c r="EB13" s="229">
        <v>6.9900000000000004E-2</v>
      </c>
      <c r="EC13" s="228">
        <v>2.16</v>
      </c>
      <c r="ED13" s="229">
        <v>5.7000000000000002E-3</v>
      </c>
      <c r="EE13" s="230">
        <v>3699168</v>
      </c>
      <c r="EF13" s="230">
        <v>3220845</v>
      </c>
      <c r="EG13" s="229">
        <v>0.14849999999999999</v>
      </c>
      <c r="EH13" s="229">
        <v>0.6704</v>
      </c>
      <c r="EI13" s="231">
        <v>72738.080000000002</v>
      </c>
      <c r="EJ13" s="231">
        <v>33113.480000000003</v>
      </c>
      <c r="EK13" s="231">
        <v>23933.040000000001</v>
      </c>
      <c r="EL13" s="228">
        <v>0</v>
      </c>
      <c r="EM13" s="231">
        <v>129784.6</v>
      </c>
      <c r="EN13" s="231">
        <v>214499.44</v>
      </c>
      <c r="EO13" s="231">
        <v>-84714.84</v>
      </c>
      <c r="EP13" s="229">
        <v>-0.39489999999999997</v>
      </c>
      <c r="EQ13" s="231">
        <v>127944</v>
      </c>
      <c r="ER13" s="231">
        <v>87158</v>
      </c>
      <c r="ES13" s="231">
        <v>291597</v>
      </c>
      <c r="ET13" s="231">
        <v>454398477</v>
      </c>
      <c r="EU13" s="231">
        <v>506699</v>
      </c>
      <c r="EV13" s="231">
        <v>498497</v>
      </c>
      <c r="EW13" s="231">
        <v>8202</v>
      </c>
      <c r="EX13" s="229">
        <v>1.6500000000000001E-2</v>
      </c>
      <c r="EY13" s="229">
        <v>0.29110000000000003</v>
      </c>
    </row>
    <row r="14" spans="1:155" ht="17.25" thickBot="1" x14ac:dyDescent="0.3">
      <c r="A14" s="226">
        <v>45889</v>
      </c>
      <c r="B14" s="227" t="s">
        <v>170</v>
      </c>
      <c r="C14" s="227" t="s">
        <v>208</v>
      </c>
      <c r="D14" s="231">
        <v>1241.2</v>
      </c>
      <c r="E14" s="231">
        <v>1244.5999999999999</v>
      </c>
      <c r="F14" s="228">
        <v>-3.4</v>
      </c>
      <c r="G14" s="229">
        <v>-2.7000000000000001E-3</v>
      </c>
      <c r="H14" s="231">
        <v>1245.4000000000001</v>
      </c>
      <c r="I14" s="231">
        <v>1244.2</v>
      </c>
      <c r="J14" s="228">
        <v>1.2</v>
      </c>
      <c r="K14" s="229">
        <v>1E-3</v>
      </c>
      <c r="L14" s="231">
        <v>1241.2</v>
      </c>
      <c r="M14" s="231">
        <v>1244.5999999999999</v>
      </c>
      <c r="N14" s="228">
        <v>-3.4</v>
      </c>
      <c r="O14" s="229">
        <v>-2.7000000000000001E-3</v>
      </c>
      <c r="P14" s="231">
        <v>1242.5</v>
      </c>
      <c r="Q14" s="231">
        <v>1246</v>
      </c>
      <c r="R14" s="228">
        <v>-3.5</v>
      </c>
      <c r="S14" s="229">
        <v>-2.8E-3</v>
      </c>
      <c r="T14" s="231">
        <v>1245.9000000000001</v>
      </c>
      <c r="U14" s="231">
        <v>1248.5</v>
      </c>
      <c r="V14" s="228">
        <v>-2.6</v>
      </c>
      <c r="W14" s="229">
        <v>-2.0999999999999999E-3</v>
      </c>
      <c r="X14" s="228">
        <v>-4.2</v>
      </c>
      <c r="Y14" s="228">
        <v>0.4</v>
      </c>
      <c r="Z14" s="228">
        <v>-4.5999999999999996</v>
      </c>
      <c r="AA14" s="229">
        <v>-3.3999999999999998E-3</v>
      </c>
      <c r="AB14" s="228">
        <v>-4.2</v>
      </c>
      <c r="AC14" s="228">
        <v>0.4</v>
      </c>
      <c r="AD14" s="228">
        <v>-4.5999999999999996</v>
      </c>
      <c r="AE14" s="229">
        <v>-3.3999999999999998E-3</v>
      </c>
      <c r="AF14" s="228">
        <v>-2.9</v>
      </c>
      <c r="AG14" s="228">
        <v>1.8</v>
      </c>
      <c r="AH14" s="228">
        <v>-4.7</v>
      </c>
      <c r="AI14" s="229">
        <v>-2.3E-3</v>
      </c>
      <c r="AJ14" s="228">
        <v>0.5</v>
      </c>
      <c r="AK14" s="228">
        <v>4.3</v>
      </c>
      <c r="AL14" s="228">
        <v>-3.8</v>
      </c>
      <c r="AM14" s="229">
        <v>4.0000000000000002E-4</v>
      </c>
      <c r="AN14" s="231">
        <v>1242.92</v>
      </c>
      <c r="AO14" s="231">
        <v>1245.82</v>
      </c>
      <c r="AP14" s="228">
        <v>0</v>
      </c>
      <c r="AQ14" s="230">
        <v>2874</v>
      </c>
      <c r="AR14" s="230">
        <v>2938</v>
      </c>
      <c r="AS14" s="228">
        <v>-64</v>
      </c>
      <c r="AT14" s="229">
        <v>-2.18E-2</v>
      </c>
      <c r="AU14" s="230">
        <v>2196</v>
      </c>
      <c r="AV14" s="230">
        <v>2357</v>
      </c>
      <c r="AW14" s="228">
        <v>-161</v>
      </c>
      <c r="AX14" s="229">
        <v>-6.83E-2</v>
      </c>
      <c r="AY14" s="228">
        <v>665</v>
      </c>
      <c r="AZ14" s="228">
        <v>568</v>
      </c>
      <c r="BA14" s="228">
        <v>97</v>
      </c>
      <c r="BB14" s="229">
        <v>0.17080000000000001</v>
      </c>
      <c r="BC14" s="228">
        <v>13</v>
      </c>
      <c r="BD14" s="228">
        <v>13</v>
      </c>
      <c r="BE14" s="228">
        <v>0</v>
      </c>
      <c r="BF14" s="229">
        <v>0</v>
      </c>
      <c r="BG14" s="230">
        <v>5974</v>
      </c>
      <c r="BH14" s="230">
        <v>6161</v>
      </c>
      <c r="BI14" s="228">
        <v>-187</v>
      </c>
      <c r="BJ14" s="229">
        <v>-3.04E-2</v>
      </c>
      <c r="BK14" s="230">
        <v>3972</v>
      </c>
      <c r="BL14" s="230">
        <v>5261</v>
      </c>
      <c r="BM14" s="230">
        <v>-1289</v>
      </c>
      <c r="BN14" s="229">
        <v>-0.245</v>
      </c>
      <c r="BO14" s="230">
        <v>12820</v>
      </c>
      <c r="BP14" s="230">
        <v>14360</v>
      </c>
      <c r="BQ14" s="230">
        <v>-1540</v>
      </c>
      <c r="BR14" s="229">
        <v>-0.1072</v>
      </c>
      <c r="BS14" s="230">
        <v>750398</v>
      </c>
      <c r="BT14" s="230">
        <v>1091699</v>
      </c>
      <c r="BU14" s="230">
        <v>-341301</v>
      </c>
      <c r="BV14" s="229">
        <v>-0.31259999999999999</v>
      </c>
      <c r="BW14" s="230">
        <v>13430625</v>
      </c>
      <c r="BX14" s="230">
        <v>13306250</v>
      </c>
      <c r="BY14" s="230">
        <v>124375</v>
      </c>
      <c r="BZ14" s="229">
        <v>9.2999999999999992E-3</v>
      </c>
      <c r="CA14" s="230">
        <v>11991250</v>
      </c>
      <c r="CB14" s="230">
        <v>12118125</v>
      </c>
      <c r="CC14" s="230">
        <v>-126875</v>
      </c>
      <c r="CD14" s="229">
        <v>-1.0500000000000001E-2</v>
      </c>
      <c r="CE14" s="230">
        <v>1403125</v>
      </c>
      <c r="CF14" s="230">
        <v>1157500</v>
      </c>
      <c r="CG14" s="230">
        <v>245625</v>
      </c>
      <c r="CH14" s="229">
        <v>0.2122</v>
      </c>
      <c r="CI14" s="230">
        <v>36250</v>
      </c>
      <c r="CJ14" s="230">
        <v>30625</v>
      </c>
      <c r="CK14" s="230">
        <v>5625</v>
      </c>
      <c r="CL14" s="229">
        <v>0.1837</v>
      </c>
      <c r="CM14" s="230">
        <v>6592500</v>
      </c>
      <c r="CN14" s="230">
        <v>6602500</v>
      </c>
      <c r="CO14" s="230">
        <v>-10000</v>
      </c>
      <c r="CP14" s="229">
        <v>-1.5E-3</v>
      </c>
      <c r="CQ14" s="230">
        <v>5259375</v>
      </c>
      <c r="CR14" s="230">
        <v>5145000</v>
      </c>
      <c r="CS14" s="230">
        <v>114375</v>
      </c>
      <c r="CT14" s="229">
        <v>2.2200000000000001E-2</v>
      </c>
      <c r="CU14" s="230">
        <v>25282500</v>
      </c>
      <c r="CV14" s="230">
        <v>25053750</v>
      </c>
      <c r="CW14" s="230">
        <v>228750</v>
      </c>
      <c r="CX14" s="229">
        <v>9.1000000000000004E-3</v>
      </c>
      <c r="CY14" s="228">
        <v>22.69</v>
      </c>
      <c r="CZ14" s="228">
        <v>22.97</v>
      </c>
      <c r="DA14" s="228">
        <v>-0.28000000000000003</v>
      </c>
      <c r="DB14" s="228">
        <v>-0.28000000000000003</v>
      </c>
      <c r="DC14" s="228">
        <v>25.41</v>
      </c>
      <c r="DD14" s="228">
        <v>25.48</v>
      </c>
      <c r="DE14" s="228">
        <v>-2.72</v>
      </c>
      <c r="DF14" s="228">
        <v>-7.0000000000000007E-2</v>
      </c>
      <c r="DG14" s="228">
        <v>21.82</v>
      </c>
      <c r="DH14" s="228">
        <v>22.18</v>
      </c>
      <c r="DI14" s="228">
        <v>-0.36</v>
      </c>
      <c r="DJ14" s="228">
        <v>-0.36</v>
      </c>
      <c r="DK14" s="228">
        <v>24.01</v>
      </c>
      <c r="DL14" s="228">
        <v>23.89</v>
      </c>
      <c r="DM14" s="228">
        <v>0.12</v>
      </c>
      <c r="DN14" s="228">
        <v>0.12</v>
      </c>
      <c r="DO14" s="228">
        <v>0.8</v>
      </c>
      <c r="DP14" s="228">
        <v>0.78</v>
      </c>
      <c r="DQ14" s="228">
        <v>0.02</v>
      </c>
      <c r="DR14" s="229">
        <v>2.5600000000000001E-2</v>
      </c>
      <c r="DS14" s="231">
        <v>1300</v>
      </c>
      <c r="DT14" s="231">
        <v>1200</v>
      </c>
      <c r="DU14" s="228">
        <v>0.66</v>
      </c>
      <c r="DV14" s="228">
        <v>0.85</v>
      </c>
      <c r="DW14" s="228">
        <v>-0.19</v>
      </c>
      <c r="DX14" s="229">
        <v>-0.2235</v>
      </c>
      <c r="DY14" s="229">
        <v>0.1072</v>
      </c>
      <c r="DZ14" s="230">
        <v>1188125</v>
      </c>
      <c r="EA14" s="229">
        <v>1E-3</v>
      </c>
      <c r="EB14" s="229">
        <v>0.1072</v>
      </c>
      <c r="EC14" s="228">
        <v>2.9</v>
      </c>
      <c r="ED14" s="229">
        <v>2.3E-3</v>
      </c>
      <c r="EE14" s="230">
        <v>389059</v>
      </c>
      <c r="EF14" s="230">
        <v>539900</v>
      </c>
      <c r="EG14" s="229">
        <v>-0.27939999999999998</v>
      </c>
      <c r="EH14" s="229">
        <v>0.51849999999999996</v>
      </c>
      <c r="EI14" s="231">
        <v>47873.06</v>
      </c>
      <c r="EJ14" s="231">
        <v>30380.080000000002</v>
      </c>
      <c r="EK14" s="231">
        <v>22338.32</v>
      </c>
      <c r="EL14" s="228">
        <v>0</v>
      </c>
      <c r="EM14" s="231">
        <v>100591.46</v>
      </c>
      <c r="EN14" s="231">
        <v>112073.82</v>
      </c>
      <c r="EO14" s="231">
        <v>-11482.36</v>
      </c>
      <c r="EP14" s="229">
        <v>-0.10249999999999999</v>
      </c>
      <c r="EQ14" s="231">
        <v>85512</v>
      </c>
      <c r="ER14" s="231">
        <v>61407</v>
      </c>
      <c r="ES14" s="231">
        <v>166721</v>
      </c>
      <c r="ET14" s="231">
        <v>122013042</v>
      </c>
      <c r="EU14" s="231">
        <v>313639</v>
      </c>
      <c r="EV14" s="231">
        <v>311231</v>
      </c>
      <c r="EW14" s="231">
        <v>2408</v>
      </c>
      <c r="EX14" s="229">
        <v>7.7000000000000002E-3</v>
      </c>
      <c r="EY14" s="229">
        <v>0.2072</v>
      </c>
    </row>
    <row r="15" spans="1:155" ht="17.25" thickBot="1" x14ac:dyDescent="0.3">
      <c r="A15" s="226">
        <v>45889</v>
      </c>
      <c r="B15" s="227" t="s">
        <v>162</v>
      </c>
      <c r="C15" s="227" t="s">
        <v>209</v>
      </c>
      <c r="D15" s="231">
        <v>5948.5</v>
      </c>
      <c r="E15" s="231">
        <v>5958.5</v>
      </c>
      <c r="F15" s="228">
        <v>-10</v>
      </c>
      <c r="G15" s="229">
        <v>-1.6999999999999999E-3</v>
      </c>
      <c r="H15" s="231">
        <v>5937.5</v>
      </c>
      <c r="I15" s="231">
        <v>5938.5</v>
      </c>
      <c r="J15" s="228">
        <v>-1</v>
      </c>
      <c r="K15" s="229">
        <v>-2.0000000000000001E-4</v>
      </c>
      <c r="L15" s="231">
        <v>5948.5</v>
      </c>
      <c r="M15" s="231">
        <v>5958.5</v>
      </c>
      <c r="N15" s="228">
        <v>-10</v>
      </c>
      <c r="O15" s="229">
        <v>-1.6999999999999999E-3</v>
      </c>
      <c r="P15" s="231">
        <v>5983</v>
      </c>
      <c r="Q15" s="231">
        <v>5992.5</v>
      </c>
      <c r="R15" s="228">
        <v>-9.5</v>
      </c>
      <c r="S15" s="229">
        <v>-1.6000000000000001E-3</v>
      </c>
      <c r="T15" s="231">
        <v>6020</v>
      </c>
      <c r="U15" s="231">
        <v>6030</v>
      </c>
      <c r="V15" s="228">
        <v>-10</v>
      </c>
      <c r="W15" s="229">
        <v>-1.6999999999999999E-3</v>
      </c>
      <c r="X15" s="228">
        <v>11</v>
      </c>
      <c r="Y15" s="228">
        <v>20</v>
      </c>
      <c r="Z15" s="228">
        <v>-9</v>
      </c>
      <c r="AA15" s="229">
        <v>1.9E-3</v>
      </c>
      <c r="AB15" s="228">
        <v>11</v>
      </c>
      <c r="AC15" s="228">
        <v>20</v>
      </c>
      <c r="AD15" s="228">
        <v>-9</v>
      </c>
      <c r="AE15" s="229">
        <v>1.9E-3</v>
      </c>
      <c r="AF15" s="228">
        <v>45.5</v>
      </c>
      <c r="AG15" s="228">
        <v>54</v>
      </c>
      <c r="AH15" s="228">
        <v>-8.5</v>
      </c>
      <c r="AI15" s="229">
        <v>7.7000000000000002E-3</v>
      </c>
      <c r="AJ15" s="228">
        <v>82.5</v>
      </c>
      <c r="AK15" s="228">
        <v>91.5</v>
      </c>
      <c r="AL15" s="228">
        <v>-9</v>
      </c>
      <c r="AM15" s="229">
        <v>1.3899999999999999E-2</v>
      </c>
      <c r="AN15" s="231">
        <v>5941.34</v>
      </c>
      <c r="AO15" s="231">
        <v>5977.49</v>
      </c>
      <c r="AP15" s="228">
        <v>0</v>
      </c>
      <c r="AQ15" s="230">
        <v>2505</v>
      </c>
      <c r="AR15" s="230">
        <v>5169</v>
      </c>
      <c r="AS15" s="230">
        <v>-2664</v>
      </c>
      <c r="AT15" s="229">
        <v>-0.51539999999999997</v>
      </c>
      <c r="AU15" s="230">
        <v>2171</v>
      </c>
      <c r="AV15" s="230">
        <v>4367</v>
      </c>
      <c r="AW15" s="230">
        <v>-2196</v>
      </c>
      <c r="AX15" s="229">
        <v>-0.50290000000000001</v>
      </c>
      <c r="AY15" s="228">
        <v>317</v>
      </c>
      <c r="AZ15" s="228">
        <v>781</v>
      </c>
      <c r="BA15" s="228">
        <v>-464</v>
      </c>
      <c r="BB15" s="229">
        <v>-0.59409999999999996</v>
      </c>
      <c r="BC15" s="228">
        <v>17</v>
      </c>
      <c r="BD15" s="228">
        <v>21</v>
      </c>
      <c r="BE15" s="228">
        <v>-4</v>
      </c>
      <c r="BF15" s="229">
        <v>-0.1905</v>
      </c>
      <c r="BG15" s="230">
        <v>12984</v>
      </c>
      <c r="BH15" s="230">
        <v>31532</v>
      </c>
      <c r="BI15" s="230">
        <v>-18548</v>
      </c>
      <c r="BJ15" s="229">
        <v>-0.58819999999999995</v>
      </c>
      <c r="BK15" s="230">
        <v>7866</v>
      </c>
      <c r="BL15" s="230">
        <v>15232</v>
      </c>
      <c r="BM15" s="230">
        <v>-7366</v>
      </c>
      <c r="BN15" s="229">
        <v>-0.48359999999999997</v>
      </c>
      <c r="BO15" s="230">
        <v>23355</v>
      </c>
      <c r="BP15" s="230">
        <v>51933</v>
      </c>
      <c r="BQ15" s="230">
        <v>-28578</v>
      </c>
      <c r="BR15" s="229">
        <v>-0.55030000000000001</v>
      </c>
      <c r="BS15" s="230">
        <v>518522</v>
      </c>
      <c r="BT15" s="230">
        <v>857243</v>
      </c>
      <c r="BU15" s="230">
        <v>-338721</v>
      </c>
      <c r="BV15" s="229">
        <v>-0.39510000000000001</v>
      </c>
      <c r="BW15" s="230">
        <v>4167625</v>
      </c>
      <c r="BX15" s="230">
        <v>4126150</v>
      </c>
      <c r="BY15" s="230">
        <v>41475</v>
      </c>
      <c r="BZ15" s="229">
        <v>1.01E-2</v>
      </c>
      <c r="CA15" s="230">
        <v>3754450</v>
      </c>
      <c r="CB15" s="230">
        <v>3734150</v>
      </c>
      <c r="CC15" s="230">
        <v>20300</v>
      </c>
      <c r="CD15" s="229">
        <v>5.4000000000000003E-3</v>
      </c>
      <c r="CE15" s="230">
        <v>220675</v>
      </c>
      <c r="CF15" s="230">
        <v>200200</v>
      </c>
      <c r="CG15" s="230">
        <v>20475</v>
      </c>
      <c r="CH15" s="229">
        <v>0.1023</v>
      </c>
      <c r="CI15" s="230">
        <v>192500</v>
      </c>
      <c r="CJ15" s="230">
        <v>191800</v>
      </c>
      <c r="CK15" s="228">
        <v>700</v>
      </c>
      <c r="CL15" s="229">
        <v>3.5999999999999999E-3</v>
      </c>
      <c r="CM15" s="230">
        <v>2314725</v>
      </c>
      <c r="CN15" s="230">
        <v>2348325</v>
      </c>
      <c r="CO15" s="230">
        <v>-33600</v>
      </c>
      <c r="CP15" s="229">
        <v>-1.43E-2</v>
      </c>
      <c r="CQ15" s="230">
        <v>1718675</v>
      </c>
      <c r="CR15" s="230">
        <v>1787800</v>
      </c>
      <c r="CS15" s="230">
        <v>-69125</v>
      </c>
      <c r="CT15" s="229">
        <v>-3.8699999999999998E-2</v>
      </c>
      <c r="CU15" s="230">
        <v>8201025</v>
      </c>
      <c r="CV15" s="230">
        <v>8262275</v>
      </c>
      <c r="CW15" s="230">
        <v>-61250</v>
      </c>
      <c r="CX15" s="229">
        <v>-7.4000000000000003E-3</v>
      </c>
      <c r="CY15" s="228">
        <v>20.48</v>
      </c>
      <c r="CZ15" s="228">
        <v>20.56</v>
      </c>
      <c r="DA15" s="228">
        <v>-0.08</v>
      </c>
      <c r="DB15" s="228">
        <v>-0.08</v>
      </c>
      <c r="DC15" s="228">
        <v>28.97</v>
      </c>
      <c r="DD15" s="228">
        <v>29.04</v>
      </c>
      <c r="DE15" s="228">
        <v>-8.49</v>
      </c>
      <c r="DF15" s="228">
        <v>-7.0000000000000007E-2</v>
      </c>
      <c r="DG15" s="228">
        <v>20.09</v>
      </c>
      <c r="DH15" s="228">
        <v>20.25</v>
      </c>
      <c r="DI15" s="228">
        <v>-0.16</v>
      </c>
      <c r="DJ15" s="228">
        <v>-0.16</v>
      </c>
      <c r="DK15" s="228">
        <v>21.13</v>
      </c>
      <c r="DL15" s="228">
        <v>21.22</v>
      </c>
      <c r="DM15" s="228">
        <v>-0.09</v>
      </c>
      <c r="DN15" s="228">
        <v>-0.09</v>
      </c>
      <c r="DO15" s="228">
        <v>0.74</v>
      </c>
      <c r="DP15" s="228">
        <v>0.76</v>
      </c>
      <c r="DQ15" s="228">
        <v>-0.02</v>
      </c>
      <c r="DR15" s="229">
        <v>-2.63E-2</v>
      </c>
      <c r="DS15" s="231">
        <v>6000</v>
      </c>
      <c r="DT15" s="231">
        <v>5600</v>
      </c>
      <c r="DU15" s="228">
        <v>0.61</v>
      </c>
      <c r="DV15" s="228">
        <v>0.48</v>
      </c>
      <c r="DW15" s="228">
        <v>0.13</v>
      </c>
      <c r="DX15" s="229">
        <v>0.27079999999999999</v>
      </c>
      <c r="DY15" s="229">
        <v>9.9099999999999994E-2</v>
      </c>
      <c r="DZ15" s="230">
        <v>392000</v>
      </c>
      <c r="EA15" s="229">
        <v>5.7999999999999996E-3</v>
      </c>
      <c r="EB15" s="229">
        <v>9.9099999999999994E-2</v>
      </c>
      <c r="EC15" s="228">
        <v>36.15</v>
      </c>
      <c r="ED15" s="229">
        <v>6.1000000000000004E-3</v>
      </c>
      <c r="EE15" s="230">
        <v>374421</v>
      </c>
      <c r="EF15" s="230">
        <v>543147</v>
      </c>
      <c r="EG15" s="229">
        <v>-0.31059999999999999</v>
      </c>
      <c r="EH15" s="229">
        <v>0.72209999999999996</v>
      </c>
      <c r="EI15" s="231">
        <v>138649.32</v>
      </c>
      <c r="EJ15" s="231">
        <v>79790.720000000001</v>
      </c>
      <c r="EK15" s="231">
        <v>26067.439999999999</v>
      </c>
      <c r="EL15" s="228">
        <v>0</v>
      </c>
      <c r="EM15" s="231">
        <v>244507.48</v>
      </c>
      <c r="EN15" s="231">
        <v>547594.01</v>
      </c>
      <c r="EO15" s="231">
        <v>-303086.53000000003</v>
      </c>
      <c r="EP15" s="229">
        <v>-0.55349999999999999</v>
      </c>
      <c r="EQ15" s="231">
        <v>138253</v>
      </c>
      <c r="ER15" s="231">
        <v>96543</v>
      </c>
      <c r="ES15" s="231">
        <v>248125</v>
      </c>
      <c r="ET15" s="231">
        <v>27937459</v>
      </c>
      <c r="EU15" s="231">
        <v>482921</v>
      </c>
      <c r="EV15" s="231">
        <v>486848</v>
      </c>
      <c r="EW15" s="231">
        <v>-3927</v>
      </c>
      <c r="EX15" s="229">
        <v>-8.0999999999999996E-3</v>
      </c>
      <c r="EY15" s="229">
        <v>0.29349999999999998</v>
      </c>
    </row>
    <row r="16" spans="1:155" ht="17.25" thickBot="1" x14ac:dyDescent="0.3">
      <c r="A16" s="226">
        <v>45889</v>
      </c>
      <c r="B16" s="227" t="s">
        <v>616</v>
      </c>
      <c r="C16" s="227" t="s">
        <v>669</v>
      </c>
      <c r="D16" s="228">
        <v>326.3</v>
      </c>
      <c r="E16" s="228">
        <v>321.7</v>
      </c>
      <c r="F16" s="228">
        <v>4.5999999999999996</v>
      </c>
      <c r="G16" s="229">
        <v>1.43E-2</v>
      </c>
      <c r="H16" s="228">
        <v>326.55</v>
      </c>
      <c r="I16" s="228">
        <v>321.45</v>
      </c>
      <c r="J16" s="228">
        <v>5.0999999999999996</v>
      </c>
      <c r="K16" s="229">
        <v>1.5900000000000001E-2</v>
      </c>
      <c r="L16" s="228">
        <v>326.3</v>
      </c>
      <c r="M16" s="228">
        <v>321.7</v>
      </c>
      <c r="N16" s="228">
        <v>4.5999999999999996</v>
      </c>
      <c r="O16" s="229">
        <v>1.43E-2</v>
      </c>
      <c r="P16" s="228">
        <v>328.1</v>
      </c>
      <c r="Q16" s="228">
        <v>323.64999999999998</v>
      </c>
      <c r="R16" s="228">
        <v>4.45</v>
      </c>
      <c r="S16" s="229">
        <v>1.37E-2</v>
      </c>
      <c r="T16" s="228">
        <v>329.75</v>
      </c>
      <c r="U16" s="228">
        <v>325</v>
      </c>
      <c r="V16" s="228">
        <v>4.75</v>
      </c>
      <c r="W16" s="229">
        <v>1.46E-2</v>
      </c>
      <c r="X16" s="228">
        <v>-0.25</v>
      </c>
      <c r="Y16" s="228">
        <v>0.25</v>
      </c>
      <c r="Z16" s="228">
        <v>-0.5</v>
      </c>
      <c r="AA16" s="229">
        <v>-8.0000000000000004E-4</v>
      </c>
      <c r="AB16" s="228">
        <v>-0.25</v>
      </c>
      <c r="AC16" s="228">
        <v>0.25</v>
      </c>
      <c r="AD16" s="228">
        <v>-0.5</v>
      </c>
      <c r="AE16" s="229">
        <v>-8.0000000000000004E-4</v>
      </c>
      <c r="AF16" s="228">
        <v>1.55</v>
      </c>
      <c r="AG16" s="228">
        <v>2.2000000000000002</v>
      </c>
      <c r="AH16" s="228">
        <v>-0.65</v>
      </c>
      <c r="AI16" s="229">
        <v>4.7000000000000002E-3</v>
      </c>
      <c r="AJ16" s="228">
        <v>3.2</v>
      </c>
      <c r="AK16" s="228">
        <v>3.55</v>
      </c>
      <c r="AL16" s="228">
        <v>-0.35</v>
      </c>
      <c r="AM16" s="229">
        <v>9.7999999999999997E-3</v>
      </c>
      <c r="AN16" s="228">
        <v>327.06</v>
      </c>
      <c r="AO16" s="228">
        <v>329.15</v>
      </c>
      <c r="AP16" s="228">
        <v>0</v>
      </c>
      <c r="AQ16" s="230">
        <v>27654</v>
      </c>
      <c r="AR16" s="230">
        <v>20402</v>
      </c>
      <c r="AS16" s="230">
        <v>7252</v>
      </c>
      <c r="AT16" s="229">
        <v>0.35549999999999998</v>
      </c>
      <c r="AU16" s="230">
        <v>23660</v>
      </c>
      <c r="AV16" s="230">
        <v>16241</v>
      </c>
      <c r="AW16" s="230">
        <v>7419</v>
      </c>
      <c r="AX16" s="229">
        <v>0.45679999999999998</v>
      </c>
      <c r="AY16" s="230">
        <v>3693</v>
      </c>
      <c r="AZ16" s="230">
        <v>3879</v>
      </c>
      <c r="BA16" s="228">
        <v>-186</v>
      </c>
      <c r="BB16" s="229">
        <v>-4.8000000000000001E-2</v>
      </c>
      <c r="BC16" s="228">
        <v>301</v>
      </c>
      <c r="BD16" s="228">
        <v>282</v>
      </c>
      <c r="BE16" s="228">
        <v>19</v>
      </c>
      <c r="BF16" s="229">
        <v>6.7400000000000002E-2</v>
      </c>
      <c r="BG16" s="230">
        <v>112505</v>
      </c>
      <c r="BH16" s="230">
        <v>60907</v>
      </c>
      <c r="BI16" s="230">
        <v>51598</v>
      </c>
      <c r="BJ16" s="229">
        <v>0.84719999999999995</v>
      </c>
      <c r="BK16" s="230">
        <v>52299</v>
      </c>
      <c r="BL16" s="230">
        <v>33407</v>
      </c>
      <c r="BM16" s="230">
        <v>18892</v>
      </c>
      <c r="BN16" s="229">
        <v>0.5655</v>
      </c>
      <c r="BO16" s="230">
        <v>192458</v>
      </c>
      <c r="BP16" s="230">
        <v>114716</v>
      </c>
      <c r="BQ16" s="230">
        <v>77742</v>
      </c>
      <c r="BR16" s="229">
        <v>0.67769999999999997</v>
      </c>
      <c r="BS16" s="230">
        <v>58189898</v>
      </c>
      <c r="BT16" s="230">
        <v>37527865</v>
      </c>
      <c r="BU16" s="230">
        <v>20662033</v>
      </c>
      <c r="BV16" s="229">
        <v>0.55059999999999998</v>
      </c>
      <c r="BW16" s="230">
        <v>234245300</v>
      </c>
      <c r="BX16" s="230">
        <v>239633650</v>
      </c>
      <c r="BY16" s="230">
        <v>-5388350</v>
      </c>
      <c r="BZ16" s="229">
        <v>-2.2499999999999999E-2</v>
      </c>
      <c r="CA16" s="230">
        <v>221181825</v>
      </c>
      <c r="CB16" s="230">
        <v>229101875</v>
      </c>
      <c r="CC16" s="230">
        <v>-7920050</v>
      </c>
      <c r="CD16" s="229">
        <v>-3.4599999999999999E-2</v>
      </c>
      <c r="CE16" s="230">
        <v>11865525</v>
      </c>
      <c r="CF16" s="230">
        <v>9404150</v>
      </c>
      <c r="CG16" s="230">
        <v>2461375</v>
      </c>
      <c r="CH16" s="229">
        <v>0.26169999999999999</v>
      </c>
      <c r="CI16" s="230">
        <v>1197950</v>
      </c>
      <c r="CJ16" s="230">
        <v>1127625</v>
      </c>
      <c r="CK16" s="230">
        <v>70325</v>
      </c>
      <c r="CL16" s="229">
        <v>6.2399999999999997E-2</v>
      </c>
      <c r="CM16" s="230">
        <v>72616625</v>
      </c>
      <c r="CN16" s="230">
        <v>62225500</v>
      </c>
      <c r="CO16" s="230">
        <v>10391125</v>
      </c>
      <c r="CP16" s="229">
        <v>0.16700000000000001</v>
      </c>
      <c r="CQ16" s="230">
        <v>58765025</v>
      </c>
      <c r="CR16" s="230">
        <v>54072650</v>
      </c>
      <c r="CS16" s="230">
        <v>4692375</v>
      </c>
      <c r="CT16" s="229">
        <v>8.6800000000000002E-2</v>
      </c>
      <c r="CU16" s="230">
        <v>365626950</v>
      </c>
      <c r="CV16" s="230">
        <v>355931800</v>
      </c>
      <c r="CW16" s="230">
        <v>9695150</v>
      </c>
      <c r="CX16" s="229">
        <v>2.7199999999999998E-2</v>
      </c>
      <c r="CY16" s="228">
        <v>34.35</v>
      </c>
      <c r="CZ16" s="228">
        <v>32.21</v>
      </c>
      <c r="DA16" s="228">
        <v>2.14</v>
      </c>
      <c r="DB16" s="228">
        <v>2.14</v>
      </c>
      <c r="DC16" s="228">
        <v>49.1</v>
      </c>
      <c r="DD16" s="228">
        <v>49.17</v>
      </c>
      <c r="DE16" s="228">
        <v>-14.75</v>
      </c>
      <c r="DF16" s="228">
        <v>-7.0000000000000007E-2</v>
      </c>
      <c r="DG16" s="228">
        <v>33.659999999999997</v>
      </c>
      <c r="DH16" s="228">
        <v>30.63</v>
      </c>
      <c r="DI16" s="228">
        <v>3.03</v>
      </c>
      <c r="DJ16" s="228">
        <v>3.03</v>
      </c>
      <c r="DK16" s="228">
        <v>35.83</v>
      </c>
      <c r="DL16" s="228">
        <v>35.07</v>
      </c>
      <c r="DM16" s="228">
        <v>0.76</v>
      </c>
      <c r="DN16" s="228">
        <v>0.76</v>
      </c>
      <c r="DO16" s="228">
        <v>0.81</v>
      </c>
      <c r="DP16" s="228">
        <v>0.87</v>
      </c>
      <c r="DQ16" s="228">
        <v>-0.06</v>
      </c>
      <c r="DR16" s="229">
        <v>-6.9000000000000006E-2</v>
      </c>
      <c r="DS16" s="228">
        <v>320</v>
      </c>
      <c r="DT16" s="228">
        <v>300</v>
      </c>
      <c r="DU16" s="228">
        <v>0.46</v>
      </c>
      <c r="DV16" s="228">
        <v>0.55000000000000004</v>
      </c>
      <c r="DW16" s="228">
        <v>-0.09</v>
      </c>
      <c r="DX16" s="229">
        <v>-0.1636</v>
      </c>
      <c r="DY16" s="229">
        <v>5.5800000000000002E-2</v>
      </c>
      <c r="DZ16" s="230">
        <v>10531775</v>
      </c>
      <c r="EA16" s="229">
        <v>5.4999999999999997E-3</v>
      </c>
      <c r="EB16" s="229">
        <v>5.5800000000000002E-2</v>
      </c>
      <c r="EC16" s="228">
        <v>2.09</v>
      </c>
      <c r="ED16" s="229">
        <v>6.4000000000000003E-3</v>
      </c>
      <c r="EE16" s="230">
        <v>31742582</v>
      </c>
      <c r="EF16" s="230">
        <v>21729789</v>
      </c>
      <c r="EG16" s="229">
        <v>0.46079999999999999</v>
      </c>
      <c r="EH16" s="229">
        <v>0.54549999999999998</v>
      </c>
      <c r="EI16" s="231">
        <v>921259.37</v>
      </c>
      <c r="EJ16" s="231">
        <v>404612.79</v>
      </c>
      <c r="EK16" s="231">
        <v>219542.8</v>
      </c>
      <c r="EL16" s="228">
        <v>0</v>
      </c>
      <c r="EM16" s="231">
        <v>1545414.96</v>
      </c>
      <c r="EN16" s="231">
        <v>895217.83</v>
      </c>
      <c r="EO16" s="231">
        <v>650197.13</v>
      </c>
      <c r="EP16" s="229">
        <v>0.72629999999999995</v>
      </c>
      <c r="EQ16" s="231">
        <v>233750</v>
      </c>
      <c r="ER16" s="231">
        <v>175006</v>
      </c>
      <c r="ES16" s="231">
        <v>764597</v>
      </c>
      <c r="ET16" s="231">
        <v>1815984389</v>
      </c>
      <c r="EU16" s="231">
        <v>1173353</v>
      </c>
      <c r="EV16" s="231">
        <v>1127543</v>
      </c>
      <c r="EW16" s="231">
        <v>45810</v>
      </c>
      <c r="EX16" s="229">
        <v>4.0599999999999997E-2</v>
      </c>
      <c r="EY16" s="229">
        <v>0.20130000000000001</v>
      </c>
    </row>
    <row r="17" spans="1:155" ht="17.25" thickBot="1" x14ac:dyDescent="0.3">
      <c r="A17" s="226">
        <v>45889</v>
      </c>
      <c r="B17" s="227" t="s">
        <v>157</v>
      </c>
      <c r="C17" s="227" t="s">
        <v>219</v>
      </c>
      <c r="D17" s="231">
        <v>2870.2</v>
      </c>
      <c r="E17" s="231">
        <v>2831</v>
      </c>
      <c r="F17" s="228">
        <v>39.200000000000003</v>
      </c>
      <c r="G17" s="229">
        <v>1.38E-2</v>
      </c>
      <c r="H17" s="231">
        <v>2864.9</v>
      </c>
      <c r="I17" s="231">
        <v>2828.3</v>
      </c>
      <c r="J17" s="228">
        <v>36.6</v>
      </c>
      <c r="K17" s="229">
        <v>1.29E-2</v>
      </c>
      <c r="L17" s="231">
        <v>2870.2</v>
      </c>
      <c r="M17" s="231">
        <v>2831</v>
      </c>
      <c r="N17" s="228">
        <v>39.200000000000003</v>
      </c>
      <c r="O17" s="229">
        <v>1.38E-2</v>
      </c>
      <c r="P17" s="231">
        <v>2886.4</v>
      </c>
      <c r="Q17" s="231">
        <v>2848.1</v>
      </c>
      <c r="R17" s="228">
        <v>38.299999999999997</v>
      </c>
      <c r="S17" s="229">
        <v>1.34E-2</v>
      </c>
      <c r="T17" s="231">
        <v>2901.4</v>
      </c>
      <c r="U17" s="231">
        <v>2864</v>
      </c>
      <c r="V17" s="228">
        <v>37.4</v>
      </c>
      <c r="W17" s="229">
        <v>1.3100000000000001E-2</v>
      </c>
      <c r="X17" s="228">
        <v>5.3</v>
      </c>
      <c r="Y17" s="228">
        <v>2.7</v>
      </c>
      <c r="Z17" s="228">
        <v>2.6</v>
      </c>
      <c r="AA17" s="229">
        <v>1.8E-3</v>
      </c>
      <c r="AB17" s="228">
        <v>5.3</v>
      </c>
      <c r="AC17" s="228">
        <v>2.7</v>
      </c>
      <c r="AD17" s="228">
        <v>2.6</v>
      </c>
      <c r="AE17" s="229">
        <v>1.8E-3</v>
      </c>
      <c r="AF17" s="228">
        <v>21.5</v>
      </c>
      <c r="AG17" s="228">
        <v>19.8</v>
      </c>
      <c r="AH17" s="228">
        <v>1.7</v>
      </c>
      <c r="AI17" s="229">
        <v>7.4999999999999997E-3</v>
      </c>
      <c r="AJ17" s="228">
        <v>36.5</v>
      </c>
      <c r="AK17" s="228">
        <v>35.700000000000003</v>
      </c>
      <c r="AL17" s="228">
        <v>0.8</v>
      </c>
      <c r="AM17" s="229">
        <v>1.2699999999999999E-2</v>
      </c>
      <c r="AN17" s="231">
        <v>2851.56</v>
      </c>
      <c r="AO17" s="231">
        <v>2874.12</v>
      </c>
      <c r="AP17" s="228">
        <v>0</v>
      </c>
      <c r="AQ17" s="230">
        <v>6578</v>
      </c>
      <c r="AR17" s="230">
        <v>2576</v>
      </c>
      <c r="AS17" s="230">
        <v>4002</v>
      </c>
      <c r="AT17" s="229">
        <v>1.5536000000000001</v>
      </c>
      <c r="AU17" s="230">
        <v>5748</v>
      </c>
      <c r="AV17" s="230">
        <v>2259</v>
      </c>
      <c r="AW17" s="230">
        <v>3489</v>
      </c>
      <c r="AX17" s="229">
        <v>1.5445</v>
      </c>
      <c r="AY17" s="228">
        <v>799</v>
      </c>
      <c r="AZ17" s="228">
        <v>296</v>
      </c>
      <c r="BA17" s="228">
        <v>503</v>
      </c>
      <c r="BB17" s="229">
        <v>1.6993</v>
      </c>
      <c r="BC17" s="228">
        <v>31</v>
      </c>
      <c r="BD17" s="228">
        <v>21</v>
      </c>
      <c r="BE17" s="228">
        <v>10</v>
      </c>
      <c r="BF17" s="229">
        <v>0.47620000000000001</v>
      </c>
      <c r="BG17" s="230">
        <v>35150</v>
      </c>
      <c r="BH17" s="230">
        <v>14171</v>
      </c>
      <c r="BI17" s="230">
        <v>20979</v>
      </c>
      <c r="BJ17" s="229">
        <v>1.4803999999999999</v>
      </c>
      <c r="BK17" s="230">
        <v>10923</v>
      </c>
      <c r="BL17" s="230">
        <v>8203</v>
      </c>
      <c r="BM17" s="230">
        <v>2720</v>
      </c>
      <c r="BN17" s="229">
        <v>0.33160000000000001</v>
      </c>
      <c r="BO17" s="230">
        <v>52651</v>
      </c>
      <c r="BP17" s="230">
        <v>24950</v>
      </c>
      <c r="BQ17" s="230">
        <v>27701</v>
      </c>
      <c r="BR17" s="229">
        <v>1.1103000000000001</v>
      </c>
      <c r="BS17" s="230">
        <v>938208</v>
      </c>
      <c r="BT17" s="230">
        <v>382639</v>
      </c>
      <c r="BU17" s="230">
        <v>555569</v>
      </c>
      <c r="BV17" s="229">
        <v>1.4519</v>
      </c>
      <c r="BW17" s="230">
        <v>13435500</v>
      </c>
      <c r="BX17" s="230">
        <v>13807500</v>
      </c>
      <c r="BY17" s="230">
        <v>-372000</v>
      </c>
      <c r="BZ17" s="229">
        <v>-2.69E-2</v>
      </c>
      <c r="CA17" s="230">
        <v>13111750</v>
      </c>
      <c r="CB17" s="230">
        <v>13585750</v>
      </c>
      <c r="CC17" s="230">
        <v>-474000</v>
      </c>
      <c r="CD17" s="229">
        <v>-3.49E-2</v>
      </c>
      <c r="CE17" s="230">
        <v>310500</v>
      </c>
      <c r="CF17" s="230">
        <v>209250</v>
      </c>
      <c r="CG17" s="230">
        <v>101250</v>
      </c>
      <c r="CH17" s="229">
        <v>0.4839</v>
      </c>
      <c r="CI17" s="230">
        <v>13250</v>
      </c>
      <c r="CJ17" s="230">
        <v>12500</v>
      </c>
      <c r="CK17" s="228">
        <v>750</v>
      </c>
      <c r="CL17" s="229">
        <v>0.06</v>
      </c>
      <c r="CM17" s="230">
        <v>2077250</v>
      </c>
      <c r="CN17" s="230">
        <v>1933250</v>
      </c>
      <c r="CO17" s="230">
        <v>144000</v>
      </c>
      <c r="CP17" s="229">
        <v>7.4499999999999997E-2</v>
      </c>
      <c r="CQ17" s="230">
        <v>1504250</v>
      </c>
      <c r="CR17" s="230">
        <v>1387250</v>
      </c>
      <c r="CS17" s="230">
        <v>117000</v>
      </c>
      <c r="CT17" s="229">
        <v>8.43E-2</v>
      </c>
      <c r="CU17" s="230">
        <v>17017000</v>
      </c>
      <c r="CV17" s="230">
        <v>17128000</v>
      </c>
      <c r="CW17" s="230">
        <v>-111000</v>
      </c>
      <c r="CX17" s="229">
        <v>-6.4999999999999997E-3</v>
      </c>
      <c r="CY17" s="228">
        <v>20.95</v>
      </c>
      <c r="CZ17" s="228">
        <v>19.059999999999999</v>
      </c>
      <c r="DA17" s="228">
        <v>1.89</v>
      </c>
      <c r="DB17" s="228">
        <v>1.89</v>
      </c>
      <c r="DC17" s="228">
        <v>27.15</v>
      </c>
      <c r="DD17" s="228">
        <v>27.16</v>
      </c>
      <c r="DE17" s="228">
        <v>-6.2</v>
      </c>
      <c r="DF17" s="228">
        <v>-0.01</v>
      </c>
      <c r="DG17" s="228">
        <v>20.91</v>
      </c>
      <c r="DH17" s="228">
        <v>18.93</v>
      </c>
      <c r="DI17" s="228">
        <v>1.98</v>
      </c>
      <c r="DJ17" s="228">
        <v>1.98</v>
      </c>
      <c r="DK17" s="228">
        <v>21.08</v>
      </c>
      <c r="DL17" s="228">
        <v>19.28</v>
      </c>
      <c r="DM17" s="228">
        <v>1.8</v>
      </c>
      <c r="DN17" s="228">
        <v>1.8</v>
      </c>
      <c r="DO17" s="228">
        <v>0.72</v>
      </c>
      <c r="DP17" s="228">
        <v>0.72</v>
      </c>
      <c r="DQ17" s="228">
        <v>0</v>
      </c>
      <c r="DR17" s="229">
        <v>0</v>
      </c>
      <c r="DS17" s="231">
        <v>2900</v>
      </c>
      <c r="DT17" s="231">
        <v>2700</v>
      </c>
      <c r="DU17" s="228">
        <v>0.31</v>
      </c>
      <c r="DV17" s="228">
        <v>0.57999999999999996</v>
      </c>
      <c r="DW17" s="228">
        <v>-0.27</v>
      </c>
      <c r="DX17" s="229">
        <v>-0.46550000000000002</v>
      </c>
      <c r="DY17" s="229">
        <v>2.41E-2</v>
      </c>
      <c r="DZ17" s="230">
        <v>221750</v>
      </c>
      <c r="EA17" s="229">
        <v>5.5999999999999999E-3</v>
      </c>
      <c r="EB17" s="229">
        <v>2.41E-2</v>
      </c>
      <c r="EC17" s="228">
        <v>22.56</v>
      </c>
      <c r="ED17" s="229">
        <v>7.9000000000000008E-3</v>
      </c>
      <c r="EE17" s="230">
        <v>646663</v>
      </c>
      <c r="EF17" s="230">
        <v>169145</v>
      </c>
      <c r="EG17" s="229">
        <v>2.8231000000000002</v>
      </c>
      <c r="EH17" s="229">
        <v>0.68930000000000002</v>
      </c>
      <c r="EI17" s="231">
        <v>258652.86</v>
      </c>
      <c r="EJ17" s="231">
        <v>76553.350000000006</v>
      </c>
      <c r="EK17" s="231">
        <v>46941.77</v>
      </c>
      <c r="EL17" s="228">
        <v>0</v>
      </c>
      <c r="EM17" s="231">
        <v>382147.98</v>
      </c>
      <c r="EN17" s="231">
        <v>178243.55</v>
      </c>
      <c r="EO17" s="231">
        <v>203904.43</v>
      </c>
      <c r="EP17" s="229">
        <v>1.1439999999999999</v>
      </c>
      <c r="EQ17" s="231">
        <v>60603</v>
      </c>
      <c r="ER17" s="231">
        <v>40532</v>
      </c>
      <c r="ES17" s="231">
        <v>385680</v>
      </c>
      <c r="ET17" s="231">
        <v>77028315</v>
      </c>
      <c r="EU17" s="231">
        <v>486815</v>
      </c>
      <c r="EV17" s="231">
        <v>484339</v>
      </c>
      <c r="EW17" s="231">
        <v>2476</v>
      </c>
      <c r="EX17" s="229">
        <v>5.1000000000000004E-3</v>
      </c>
      <c r="EY17" s="229">
        <v>0.22090000000000001</v>
      </c>
    </row>
    <row r="18" spans="1:155" ht="17.25" thickBot="1" x14ac:dyDescent="0.3">
      <c r="A18" s="226">
        <v>45889</v>
      </c>
      <c r="B18" s="227" t="s">
        <v>221</v>
      </c>
      <c r="C18" s="227" t="s">
        <v>222</v>
      </c>
      <c r="D18" s="231">
        <v>1499.2</v>
      </c>
      <c r="E18" s="231">
        <v>1481.4</v>
      </c>
      <c r="F18" s="228">
        <v>17.8</v>
      </c>
      <c r="G18" s="229">
        <v>1.2E-2</v>
      </c>
      <c r="H18" s="231">
        <v>1496</v>
      </c>
      <c r="I18" s="231">
        <v>1476.1</v>
      </c>
      <c r="J18" s="228">
        <v>19.899999999999999</v>
      </c>
      <c r="K18" s="229">
        <v>1.35E-2</v>
      </c>
      <c r="L18" s="231">
        <v>1499.2</v>
      </c>
      <c r="M18" s="231">
        <v>1481.4</v>
      </c>
      <c r="N18" s="228">
        <v>17.8</v>
      </c>
      <c r="O18" s="229">
        <v>1.2E-2</v>
      </c>
      <c r="P18" s="231">
        <v>1507.4</v>
      </c>
      <c r="Q18" s="231">
        <v>1490.4</v>
      </c>
      <c r="R18" s="228">
        <v>17</v>
      </c>
      <c r="S18" s="229">
        <v>1.14E-2</v>
      </c>
      <c r="T18" s="231">
        <v>1502.6</v>
      </c>
      <c r="U18" s="231">
        <v>1487.8</v>
      </c>
      <c r="V18" s="228">
        <v>14.8</v>
      </c>
      <c r="W18" s="229">
        <v>9.9000000000000008E-3</v>
      </c>
      <c r="X18" s="228">
        <v>3.2</v>
      </c>
      <c r="Y18" s="228">
        <v>5.3</v>
      </c>
      <c r="Z18" s="228">
        <v>-2.1</v>
      </c>
      <c r="AA18" s="229">
        <v>2.0999999999999999E-3</v>
      </c>
      <c r="AB18" s="228">
        <v>3.2</v>
      </c>
      <c r="AC18" s="228">
        <v>5.3</v>
      </c>
      <c r="AD18" s="228">
        <v>-2.1</v>
      </c>
      <c r="AE18" s="229">
        <v>2.0999999999999999E-3</v>
      </c>
      <c r="AF18" s="228">
        <v>11.4</v>
      </c>
      <c r="AG18" s="228">
        <v>14.3</v>
      </c>
      <c r="AH18" s="228">
        <v>-2.9</v>
      </c>
      <c r="AI18" s="229">
        <v>7.6E-3</v>
      </c>
      <c r="AJ18" s="228">
        <v>6.6</v>
      </c>
      <c r="AK18" s="228">
        <v>11.7</v>
      </c>
      <c r="AL18" s="228">
        <v>-5.0999999999999996</v>
      </c>
      <c r="AM18" s="229">
        <v>4.4000000000000003E-3</v>
      </c>
      <c r="AN18" s="231">
        <v>1484.33</v>
      </c>
      <c r="AO18" s="231">
        <v>1492.66</v>
      </c>
      <c r="AP18" s="228">
        <v>0</v>
      </c>
      <c r="AQ18" s="230">
        <v>29613</v>
      </c>
      <c r="AR18" s="230">
        <v>7654</v>
      </c>
      <c r="AS18" s="230">
        <v>21959</v>
      </c>
      <c r="AT18" s="229">
        <v>2.8690000000000002</v>
      </c>
      <c r="AU18" s="230">
        <v>20711</v>
      </c>
      <c r="AV18" s="230">
        <v>6506</v>
      </c>
      <c r="AW18" s="230">
        <v>14205</v>
      </c>
      <c r="AX18" s="229">
        <v>2.1833999999999998</v>
      </c>
      <c r="AY18" s="230">
        <v>8478</v>
      </c>
      <c r="AZ18" s="228">
        <v>973</v>
      </c>
      <c r="BA18" s="230">
        <v>7505</v>
      </c>
      <c r="BB18" s="229">
        <v>7.7133000000000003</v>
      </c>
      <c r="BC18" s="228">
        <v>424</v>
      </c>
      <c r="BD18" s="228">
        <v>175</v>
      </c>
      <c r="BE18" s="228">
        <v>249</v>
      </c>
      <c r="BF18" s="229">
        <v>1.4229000000000001</v>
      </c>
      <c r="BG18" s="230">
        <v>86047</v>
      </c>
      <c r="BH18" s="230">
        <v>26491</v>
      </c>
      <c r="BI18" s="230">
        <v>59556</v>
      </c>
      <c r="BJ18" s="229">
        <v>2.2482000000000002</v>
      </c>
      <c r="BK18" s="230">
        <v>30503</v>
      </c>
      <c r="BL18" s="230">
        <v>12607</v>
      </c>
      <c r="BM18" s="230">
        <v>17896</v>
      </c>
      <c r="BN18" s="229">
        <v>1.4195</v>
      </c>
      <c r="BO18" s="230">
        <v>146163</v>
      </c>
      <c r="BP18" s="230">
        <v>46752</v>
      </c>
      <c r="BQ18" s="230">
        <v>99411</v>
      </c>
      <c r="BR18" s="229">
        <v>2.1263000000000001</v>
      </c>
      <c r="BS18" s="230">
        <v>10577486</v>
      </c>
      <c r="BT18" s="230">
        <v>2568321</v>
      </c>
      <c r="BU18" s="230">
        <v>8009165</v>
      </c>
      <c r="BV18" s="229">
        <v>3.1183999999999998</v>
      </c>
      <c r="BW18" s="230">
        <v>20309450</v>
      </c>
      <c r="BX18" s="230">
        <v>18012750</v>
      </c>
      <c r="BY18" s="230">
        <v>2296700</v>
      </c>
      <c r="BZ18" s="229">
        <v>0.1275</v>
      </c>
      <c r="CA18" s="230">
        <v>16907100</v>
      </c>
      <c r="CB18" s="230">
        <v>16602600</v>
      </c>
      <c r="CC18" s="230">
        <v>304500</v>
      </c>
      <c r="CD18" s="229">
        <v>1.83E-2</v>
      </c>
      <c r="CE18" s="230">
        <v>3204250</v>
      </c>
      <c r="CF18" s="230">
        <v>1274350</v>
      </c>
      <c r="CG18" s="230">
        <v>1929900</v>
      </c>
      <c r="CH18" s="229">
        <v>1.5144</v>
      </c>
      <c r="CI18" s="230">
        <v>198100</v>
      </c>
      <c r="CJ18" s="230">
        <v>135800</v>
      </c>
      <c r="CK18" s="230">
        <v>62300</v>
      </c>
      <c r="CL18" s="229">
        <v>0.45879999999999999</v>
      </c>
      <c r="CM18" s="230">
        <v>8741250</v>
      </c>
      <c r="CN18" s="230">
        <v>8047900</v>
      </c>
      <c r="CO18" s="230">
        <v>693350</v>
      </c>
      <c r="CP18" s="229">
        <v>8.6199999999999999E-2</v>
      </c>
      <c r="CQ18" s="230">
        <v>5577950</v>
      </c>
      <c r="CR18" s="230">
        <v>5175800</v>
      </c>
      <c r="CS18" s="230">
        <v>402150</v>
      </c>
      <c r="CT18" s="229">
        <v>7.7700000000000005E-2</v>
      </c>
      <c r="CU18" s="230">
        <v>34628650</v>
      </c>
      <c r="CV18" s="230">
        <v>31236450</v>
      </c>
      <c r="CW18" s="230">
        <v>3392200</v>
      </c>
      <c r="CX18" s="229">
        <v>0.1086</v>
      </c>
      <c r="CY18" s="228">
        <v>23.3</v>
      </c>
      <c r="CZ18" s="228">
        <v>22.69</v>
      </c>
      <c r="DA18" s="228">
        <v>0.61</v>
      </c>
      <c r="DB18" s="228">
        <v>0.61</v>
      </c>
      <c r="DC18" s="228">
        <v>29.79</v>
      </c>
      <c r="DD18" s="228">
        <v>29.81</v>
      </c>
      <c r="DE18" s="228">
        <v>-6.49</v>
      </c>
      <c r="DF18" s="228">
        <v>-0.02</v>
      </c>
      <c r="DG18" s="228">
        <v>22.92</v>
      </c>
      <c r="DH18" s="228">
        <v>22.5</v>
      </c>
      <c r="DI18" s="228">
        <v>0.42</v>
      </c>
      <c r="DJ18" s="228">
        <v>0.42</v>
      </c>
      <c r="DK18" s="228">
        <v>24.39</v>
      </c>
      <c r="DL18" s="228">
        <v>23.07</v>
      </c>
      <c r="DM18" s="228">
        <v>1.32</v>
      </c>
      <c r="DN18" s="228">
        <v>1.32</v>
      </c>
      <c r="DO18" s="228">
        <v>0.64</v>
      </c>
      <c r="DP18" s="228">
        <v>0.64</v>
      </c>
      <c r="DQ18" s="228">
        <v>0</v>
      </c>
      <c r="DR18" s="229">
        <v>0</v>
      </c>
      <c r="DS18" s="231">
        <v>1500</v>
      </c>
      <c r="DT18" s="231">
        <v>1500</v>
      </c>
      <c r="DU18" s="228">
        <v>0.35</v>
      </c>
      <c r="DV18" s="228">
        <v>0.48</v>
      </c>
      <c r="DW18" s="228">
        <v>-0.13</v>
      </c>
      <c r="DX18" s="229">
        <v>-0.27079999999999999</v>
      </c>
      <c r="DY18" s="229">
        <v>0.16750000000000001</v>
      </c>
      <c r="DZ18" s="230">
        <v>1410150</v>
      </c>
      <c r="EA18" s="229">
        <v>5.4999999999999997E-3</v>
      </c>
      <c r="EB18" s="229">
        <v>0.16750000000000001</v>
      </c>
      <c r="EC18" s="228">
        <v>8.33</v>
      </c>
      <c r="ED18" s="229">
        <v>5.5999999999999999E-3</v>
      </c>
      <c r="EE18" s="230">
        <v>7678814</v>
      </c>
      <c r="EF18" s="230">
        <v>1649494</v>
      </c>
      <c r="EG18" s="229">
        <v>3.6553</v>
      </c>
      <c r="EH18" s="229">
        <v>0.72599999999999998</v>
      </c>
      <c r="EI18" s="231">
        <v>458966.72</v>
      </c>
      <c r="EJ18" s="231">
        <v>157621.21</v>
      </c>
      <c r="EK18" s="231">
        <v>154096.23000000001</v>
      </c>
      <c r="EL18" s="228">
        <v>0</v>
      </c>
      <c r="EM18" s="231">
        <v>770684.16</v>
      </c>
      <c r="EN18" s="231">
        <v>246396.29</v>
      </c>
      <c r="EO18" s="231">
        <v>524287.87</v>
      </c>
      <c r="EP18" s="229">
        <v>2.1278000000000001</v>
      </c>
      <c r="EQ18" s="231">
        <v>135156</v>
      </c>
      <c r="ER18" s="231">
        <v>80770</v>
      </c>
      <c r="ES18" s="231">
        <v>304749</v>
      </c>
      <c r="ET18" s="231">
        <v>211800872</v>
      </c>
      <c r="EU18" s="231">
        <v>520675</v>
      </c>
      <c r="EV18" s="231">
        <v>466740</v>
      </c>
      <c r="EW18" s="231">
        <v>53935</v>
      </c>
      <c r="EX18" s="229">
        <v>0.11559999999999999</v>
      </c>
      <c r="EY18" s="229">
        <v>0.16350000000000001</v>
      </c>
    </row>
    <row r="19" spans="1:155" ht="17.25" thickBot="1" x14ac:dyDescent="0.3">
      <c r="A19" s="226">
        <v>45889</v>
      </c>
      <c r="B19" s="227" t="s">
        <v>172</v>
      </c>
      <c r="C19" s="227" t="s">
        <v>224</v>
      </c>
      <c r="D19" s="231">
        <v>1990.8</v>
      </c>
      <c r="E19" s="231">
        <v>1994.9</v>
      </c>
      <c r="F19" s="228">
        <v>-4.0999999999999996</v>
      </c>
      <c r="G19" s="229">
        <v>-2.0999999999999999E-3</v>
      </c>
      <c r="H19" s="231">
        <v>1988.2</v>
      </c>
      <c r="I19" s="231">
        <v>1991.1</v>
      </c>
      <c r="J19" s="228">
        <v>-2.9</v>
      </c>
      <c r="K19" s="229">
        <v>-1.5E-3</v>
      </c>
      <c r="L19" s="231">
        <v>1990.8</v>
      </c>
      <c r="M19" s="231">
        <v>1994.9</v>
      </c>
      <c r="N19" s="228">
        <v>-4.0999999999999996</v>
      </c>
      <c r="O19" s="229">
        <v>-2.0999999999999999E-3</v>
      </c>
      <c r="P19" s="231">
        <v>2002.5</v>
      </c>
      <c r="Q19" s="231">
        <v>2006.5</v>
      </c>
      <c r="R19" s="228">
        <v>-4</v>
      </c>
      <c r="S19" s="229">
        <v>-2E-3</v>
      </c>
      <c r="T19" s="231">
        <v>2012.5</v>
      </c>
      <c r="U19" s="231">
        <v>2016</v>
      </c>
      <c r="V19" s="228">
        <v>-3.5</v>
      </c>
      <c r="W19" s="229">
        <v>-1.6999999999999999E-3</v>
      </c>
      <c r="X19" s="228">
        <v>2.6</v>
      </c>
      <c r="Y19" s="228">
        <v>3.8</v>
      </c>
      <c r="Z19" s="228">
        <v>-1.2</v>
      </c>
      <c r="AA19" s="229">
        <v>1.2999999999999999E-3</v>
      </c>
      <c r="AB19" s="228">
        <v>2.6</v>
      </c>
      <c r="AC19" s="228">
        <v>3.8</v>
      </c>
      <c r="AD19" s="228">
        <v>-1.2</v>
      </c>
      <c r="AE19" s="229">
        <v>1.2999999999999999E-3</v>
      </c>
      <c r="AF19" s="228">
        <v>14.3</v>
      </c>
      <c r="AG19" s="228">
        <v>15.4</v>
      </c>
      <c r="AH19" s="228">
        <v>-1.1000000000000001</v>
      </c>
      <c r="AI19" s="229">
        <v>7.1999999999999998E-3</v>
      </c>
      <c r="AJ19" s="228">
        <v>24.3</v>
      </c>
      <c r="AK19" s="228">
        <v>24.9</v>
      </c>
      <c r="AL19" s="228">
        <v>-0.6</v>
      </c>
      <c r="AM19" s="229">
        <v>1.2200000000000001E-2</v>
      </c>
      <c r="AN19" s="231">
        <v>1988.09</v>
      </c>
      <c r="AO19" s="231">
        <v>2000.52</v>
      </c>
      <c r="AP19" s="228">
        <v>0</v>
      </c>
      <c r="AQ19" s="230">
        <v>18582</v>
      </c>
      <c r="AR19" s="230">
        <v>24310</v>
      </c>
      <c r="AS19" s="230">
        <v>-5728</v>
      </c>
      <c r="AT19" s="229">
        <v>-0.2356</v>
      </c>
      <c r="AU19" s="230">
        <v>13542</v>
      </c>
      <c r="AV19" s="230">
        <v>16313</v>
      </c>
      <c r="AW19" s="230">
        <v>-2771</v>
      </c>
      <c r="AX19" s="229">
        <v>-0.1699</v>
      </c>
      <c r="AY19" s="230">
        <v>3803</v>
      </c>
      <c r="AZ19" s="230">
        <v>2493</v>
      </c>
      <c r="BA19" s="230">
        <v>1310</v>
      </c>
      <c r="BB19" s="229">
        <v>0.52549999999999997</v>
      </c>
      <c r="BC19" s="230">
        <v>1237</v>
      </c>
      <c r="BD19" s="230">
        <v>5504</v>
      </c>
      <c r="BE19" s="230">
        <v>-4267</v>
      </c>
      <c r="BF19" s="229">
        <v>-0.77529999999999999</v>
      </c>
      <c r="BG19" s="230">
        <v>57751</v>
      </c>
      <c r="BH19" s="230">
        <v>54860</v>
      </c>
      <c r="BI19" s="230">
        <v>2891</v>
      </c>
      <c r="BJ19" s="229">
        <v>5.2699999999999997E-2</v>
      </c>
      <c r="BK19" s="230">
        <v>36065</v>
      </c>
      <c r="BL19" s="230">
        <v>32968</v>
      </c>
      <c r="BM19" s="230">
        <v>3097</v>
      </c>
      <c r="BN19" s="229">
        <v>9.3899999999999997E-2</v>
      </c>
      <c r="BO19" s="230">
        <v>112398</v>
      </c>
      <c r="BP19" s="230">
        <v>112138</v>
      </c>
      <c r="BQ19" s="228">
        <v>260</v>
      </c>
      <c r="BR19" s="229">
        <v>2.3E-3</v>
      </c>
      <c r="BS19" s="230">
        <v>5294155</v>
      </c>
      <c r="BT19" s="230">
        <v>7190825</v>
      </c>
      <c r="BU19" s="230">
        <v>-1896670</v>
      </c>
      <c r="BV19" s="229">
        <v>-0.26379999999999998</v>
      </c>
      <c r="BW19" s="230">
        <v>111474550</v>
      </c>
      <c r="BX19" s="230">
        <v>111276550</v>
      </c>
      <c r="BY19" s="230">
        <v>198000</v>
      </c>
      <c r="BZ19" s="229">
        <v>1.8E-3</v>
      </c>
      <c r="CA19" s="230">
        <v>91408350</v>
      </c>
      <c r="CB19" s="230">
        <v>93479100</v>
      </c>
      <c r="CC19" s="230">
        <v>-2070750</v>
      </c>
      <c r="CD19" s="229">
        <v>-2.2200000000000001E-2</v>
      </c>
      <c r="CE19" s="230">
        <v>8265400</v>
      </c>
      <c r="CF19" s="230">
        <v>6608250</v>
      </c>
      <c r="CG19" s="230">
        <v>1657150</v>
      </c>
      <c r="CH19" s="229">
        <v>0.25080000000000002</v>
      </c>
      <c r="CI19" s="230">
        <v>11800800</v>
      </c>
      <c r="CJ19" s="230">
        <v>11189200</v>
      </c>
      <c r="CK19" s="230">
        <v>611600</v>
      </c>
      <c r="CL19" s="229">
        <v>5.4699999999999999E-2</v>
      </c>
      <c r="CM19" s="230">
        <v>22243100</v>
      </c>
      <c r="CN19" s="230">
        <v>20724000</v>
      </c>
      <c r="CO19" s="230">
        <v>1519100</v>
      </c>
      <c r="CP19" s="229">
        <v>7.3300000000000004E-2</v>
      </c>
      <c r="CQ19" s="230">
        <v>15167900</v>
      </c>
      <c r="CR19" s="230">
        <v>14953400</v>
      </c>
      <c r="CS19" s="230">
        <v>214500</v>
      </c>
      <c r="CT19" s="229">
        <v>1.43E-2</v>
      </c>
      <c r="CU19" s="230">
        <v>148885550</v>
      </c>
      <c r="CV19" s="230">
        <v>146953950</v>
      </c>
      <c r="CW19" s="230">
        <v>1931600</v>
      </c>
      <c r="CX19" s="229">
        <v>1.3100000000000001E-2</v>
      </c>
      <c r="CY19" s="228">
        <v>16.510000000000002</v>
      </c>
      <c r="CZ19" s="228">
        <v>16.059999999999999</v>
      </c>
      <c r="DA19" s="228">
        <v>0.45</v>
      </c>
      <c r="DB19" s="228">
        <v>0.45</v>
      </c>
      <c r="DC19" s="228">
        <v>22.56</v>
      </c>
      <c r="DD19" s="228">
        <v>22.62</v>
      </c>
      <c r="DE19" s="228">
        <v>-6.05</v>
      </c>
      <c r="DF19" s="228">
        <v>-0.06</v>
      </c>
      <c r="DG19" s="228">
        <v>16.52</v>
      </c>
      <c r="DH19" s="228">
        <v>16</v>
      </c>
      <c r="DI19" s="228">
        <v>0.52</v>
      </c>
      <c r="DJ19" s="228">
        <v>0.52</v>
      </c>
      <c r="DK19" s="228">
        <v>16.48</v>
      </c>
      <c r="DL19" s="228">
        <v>16.149999999999999</v>
      </c>
      <c r="DM19" s="228">
        <v>0.33</v>
      </c>
      <c r="DN19" s="228">
        <v>0.33</v>
      </c>
      <c r="DO19" s="228">
        <v>0.68</v>
      </c>
      <c r="DP19" s="228">
        <v>0.72</v>
      </c>
      <c r="DQ19" s="228">
        <v>-0.04</v>
      </c>
      <c r="DR19" s="229">
        <v>-5.5599999999999997E-2</v>
      </c>
      <c r="DS19" s="231">
        <v>2000</v>
      </c>
      <c r="DT19" s="231">
        <v>2000</v>
      </c>
      <c r="DU19" s="228">
        <v>0.62</v>
      </c>
      <c r="DV19" s="228">
        <v>0.6</v>
      </c>
      <c r="DW19" s="228">
        <v>0.02</v>
      </c>
      <c r="DX19" s="229">
        <v>3.3300000000000003E-2</v>
      </c>
      <c r="DY19" s="229">
        <v>0.18</v>
      </c>
      <c r="DZ19" s="230">
        <v>17797450</v>
      </c>
      <c r="EA19" s="229">
        <v>5.8999999999999999E-3</v>
      </c>
      <c r="EB19" s="229">
        <v>0.18</v>
      </c>
      <c r="EC19" s="228">
        <v>12.43</v>
      </c>
      <c r="ED19" s="229">
        <v>6.3E-3</v>
      </c>
      <c r="EE19" s="230">
        <v>3495815</v>
      </c>
      <c r="EF19" s="230">
        <v>3528178</v>
      </c>
      <c r="EG19" s="229">
        <v>-9.1999999999999998E-3</v>
      </c>
      <c r="EH19" s="229">
        <v>0.6603</v>
      </c>
      <c r="EI19" s="231">
        <v>645313.61</v>
      </c>
      <c r="EJ19" s="231">
        <v>391031.31</v>
      </c>
      <c r="EK19" s="231">
        <v>203593.2</v>
      </c>
      <c r="EL19" s="228">
        <v>0</v>
      </c>
      <c r="EM19" s="231">
        <v>1239938.1200000001</v>
      </c>
      <c r="EN19" s="231">
        <v>1244714.47</v>
      </c>
      <c r="EO19" s="231">
        <v>-4776.3500000000004</v>
      </c>
      <c r="EP19" s="229">
        <v>-3.8E-3</v>
      </c>
      <c r="EQ19" s="231">
        <v>455696</v>
      </c>
      <c r="ER19" s="231">
        <v>295163</v>
      </c>
      <c r="ES19" s="231">
        <v>2222763</v>
      </c>
      <c r="ET19" s="231">
        <v>1327901982</v>
      </c>
      <c r="EU19" s="231">
        <v>2973622</v>
      </c>
      <c r="EV19" s="231">
        <v>2939231</v>
      </c>
      <c r="EW19" s="231">
        <v>34391</v>
      </c>
      <c r="EX19" s="229">
        <v>1.17E-2</v>
      </c>
      <c r="EY19" s="229">
        <v>0.11210000000000001</v>
      </c>
    </row>
    <row r="20" spans="1:155" ht="17.25" thickBot="1" x14ac:dyDescent="0.3">
      <c r="A20" s="226">
        <v>45889</v>
      </c>
      <c r="B20" s="227" t="s">
        <v>175</v>
      </c>
      <c r="C20" s="227" t="s">
        <v>225</v>
      </c>
      <c r="D20" s="228">
        <v>796.6</v>
      </c>
      <c r="E20" s="228">
        <v>796.1</v>
      </c>
      <c r="F20" s="228">
        <v>0.5</v>
      </c>
      <c r="G20" s="229">
        <v>5.9999999999999995E-4</v>
      </c>
      <c r="H20" s="228">
        <v>796.55</v>
      </c>
      <c r="I20" s="228">
        <v>793.75</v>
      </c>
      <c r="J20" s="228">
        <v>2.8</v>
      </c>
      <c r="K20" s="229">
        <v>3.5000000000000001E-3</v>
      </c>
      <c r="L20" s="228">
        <v>796.6</v>
      </c>
      <c r="M20" s="228">
        <v>796.1</v>
      </c>
      <c r="N20" s="228">
        <v>0.5</v>
      </c>
      <c r="O20" s="229">
        <v>5.9999999999999995E-4</v>
      </c>
      <c r="P20" s="228">
        <v>801.6</v>
      </c>
      <c r="Q20" s="228">
        <v>800.55</v>
      </c>
      <c r="R20" s="228">
        <v>1.05</v>
      </c>
      <c r="S20" s="229">
        <v>1.2999999999999999E-3</v>
      </c>
      <c r="T20" s="228">
        <v>805.75</v>
      </c>
      <c r="U20" s="228">
        <v>805.4</v>
      </c>
      <c r="V20" s="228">
        <v>0.35</v>
      </c>
      <c r="W20" s="229">
        <v>4.0000000000000002E-4</v>
      </c>
      <c r="X20" s="228">
        <v>0.05</v>
      </c>
      <c r="Y20" s="228">
        <v>2.35</v>
      </c>
      <c r="Z20" s="228">
        <v>-2.2999999999999998</v>
      </c>
      <c r="AA20" s="229">
        <v>1E-4</v>
      </c>
      <c r="AB20" s="228">
        <v>0.05</v>
      </c>
      <c r="AC20" s="228">
        <v>2.35</v>
      </c>
      <c r="AD20" s="228">
        <v>-2.2999999999999998</v>
      </c>
      <c r="AE20" s="229">
        <v>1E-4</v>
      </c>
      <c r="AF20" s="228">
        <v>5.05</v>
      </c>
      <c r="AG20" s="228">
        <v>6.8</v>
      </c>
      <c r="AH20" s="228">
        <v>-1.75</v>
      </c>
      <c r="AI20" s="229">
        <v>6.3E-3</v>
      </c>
      <c r="AJ20" s="228">
        <v>9.1999999999999993</v>
      </c>
      <c r="AK20" s="228">
        <v>11.65</v>
      </c>
      <c r="AL20" s="228">
        <v>-2.4500000000000002</v>
      </c>
      <c r="AM20" s="229">
        <v>1.15E-2</v>
      </c>
      <c r="AN20" s="228">
        <v>797.47</v>
      </c>
      <c r="AO20" s="228">
        <v>802.46</v>
      </c>
      <c r="AP20" s="228">
        <v>0</v>
      </c>
      <c r="AQ20" s="230">
        <v>2443</v>
      </c>
      <c r="AR20" s="230">
        <v>2398</v>
      </c>
      <c r="AS20" s="228">
        <v>45</v>
      </c>
      <c r="AT20" s="229">
        <v>1.8800000000000001E-2</v>
      </c>
      <c r="AU20" s="230">
        <v>2041</v>
      </c>
      <c r="AV20" s="230">
        <v>2013</v>
      </c>
      <c r="AW20" s="228">
        <v>28</v>
      </c>
      <c r="AX20" s="229">
        <v>1.3899999999999999E-2</v>
      </c>
      <c r="AY20" s="228">
        <v>389</v>
      </c>
      <c r="AZ20" s="228">
        <v>342</v>
      </c>
      <c r="BA20" s="228">
        <v>47</v>
      </c>
      <c r="BB20" s="229">
        <v>0.13739999999999999</v>
      </c>
      <c r="BC20" s="228">
        <v>13</v>
      </c>
      <c r="BD20" s="228">
        <v>43</v>
      </c>
      <c r="BE20" s="228">
        <v>-30</v>
      </c>
      <c r="BF20" s="229">
        <v>-0.69769999999999999</v>
      </c>
      <c r="BG20" s="230">
        <v>9595</v>
      </c>
      <c r="BH20" s="230">
        <v>12599</v>
      </c>
      <c r="BI20" s="230">
        <v>-3004</v>
      </c>
      <c r="BJ20" s="229">
        <v>-0.2384</v>
      </c>
      <c r="BK20" s="230">
        <v>4465</v>
      </c>
      <c r="BL20" s="230">
        <v>6689</v>
      </c>
      <c r="BM20" s="230">
        <v>-2224</v>
      </c>
      <c r="BN20" s="229">
        <v>-0.33250000000000002</v>
      </c>
      <c r="BO20" s="230">
        <v>16503</v>
      </c>
      <c r="BP20" s="230">
        <v>21686</v>
      </c>
      <c r="BQ20" s="230">
        <v>-5183</v>
      </c>
      <c r="BR20" s="229">
        <v>-0.23899999999999999</v>
      </c>
      <c r="BS20" s="230">
        <v>1125339</v>
      </c>
      <c r="BT20" s="230">
        <v>1543789</v>
      </c>
      <c r="BU20" s="230">
        <v>-418450</v>
      </c>
      <c r="BV20" s="229">
        <v>-0.27110000000000001</v>
      </c>
      <c r="BW20" s="230">
        <v>28025800</v>
      </c>
      <c r="BX20" s="230">
        <v>28197400</v>
      </c>
      <c r="BY20" s="230">
        <v>-171600</v>
      </c>
      <c r="BZ20" s="229">
        <v>-6.1000000000000004E-3</v>
      </c>
      <c r="CA20" s="230">
        <v>26712400</v>
      </c>
      <c r="CB20" s="230">
        <v>27097400</v>
      </c>
      <c r="CC20" s="230">
        <v>-385000</v>
      </c>
      <c r="CD20" s="229">
        <v>-1.4200000000000001E-2</v>
      </c>
      <c r="CE20" s="230">
        <v>1212200</v>
      </c>
      <c r="CF20" s="230">
        <v>1002100</v>
      </c>
      <c r="CG20" s="230">
        <v>210100</v>
      </c>
      <c r="CH20" s="229">
        <v>0.2097</v>
      </c>
      <c r="CI20" s="230">
        <v>101200</v>
      </c>
      <c r="CJ20" s="230">
        <v>97900</v>
      </c>
      <c r="CK20" s="230">
        <v>3300</v>
      </c>
      <c r="CL20" s="229">
        <v>3.3700000000000001E-2</v>
      </c>
      <c r="CM20" s="230">
        <v>10899900</v>
      </c>
      <c r="CN20" s="230">
        <v>10446700</v>
      </c>
      <c r="CO20" s="230">
        <v>453200</v>
      </c>
      <c r="CP20" s="229">
        <v>4.3400000000000001E-2</v>
      </c>
      <c r="CQ20" s="230">
        <v>10010000</v>
      </c>
      <c r="CR20" s="230">
        <v>9936300</v>
      </c>
      <c r="CS20" s="230">
        <v>73700</v>
      </c>
      <c r="CT20" s="229">
        <v>7.4000000000000003E-3</v>
      </c>
      <c r="CU20" s="230">
        <v>48935700</v>
      </c>
      <c r="CV20" s="230">
        <v>48580400</v>
      </c>
      <c r="CW20" s="230">
        <v>355300</v>
      </c>
      <c r="CX20" s="229">
        <v>7.3000000000000001E-3</v>
      </c>
      <c r="CY20" s="228">
        <v>21.39</v>
      </c>
      <c r="CZ20" s="228">
        <v>20.73</v>
      </c>
      <c r="DA20" s="228">
        <v>0.66</v>
      </c>
      <c r="DB20" s="228">
        <v>0.66</v>
      </c>
      <c r="DC20" s="228">
        <v>27.02</v>
      </c>
      <c r="DD20" s="228">
        <v>27.09</v>
      </c>
      <c r="DE20" s="228">
        <v>-5.63</v>
      </c>
      <c r="DF20" s="228">
        <v>-7.0000000000000007E-2</v>
      </c>
      <c r="DG20" s="228">
        <v>21.4</v>
      </c>
      <c r="DH20" s="228">
        <v>20.59</v>
      </c>
      <c r="DI20" s="228">
        <v>0.81</v>
      </c>
      <c r="DJ20" s="228">
        <v>0.81</v>
      </c>
      <c r="DK20" s="228">
        <v>21.37</v>
      </c>
      <c r="DL20" s="228">
        <v>20.98</v>
      </c>
      <c r="DM20" s="228">
        <v>0.39</v>
      </c>
      <c r="DN20" s="228">
        <v>0.39</v>
      </c>
      <c r="DO20" s="228">
        <v>0.92</v>
      </c>
      <c r="DP20" s="228">
        <v>0.95</v>
      </c>
      <c r="DQ20" s="228">
        <v>-0.03</v>
      </c>
      <c r="DR20" s="229">
        <v>-3.1600000000000003E-2</v>
      </c>
      <c r="DS20" s="228">
        <v>800</v>
      </c>
      <c r="DT20" s="228">
        <v>770</v>
      </c>
      <c r="DU20" s="228">
        <v>0.47</v>
      </c>
      <c r="DV20" s="228">
        <v>0.53</v>
      </c>
      <c r="DW20" s="228">
        <v>-0.06</v>
      </c>
      <c r="DX20" s="229">
        <v>-0.1132</v>
      </c>
      <c r="DY20" s="229">
        <v>4.6899999999999997E-2</v>
      </c>
      <c r="DZ20" s="230">
        <v>1100000</v>
      </c>
      <c r="EA20" s="229">
        <v>6.3E-3</v>
      </c>
      <c r="EB20" s="229">
        <v>4.6899999999999997E-2</v>
      </c>
      <c r="EC20" s="228">
        <v>4.99</v>
      </c>
      <c r="ED20" s="229">
        <v>6.3E-3</v>
      </c>
      <c r="EE20" s="230">
        <v>554117</v>
      </c>
      <c r="EF20" s="230">
        <v>795437</v>
      </c>
      <c r="EG20" s="229">
        <v>-0.3034</v>
      </c>
      <c r="EH20" s="229">
        <v>0.4924</v>
      </c>
      <c r="EI20" s="231">
        <v>86469.89</v>
      </c>
      <c r="EJ20" s="231">
        <v>38405.879999999997</v>
      </c>
      <c r="EK20" s="231">
        <v>21453.21</v>
      </c>
      <c r="EL20" s="228">
        <v>0</v>
      </c>
      <c r="EM20" s="231">
        <v>146328.98000000001</v>
      </c>
      <c r="EN20" s="231">
        <v>191747.1</v>
      </c>
      <c r="EO20" s="231">
        <v>-45418.12</v>
      </c>
      <c r="EP20" s="229">
        <v>-0.2369</v>
      </c>
      <c r="EQ20" s="231">
        <v>88041</v>
      </c>
      <c r="ER20" s="231">
        <v>74560</v>
      </c>
      <c r="ES20" s="231">
        <v>223323</v>
      </c>
      <c r="ET20" s="231">
        <v>214162344</v>
      </c>
      <c r="EU20" s="231">
        <v>385924</v>
      </c>
      <c r="EV20" s="231">
        <v>382699</v>
      </c>
      <c r="EW20" s="231">
        <v>3225</v>
      </c>
      <c r="EX20" s="229">
        <v>8.3999999999999995E-3</v>
      </c>
      <c r="EY20" s="229">
        <v>0.22850000000000001</v>
      </c>
    </row>
    <row r="21" spans="1:155" ht="17.25" thickBot="1" x14ac:dyDescent="0.3">
      <c r="A21" s="226">
        <v>45889</v>
      </c>
      <c r="B21" s="227" t="s">
        <v>162</v>
      </c>
      <c r="C21" s="227" t="s">
        <v>226</v>
      </c>
      <c r="D21" s="231">
        <v>5127.3999999999996</v>
      </c>
      <c r="E21" s="231">
        <v>5125.8</v>
      </c>
      <c r="F21" s="228">
        <v>1.6</v>
      </c>
      <c r="G21" s="229">
        <v>2.9999999999999997E-4</v>
      </c>
      <c r="H21" s="231">
        <v>5136</v>
      </c>
      <c r="I21" s="231">
        <v>5118.2</v>
      </c>
      <c r="J21" s="228">
        <v>17.8</v>
      </c>
      <c r="K21" s="229">
        <v>3.5000000000000001E-3</v>
      </c>
      <c r="L21" s="231">
        <v>5127.3999999999996</v>
      </c>
      <c r="M21" s="231">
        <v>5125.8</v>
      </c>
      <c r="N21" s="228">
        <v>1.6</v>
      </c>
      <c r="O21" s="229">
        <v>2.9999999999999997E-4</v>
      </c>
      <c r="P21" s="231">
        <v>5115.8999999999996</v>
      </c>
      <c r="Q21" s="231">
        <v>5121</v>
      </c>
      <c r="R21" s="228">
        <v>-5.0999999999999996</v>
      </c>
      <c r="S21" s="229">
        <v>-1E-3</v>
      </c>
      <c r="T21" s="231">
        <v>5120.2</v>
      </c>
      <c r="U21" s="231">
        <v>5122.3999999999996</v>
      </c>
      <c r="V21" s="228">
        <v>-2.2000000000000002</v>
      </c>
      <c r="W21" s="229">
        <v>-4.0000000000000002E-4</v>
      </c>
      <c r="X21" s="228">
        <v>-8.6</v>
      </c>
      <c r="Y21" s="228">
        <v>7.6</v>
      </c>
      <c r="Z21" s="228">
        <v>-16.2</v>
      </c>
      <c r="AA21" s="229">
        <v>-1.6999999999999999E-3</v>
      </c>
      <c r="AB21" s="228">
        <v>-8.6</v>
      </c>
      <c r="AC21" s="228">
        <v>7.6</v>
      </c>
      <c r="AD21" s="228">
        <v>-16.2</v>
      </c>
      <c r="AE21" s="229">
        <v>-1.6999999999999999E-3</v>
      </c>
      <c r="AF21" s="228">
        <v>-20.100000000000001</v>
      </c>
      <c r="AG21" s="228">
        <v>2.8</v>
      </c>
      <c r="AH21" s="228">
        <v>-22.9</v>
      </c>
      <c r="AI21" s="229">
        <v>-3.8999999999999998E-3</v>
      </c>
      <c r="AJ21" s="228">
        <v>-15.8</v>
      </c>
      <c r="AK21" s="228">
        <v>4.2</v>
      </c>
      <c r="AL21" s="228">
        <v>-20</v>
      </c>
      <c r="AM21" s="229">
        <v>-3.0999999999999999E-3</v>
      </c>
      <c r="AN21" s="231">
        <v>5140.4799999999996</v>
      </c>
      <c r="AO21" s="231">
        <v>5128.84</v>
      </c>
      <c r="AP21" s="228">
        <v>0</v>
      </c>
      <c r="AQ21" s="230">
        <v>9766</v>
      </c>
      <c r="AR21" s="230">
        <v>15413</v>
      </c>
      <c r="AS21" s="230">
        <v>-5647</v>
      </c>
      <c r="AT21" s="229">
        <v>-0.3664</v>
      </c>
      <c r="AU21" s="230">
        <v>8133</v>
      </c>
      <c r="AV21" s="230">
        <v>13192</v>
      </c>
      <c r="AW21" s="230">
        <v>-5059</v>
      </c>
      <c r="AX21" s="229">
        <v>-0.38350000000000001</v>
      </c>
      <c r="AY21" s="230">
        <v>1515</v>
      </c>
      <c r="AZ21" s="230">
        <v>1981</v>
      </c>
      <c r="BA21" s="228">
        <v>-466</v>
      </c>
      <c r="BB21" s="229">
        <v>-0.23519999999999999</v>
      </c>
      <c r="BC21" s="228">
        <v>118</v>
      </c>
      <c r="BD21" s="228">
        <v>240</v>
      </c>
      <c r="BE21" s="228">
        <v>-122</v>
      </c>
      <c r="BF21" s="229">
        <v>-0.50829999999999997</v>
      </c>
      <c r="BG21" s="230">
        <v>77271</v>
      </c>
      <c r="BH21" s="230">
        <v>166662</v>
      </c>
      <c r="BI21" s="230">
        <v>-89391</v>
      </c>
      <c r="BJ21" s="229">
        <v>-0.53639999999999999</v>
      </c>
      <c r="BK21" s="230">
        <v>45286</v>
      </c>
      <c r="BL21" s="230">
        <v>77767</v>
      </c>
      <c r="BM21" s="230">
        <v>-32481</v>
      </c>
      <c r="BN21" s="229">
        <v>-0.41770000000000002</v>
      </c>
      <c r="BO21" s="230">
        <v>132323</v>
      </c>
      <c r="BP21" s="230">
        <v>259842</v>
      </c>
      <c r="BQ21" s="230">
        <v>-127519</v>
      </c>
      <c r="BR21" s="229">
        <v>-0.49080000000000001</v>
      </c>
      <c r="BS21" s="230">
        <v>950647</v>
      </c>
      <c r="BT21" s="230">
        <v>1589267</v>
      </c>
      <c r="BU21" s="230">
        <v>-638620</v>
      </c>
      <c r="BV21" s="229">
        <v>-0.40179999999999999</v>
      </c>
      <c r="BW21" s="230">
        <v>7279950</v>
      </c>
      <c r="BX21" s="230">
        <v>7111350</v>
      </c>
      <c r="BY21" s="230">
        <v>168600</v>
      </c>
      <c r="BZ21" s="229">
        <v>2.3699999999999999E-2</v>
      </c>
      <c r="CA21" s="230">
        <v>6600150</v>
      </c>
      <c r="CB21" s="230">
        <v>6505350</v>
      </c>
      <c r="CC21" s="230">
        <v>94800</v>
      </c>
      <c r="CD21" s="229">
        <v>1.46E-2</v>
      </c>
      <c r="CE21" s="230">
        <v>637500</v>
      </c>
      <c r="CF21" s="230">
        <v>571200</v>
      </c>
      <c r="CG21" s="230">
        <v>66300</v>
      </c>
      <c r="CH21" s="229">
        <v>0.11609999999999999</v>
      </c>
      <c r="CI21" s="230">
        <v>42300</v>
      </c>
      <c r="CJ21" s="230">
        <v>34800</v>
      </c>
      <c r="CK21" s="230">
        <v>7500</v>
      </c>
      <c r="CL21" s="229">
        <v>0.2155</v>
      </c>
      <c r="CM21" s="230">
        <v>4658100</v>
      </c>
      <c r="CN21" s="230">
        <v>4316400</v>
      </c>
      <c r="CO21" s="230">
        <v>341700</v>
      </c>
      <c r="CP21" s="229">
        <v>7.9200000000000007E-2</v>
      </c>
      <c r="CQ21" s="230">
        <v>4376700</v>
      </c>
      <c r="CR21" s="230">
        <v>4297350</v>
      </c>
      <c r="CS21" s="230">
        <v>79350</v>
      </c>
      <c r="CT21" s="229">
        <v>1.8499999999999999E-2</v>
      </c>
      <c r="CU21" s="230">
        <v>16314750</v>
      </c>
      <c r="CV21" s="230">
        <v>15725100</v>
      </c>
      <c r="CW21" s="230">
        <v>589650</v>
      </c>
      <c r="CX21" s="229">
        <v>3.7499999999999999E-2</v>
      </c>
      <c r="CY21" s="228">
        <v>27.56</v>
      </c>
      <c r="CZ21" s="228">
        <v>26.82</v>
      </c>
      <c r="DA21" s="228">
        <v>0.74</v>
      </c>
      <c r="DB21" s="228">
        <v>0.74</v>
      </c>
      <c r="DC21" s="228">
        <v>32.270000000000003</v>
      </c>
      <c r="DD21" s="228">
        <v>32.340000000000003</v>
      </c>
      <c r="DE21" s="228">
        <v>-4.71</v>
      </c>
      <c r="DF21" s="228">
        <v>-7.0000000000000007E-2</v>
      </c>
      <c r="DG21" s="228">
        <v>26.73</v>
      </c>
      <c r="DH21" s="228">
        <v>25.84</v>
      </c>
      <c r="DI21" s="228">
        <v>0.89</v>
      </c>
      <c r="DJ21" s="228">
        <v>0.89</v>
      </c>
      <c r="DK21" s="228">
        <v>28.98</v>
      </c>
      <c r="DL21" s="228">
        <v>28.9</v>
      </c>
      <c r="DM21" s="228">
        <v>0.08</v>
      </c>
      <c r="DN21" s="228">
        <v>0.08</v>
      </c>
      <c r="DO21" s="228">
        <v>0.94</v>
      </c>
      <c r="DP21" s="228">
        <v>1</v>
      </c>
      <c r="DQ21" s="228">
        <v>-0.06</v>
      </c>
      <c r="DR21" s="229">
        <v>-0.06</v>
      </c>
      <c r="DS21" s="231">
        <v>4600</v>
      </c>
      <c r="DT21" s="231">
        <v>5000</v>
      </c>
      <c r="DU21" s="228">
        <v>0.59</v>
      </c>
      <c r="DV21" s="228">
        <v>0.47</v>
      </c>
      <c r="DW21" s="228">
        <v>0.12</v>
      </c>
      <c r="DX21" s="229">
        <v>0.25530000000000003</v>
      </c>
      <c r="DY21" s="229">
        <v>9.3399999999999997E-2</v>
      </c>
      <c r="DZ21" s="230">
        <v>606000</v>
      </c>
      <c r="EA21" s="229">
        <v>-2.2000000000000001E-3</v>
      </c>
      <c r="EB21" s="229">
        <v>9.3399999999999997E-2</v>
      </c>
      <c r="EC21" s="228">
        <v>-11.64</v>
      </c>
      <c r="ED21" s="229">
        <v>-2.3E-3</v>
      </c>
      <c r="EE21" s="230">
        <v>489958</v>
      </c>
      <c r="EF21" s="230">
        <v>600513</v>
      </c>
      <c r="EG21" s="229">
        <v>-0.18410000000000001</v>
      </c>
      <c r="EH21" s="229">
        <v>0.51539999999999997</v>
      </c>
      <c r="EI21" s="231">
        <v>614664.11</v>
      </c>
      <c r="EJ21" s="231">
        <v>339393.82</v>
      </c>
      <c r="EK21" s="231">
        <v>75274.5</v>
      </c>
      <c r="EL21" s="228">
        <v>0</v>
      </c>
      <c r="EM21" s="231">
        <v>1029332.43</v>
      </c>
      <c r="EN21" s="231">
        <v>2010390.18</v>
      </c>
      <c r="EO21" s="231">
        <v>-981057.75</v>
      </c>
      <c r="EP21" s="229">
        <v>-0.48799999999999999</v>
      </c>
      <c r="EQ21" s="231">
        <v>234486</v>
      </c>
      <c r="ER21" s="231">
        <v>204109</v>
      </c>
      <c r="ES21" s="231">
        <v>373196</v>
      </c>
      <c r="ET21" s="231">
        <v>26105505</v>
      </c>
      <c r="EU21" s="231">
        <v>811790</v>
      </c>
      <c r="EV21" s="231">
        <v>779256</v>
      </c>
      <c r="EW21" s="231">
        <v>32534</v>
      </c>
      <c r="EX21" s="229">
        <v>4.1799999999999997E-2</v>
      </c>
      <c r="EY21" s="229">
        <v>0.625</v>
      </c>
    </row>
    <row r="22" spans="1:155" ht="17.25" thickBot="1" x14ac:dyDescent="0.3">
      <c r="A22" s="226">
        <v>45889</v>
      </c>
      <c r="B22" s="227" t="s">
        <v>227</v>
      </c>
      <c r="C22" s="227" t="s">
        <v>228</v>
      </c>
      <c r="D22" s="228">
        <v>702.15</v>
      </c>
      <c r="E22" s="228">
        <v>709.1</v>
      </c>
      <c r="F22" s="228">
        <v>-6.95</v>
      </c>
      <c r="G22" s="229">
        <v>-9.7999999999999997E-3</v>
      </c>
      <c r="H22" s="228">
        <v>700.85</v>
      </c>
      <c r="I22" s="228">
        <v>706.7</v>
      </c>
      <c r="J22" s="228">
        <v>-5.85</v>
      </c>
      <c r="K22" s="229">
        <v>-8.3000000000000001E-3</v>
      </c>
      <c r="L22" s="228">
        <v>702.15</v>
      </c>
      <c r="M22" s="228">
        <v>709.1</v>
      </c>
      <c r="N22" s="228">
        <v>-6.95</v>
      </c>
      <c r="O22" s="229">
        <v>-9.7999999999999997E-3</v>
      </c>
      <c r="P22" s="228">
        <v>706.35</v>
      </c>
      <c r="Q22" s="228">
        <v>712.8</v>
      </c>
      <c r="R22" s="228">
        <v>-6.45</v>
      </c>
      <c r="S22" s="229">
        <v>-8.9999999999999993E-3</v>
      </c>
      <c r="T22" s="228">
        <v>710.2</v>
      </c>
      <c r="U22" s="228">
        <v>716.25</v>
      </c>
      <c r="V22" s="228">
        <v>-6.05</v>
      </c>
      <c r="W22" s="229">
        <v>-8.3999999999999995E-3</v>
      </c>
      <c r="X22" s="228">
        <v>1.3</v>
      </c>
      <c r="Y22" s="228">
        <v>2.4</v>
      </c>
      <c r="Z22" s="228">
        <v>-1.1000000000000001</v>
      </c>
      <c r="AA22" s="229">
        <v>1.9E-3</v>
      </c>
      <c r="AB22" s="228">
        <v>1.3</v>
      </c>
      <c r="AC22" s="228">
        <v>2.4</v>
      </c>
      <c r="AD22" s="228">
        <v>-1.1000000000000001</v>
      </c>
      <c r="AE22" s="229">
        <v>1.9E-3</v>
      </c>
      <c r="AF22" s="228">
        <v>5.5</v>
      </c>
      <c r="AG22" s="228">
        <v>6.1</v>
      </c>
      <c r="AH22" s="228">
        <v>-0.6</v>
      </c>
      <c r="AI22" s="229">
        <v>7.7999999999999996E-3</v>
      </c>
      <c r="AJ22" s="228">
        <v>9.35</v>
      </c>
      <c r="AK22" s="228">
        <v>9.5500000000000007</v>
      </c>
      <c r="AL22" s="228">
        <v>-0.2</v>
      </c>
      <c r="AM22" s="229">
        <v>1.3299999999999999E-2</v>
      </c>
      <c r="AN22" s="228">
        <v>702.59</v>
      </c>
      <c r="AO22" s="228">
        <v>706.83</v>
      </c>
      <c r="AP22" s="228">
        <v>0</v>
      </c>
      <c r="AQ22" s="230">
        <v>6373</v>
      </c>
      <c r="AR22" s="230">
        <v>9163</v>
      </c>
      <c r="AS22" s="230">
        <v>-2790</v>
      </c>
      <c r="AT22" s="229">
        <v>-0.30449999999999999</v>
      </c>
      <c r="AU22" s="230">
        <v>4998</v>
      </c>
      <c r="AV22" s="230">
        <v>6596</v>
      </c>
      <c r="AW22" s="230">
        <v>-1598</v>
      </c>
      <c r="AX22" s="229">
        <v>-0.24229999999999999</v>
      </c>
      <c r="AY22" s="230">
        <v>1232</v>
      </c>
      <c r="AZ22" s="230">
        <v>2343</v>
      </c>
      <c r="BA22" s="230">
        <v>-1111</v>
      </c>
      <c r="BB22" s="229">
        <v>-0.47420000000000001</v>
      </c>
      <c r="BC22" s="228">
        <v>143</v>
      </c>
      <c r="BD22" s="228">
        <v>224</v>
      </c>
      <c r="BE22" s="228">
        <v>-81</v>
      </c>
      <c r="BF22" s="229">
        <v>-0.36159999999999998</v>
      </c>
      <c r="BG22" s="230">
        <v>20394</v>
      </c>
      <c r="BH22" s="230">
        <v>21521</v>
      </c>
      <c r="BI22" s="230">
        <v>-1127</v>
      </c>
      <c r="BJ22" s="229">
        <v>-5.2400000000000002E-2</v>
      </c>
      <c r="BK22" s="230">
        <v>14942</v>
      </c>
      <c r="BL22" s="230">
        <v>17115</v>
      </c>
      <c r="BM22" s="230">
        <v>-2173</v>
      </c>
      <c r="BN22" s="229">
        <v>-0.127</v>
      </c>
      <c r="BO22" s="230">
        <v>41709</v>
      </c>
      <c r="BP22" s="230">
        <v>47799</v>
      </c>
      <c r="BQ22" s="230">
        <v>-6090</v>
      </c>
      <c r="BR22" s="229">
        <v>-0.12740000000000001</v>
      </c>
      <c r="BS22" s="230">
        <v>5570276</v>
      </c>
      <c r="BT22" s="230">
        <v>5907124</v>
      </c>
      <c r="BU22" s="230">
        <v>-336848</v>
      </c>
      <c r="BV22" s="229">
        <v>-5.7000000000000002E-2</v>
      </c>
      <c r="BW22" s="230">
        <v>53698400</v>
      </c>
      <c r="BX22" s="230">
        <v>52414600</v>
      </c>
      <c r="BY22" s="230">
        <v>1283800</v>
      </c>
      <c r="BZ22" s="229">
        <v>2.4500000000000001E-2</v>
      </c>
      <c r="CA22" s="230">
        <v>45690400</v>
      </c>
      <c r="CB22" s="230">
        <v>45285800</v>
      </c>
      <c r="CC22" s="230">
        <v>404600</v>
      </c>
      <c r="CD22" s="229">
        <v>8.8999999999999999E-3</v>
      </c>
      <c r="CE22" s="230">
        <v>6322400</v>
      </c>
      <c r="CF22" s="230">
        <v>5587400</v>
      </c>
      <c r="CG22" s="230">
        <v>735000</v>
      </c>
      <c r="CH22" s="229">
        <v>0.13150000000000001</v>
      </c>
      <c r="CI22" s="230">
        <v>1685600</v>
      </c>
      <c r="CJ22" s="230">
        <v>1541400</v>
      </c>
      <c r="CK22" s="230">
        <v>144200</v>
      </c>
      <c r="CL22" s="229">
        <v>9.3600000000000003E-2</v>
      </c>
      <c r="CM22" s="230">
        <v>18131400</v>
      </c>
      <c r="CN22" s="230">
        <v>17908800</v>
      </c>
      <c r="CO22" s="230">
        <v>222600</v>
      </c>
      <c r="CP22" s="229">
        <v>1.24E-2</v>
      </c>
      <c r="CQ22" s="230">
        <v>12325600</v>
      </c>
      <c r="CR22" s="230">
        <v>13190800</v>
      </c>
      <c r="CS22" s="230">
        <v>-865200</v>
      </c>
      <c r="CT22" s="229">
        <v>-6.5600000000000006E-2</v>
      </c>
      <c r="CU22" s="230">
        <v>84155400</v>
      </c>
      <c r="CV22" s="230">
        <v>83514200</v>
      </c>
      <c r="CW22" s="230">
        <v>641200</v>
      </c>
      <c r="CX22" s="229">
        <v>7.7000000000000002E-3</v>
      </c>
      <c r="CY22" s="228">
        <v>24.05</v>
      </c>
      <c r="CZ22" s="228">
        <v>23.73</v>
      </c>
      <c r="DA22" s="228">
        <v>0.32</v>
      </c>
      <c r="DB22" s="228">
        <v>0.32</v>
      </c>
      <c r="DC22" s="228">
        <v>35.28</v>
      </c>
      <c r="DD22" s="228">
        <v>35.35</v>
      </c>
      <c r="DE22" s="228">
        <v>-11.23</v>
      </c>
      <c r="DF22" s="228">
        <v>-7.0000000000000007E-2</v>
      </c>
      <c r="DG22" s="228">
        <v>23.6</v>
      </c>
      <c r="DH22" s="228">
        <v>23.4</v>
      </c>
      <c r="DI22" s="228">
        <v>0.2</v>
      </c>
      <c r="DJ22" s="228">
        <v>0.2</v>
      </c>
      <c r="DK22" s="228">
        <v>24.65</v>
      </c>
      <c r="DL22" s="228">
        <v>24.14</v>
      </c>
      <c r="DM22" s="228">
        <v>0.51</v>
      </c>
      <c r="DN22" s="228">
        <v>0.51</v>
      </c>
      <c r="DO22" s="228">
        <v>0.68</v>
      </c>
      <c r="DP22" s="228">
        <v>0.74</v>
      </c>
      <c r="DQ22" s="228">
        <v>-0.06</v>
      </c>
      <c r="DR22" s="229">
        <v>-8.1100000000000005E-2</v>
      </c>
      <c r="DS22" s="228">
        <v>720</v>
      </c>
      <c r="DT22" s="228">
        <v>660</v>
      </c>
      <c r="DU22" s="228">
        <v>0.73</v>
      </c>
      <c r="DV22" s="228">
        <v>0.8</v>
      </c>
      <c r="DW22" s="228">
        <v>-7.0000000000000007E-2</v>
      </c>
      <c r="DX22" s="229">
        <v>-8.7499999999999994E-2</v>
      </c>
      <c r="DY22" s="229">
        <v>0.14910000000000001</v>
      </c>
      <c r="DZ22" s="230">
        <v>7128800</v>
      </c>
      <c r="EA22" s="229">
        <v>6.0000000000000001E-3</v>
      </c>
      <c r="EB22" s="229">
        <v>0.14910000000000001</v>
      </c>
      <c r="EC22" s="228">
        <v>4.24</v>
      </c>
      <c r="ED22" s="229">
        <v>6.0000000000000001E-3</v>
      </c>
      <c r="EE22" s="230">
        <v>3498671</v>
      </c>
      <c r="EF22" s="230">
        <v>4128207</v>
      </c>
      <c r="EG22" s="229">
        <v>-0.1525</v>
      </c>
      <c r="EH22" s="229">
        <v>0.62809999999999999</v>
      </c>
      <c r="EI22" s="231">
        <v>206737.99</v>
      </c>
      <c r="EJ22" s="231">
        <v>144682.5</v>
      </c>
      <c r="EK22" s="231">
        <v>62775.16</v>
      </c>
      <c r="EL22" s="228">
        <v>0</v>
      </c>
      <c r="EM22" s="231">
        <v>414195.65</v>
      </c>
      <c r="EN22" s="231">
        <v>479620.53</v>
      </c>
      <c r="EO22" s="231">
        <v>-65424.88</v>
      </c>
      <c r="EP22" s="229">
        <v>-0.13639999999999999</v>
      </c>
      <c r="EQ22" s="231">
        <v>130960</v>
      </c>
      <c r="ER22" s="231">
        <v>82181</v>
      </c>
      <c r="ES22" s="231">
        <v>377445</v>
      </c>
      <c r="ET22" s="231">
        <v>291718772</v>
      </c>
      <c r="EU22" s="231">
        <v>590585</v>
      </c>
      <c r="EV22" s="231">
        <v>589680</v>
      </c>
      <c r="EW22" s="228">
        <v>905</v>
      </c>
      <c r="EX22" s="229">
        <v>1.5E-3</v>
      </c>
      <c r="EY22" s="229">
        <v>0.28849999999999998</v>
      </c>
    </row>
    <row r="23" spans="1:155" ht="17.25" thickBot="1" x14ac:dyDescent="0.3">
      <c r="A23" s="226">
        <v>45889</v>
      </c>
      <c r="B23" s="227" t="s">
        <v>168</v>
      </c>
      <c r="C23" s="227" t="s">
        <v>230</v>
      </c>
      <c r="D23" s="231">
        <v>2670.8</v>
      </c>
      <c r="E23" s="231">
        <v>2606.4</v>
      </c>
      <c r="F23" s="228">
        <v>64.400000000000006</v>
      </c>
      <c r="G23" s="229">
        <v>2.47E-2</v>
      </c>
      <c r="H23" s="231">
        <v>2669.8</v>
      </c>
      <c r="I23" s="231">
        <v>2604.8000000000002</v>
      </c>
      <c r="J23" s="228">
        <v>65</v>
      </c>
      <c r="K23" s="229">
        <v>2.5000000000000001E-2</v>
      </c>
      <c r="L23" s="231">
        <v>2670.8</v>
      </c>
      <c r="M23" s="231">
        <v>2606.4</v>
      </c>
      <c r="N23" s="228">
        <v>64.400000000000006</v>
      </c>
      <c r="O23" s="229">
        <v>2.47E-2</v>
      </c>
      <c r="P23" s="231">
        <v>2685</v>
      </c>
      <c r="Q23" s="231">
        <v>2621.5</v>
      </c>
      <c r="R23" s="228">
        <v>63.5</v>
      </c>
      <c r="S23" s="229">
        <v>2.4199999999999999E-2</v>
      </c>
      <c r="T23" s="231">
        <v>2694.6</v>
      </c>
      <c r="U23" s="231">
        <v>2630.5</v>
      </c>
      <c r="V23" s="228">
        <v>64.099999999999994</v>
      </c>
      <c r="W23" s="229">
        <v>2.4400000000000002E-2</v>
      </c>
      <c r="X23" s="228">
        <v>1</v>
      </c>
      <c r="Y23" s="228">
        <v>1.6</v>
      </c>
      <c r="Z23" s="228">
        <v>-0.6</v>
      </c>
      <c r="AA23" s="229">
        <v>4.0000000000000002E-4</v>
      </c>
      <c r="AB23" s="228">
        <v>1</v>
      </c>
      <c r="AC23" s="228">
        <v>1.6</v>
      </c>
      <c r="AD23" s="228">
        <v>-0.6</v>
      </c>
      <c r="AE23" s="229">
        <v>4.0000000000000002E-4</v>
      </c>
      <c r="AF23" s="228">
        <v>15.2</v>
      </c>
      <c r="AG23" s="228">
        <v>16.7</v>
      </c>
      <c r="AH23" s="228">
        <v>-1.5</v>
      </c>
      <c r="AI23" s="229">
        <v>5.7000000000000002E-3</v>
      </c>
      <c r="AJ23" s="228">
        <v>24.8</v>
      </c>
      <c r="AK23" s="228">
        <v>25.7</v>
      </c>
      <c r="AL23" s="228">
        <v>-0.9</v>
      </c>
      <c r="AM23" s="229">
        <v>9.2999999999999992E-3</v>
      </c>
      <c r="AN23" s="231">
        <v>2654.91</v>
      </c>
      <c r="AO23" s="231">
        <v>2673.39</v>
      </c>
      <c r="AP23" s="228">
        <v>0</v>
      </c>
      <c r="AQ23" s="230">
        <v>15758</v>
      </c>
      <c r="AR23" s="230">
        <v>7186</v>
      </c>
      <c r="AS23" s="230">
        <v>8572</v>
      </c>
      <c r="AT23" s="229">
        <v>1.1929000000000001</v>
      </c>
      <c r="AU23" s="230">
        <v>12983</v>
      </c>
      <c r="AV23" s="230">
        <v>6374</v>
      </c>
      <c r="AW23" s="230">
        <v>6609</v>
      </c>
      <c r="AX23" s="229">
        <v>1.0368999999999999</v>
      </c>
      <c r="AY23" s="230">
        <v>2665</v>
      </c>
      <c r="AZ23" s="228">
        <v>776</v>
      </c>
      <c r="BA23" s="230">
        <v>1889</v>
      </c>
      <c r="BB23" s="229">
        <v>2.4342999999999999</v>
      </c>
      <c r="BC23" s="228">
        <v>110</v>
      </c>
      <c r="BD23" s="228">
        <v>36</v>
      </c>
      <c r="BE23" s="228">
        <v>74</v>
      </c>
      <c r="BF23" s="229">
        <v>2.0556000000000001</v>
      </c>
      <c r="BG23" s="230">
        <v>150345</v>
      </c>
      <c r="BH23" s="230">
        <v>50244</v>
      </c>
      <c r="BI23" s="230">
        <v>100101</v>
      </c>
      <c r="BJ23" s="229">
        <v>1.9923</v>
      </c>
      <c r="BK23" s="230">
        <v>60062</v>
      </c>
      <c r="BL23" s="230">
        <v>23262</v>
      </c>
      <c r="BM23" s="230">
        <v>36800</v>
      </c>
      <c r="BN23" s="229">
        <v>1.5820000000000001</v>
      </c>
      <c r="BO23" s="230">
        <v>226165</v>
      </c>
      <c r="BP23" s="230">
        <v>80692</v>
      </c>
      <c r="BQ23" s="230">
        <v>145473</v>
      </c>
      <c r="BR23" s="229">
        <v>1.8028</v>
      </c>
      <c r="BS23" s="230">
        <v>3222252</v>
      </c>
      <c r="BT23" s="230">
        <v>1466187</v>
      </c>
      <c r="BU23" s="230">
        <v>1756065</v>
      </c>
      <c r="BV23" s="229">
        <v>1.1977</v>
      </c>
      <c r="BW23" s="230">
        <v>15919500</v>
      </c>
      <c r="BX23" s="230">
        <v>15366600</v>
      </c>
      <c r="BY23" s="230">
        <v>552900</v>
      </c>
      <c r="BZ23" s="229">
        <v>3.5999999999999997E-2</v>
      </c>
      <c r="CA23" s="230">
        <v>14473800</v>
      </c>
      <c r="CB23" s="230">
        <v>14307000</v>
      </c>
      <c r="CC23" s="230">
        <v>166800</v>
      </c>
      <c r="CD23" s="229">
        <v>1.17E-2</v>
      </c>
      <c r="CE23" s="230">
        <v>1114500</v>
      </c>
      <c r="CF23" s="230">
        <v>737700</v>
      </c>
      <c r="CG23" s="230">
        <v>376800</v>
      </c>
      <c r="CH23" s="229">
        <v>0.51080000000000003</v>
      </c>
      <c r="CI23" s="230">
        <v>331200</v>
      </c>
      <c r="CJ23" s="230">
        <v>321900</v>
      </c>
      <c r="CK23" s="230">
        <v>9300</v>
      </c>
      <c r="CL23" s="229">
        <v>2.8899999999999999E-2</v>
      </c>
      <c r="CM23" s="230">
        <v>8148600</v>
      </c>
      <c r="CN23" s="230">
        <v>8267700</v>
      </c>
      <c r="CO23" s="230">
        <v>-119100</v>
      </c>
      <c r="CP23" s="229">
        <v>-1.44E-2</v>
      </c>
      <c r="CQ23" s="230">
        <v>5634000</v>
      </c>
      <c r="CR23" s="230">
        <v>4340400</v>
      </c>
      <c r="CS23" s="230">
        <v>1293600</v>
      </c>
      <c r="CT23" s="229">
        <v>0.29799999999999999</v>
      </c>
      <c r="CU23" s="230">
        <v>29702100</v>
      </c>
      <c r="CV23" s="230">
        <v>27974700</v>
      </c>
      <c r="CW23" s="230">
        <v>1727400</v>
      </c>
      <c r="CX23" s="229">
        <v>6.1699999999999998E-2</v>
      </c>
      <c r="CY23" s="228">
        <v>19.88</v>
      </c>
      <c r="CZ23" s="228">
        <v>18.21</v>
      </c>
      <c r="DA23" s="228">
        <v>1.67</v>
      </c>
      <c r="DB23" s="228">
        <v>1.67</v>
      </c>
      <c r="DC23" s="228">
        <v>23.63</v>
      </c>
      <c r="DD23" s="228">
        <v>23.45</v>
      </c>
      <c r="DE23" s="228">
        <v>-3.75</v>
      </c>
      <c r="DF23" s="228">
        <v>0.18</v>
      </c>
      <c r="DG23" s="228">
        <v>19.260000000000002</v>
      </c>
      <c r="DH23" s="228">
        <v>17.489999999999998</v>
      </c>
      <c r="DI23" s="228">
        <v>1.77</v>
      </c>
      <c r="DJ23" s="228">
        <v>1.77</v>
      </c>
      <c r="DK23" s="228">
        <v>21.45</v>
      </c>
      <c r="DL23" s="228">
        <v>19.77</v>
      </c>
      <c r="DM23" s="228">
        <v>1.68</v>
      </c>
      <c r="DN23" s="228">
        <v>1.68</v>
      </c>
      <c r="DO23" s="228">
        <v>0.69</v>
      </c>
      <c r="DP23" s="228">
        <v>0.52</v>
      </c>
      <c r="DQ23" s="228">
        <v>0.17</v>
      </c>
      <c r="DR23" s="229">
        <v>0.32690000000000002</v>
      </c>
      <c r="DS23" s="231">
        <v>2600</v>
      </c>
      <c r="DT23" s="231">
        <v>2600</v>
      </c>
      <c r="DU23" s="228">
        <v>0.4</v>
      </c>
      <c r="DV23" s="228">
        <v>0.46</v>
      </c>
      <c r="DW23" s="228">
        <v>-0.06</v>
      </c>
      <c r="DX23" s="229">
        <v>-0.13039999999999999</v>
      </c>
      <c r="DY23" s="229">
        <v>9.0800000000000006E-2</v>
      </c>
      <c r="DZ23" s="230">
        <v>1059600</v>
      </c>
      <c r="EA23" s="229">
        <v>5.3E-3</v>
      </c>
      <c r="EB23" s="229">
        <v>9.0800000000000006E-2</v>
      </c>
      <c r="EC23" s="228">
        <v>18.48</v>
      </c>
      <c r="ED23" s="229">
        <v>7.0000000000000001E-3</v>
      </c>
      <c r="EE23" s="230">
        <v>2120389</v>
      </c>
      <c r="EF23" s="230">
        <v>1058280</v>
      </c>
      <c r="EG23" s="229">
        <v>1.0036</v>
      </c>
      <c r="EH23" s="229">
        <v>0.65800000000000003</v>
      </c>
      <c r="EI23" s="231">
        <v>1226500.08</v>
      </c>
      <c r="EJ23" s="231">
        <v>467309.3</v>
      </c>
      <c r="EK23" s="231">
        <v>125665.96</v>
      </c>
      <c r="EL23" s="228">
        <v>0</v>
      </c>
      <c r="EM23" s="231">
        <v>1819475.34</v>
      </c>
      <c r="EN23" s="231">
        <v>633230.5</v>
      </c>
      <c r="EO23" s="231">
        <v>1186244.8400000001</v>
      </c>
      <c r="EP23" s="229">
        <v>1.8733</v>
      </c>
      <c r="EQ23" s="231">
        <v>218367</v>
      </c>
      <c r="ER23" s="231">
        <v>140975</v>
      </c>
      <c r="ES23" s="231">
        <v>425415</v>
      </c>
      <c r="ET23" s="231">
        <v>179035680</v>
      </c>
      <c r="EU23" s="231">
        <v>784757</v>
      </c>
      <c r="EV23" s="231">
        <v>727123</v>
      </c>
      <c r="EW23" s="231">
        <v>57634</v>
      </c>
      <c r="EX23" s="229">
        <v>7.9299999999999995E-2</v>
      </c>
      <c r="EY23" s="229">
        <v>0.16589999999999999</v>
      </c>
    </row>
    <row r="24" spans="1:155" ht="17.25" thickBot="1" x14ac:dyDescent="0.3">
      <c r="A24" s="226">
        <v>45889</v>
      </c>
      <c r="B24" s="227" t="s">
        <v>172</v>
      </c>
      <c r="C24" s="227" t="s">
        <v>232</v>
      </c>
      <c r="D24" s="231">
        <v>1431.1</v>
      </c>
      <c r="E24" s="231">
        <v>1437.3</v>
      </c>
      <c r="F24" s="228">
        <v>-6.2</v>
      </c>
      <c r="G24" s="229">
        <v>-4.3E-3</v>
      </c>
      <c r="H24" s="231">
        <v>1430.6</v>
      </c>
      <c r="I24" s="231">
        <v>1436.3</v>
      </c>
      <c r="J24" s="228">
        <v>-5.7</v>
      </c>
      <c r="K24" s="229">
        <v>-4.0000000000000001E-3</v>
      </c>
      <c r="L24" s="231">
        <v>1431.1</v>
      </c>
      <c r="M24" s="231">
        <v>1437.3</v>
      </c>
      <c r="N24" s="228">
        <v>-6.2</v>
      </c>
      <c r="O24" s="229">
        <v>-4.3E-3</v>
      </c>
      <c r="P24" s="231">
        <v>1439.5</v>
      </c>
      <c r="Q24" s="231">
        <v>1445.8</v>
      </c>
      <c r="R24" s="228">
        <v>-6.3</v>
      </c>
      <c r="S24" s="229">
        <v>-4.4000000000000003E-3</v>
      </c>
      <c r="T24" s="231">
        <v>1445.8</v>
      </c>
      <c r="U24" s="231">
        <v>1452.2</v>
      </c>
      <c r="V24" s="228">
        <v>-6.4</v>
      </c>
      <c r="W24" s="229">
        <v>-4.4000000000000003E-3</v>
      </c>
      <c r="X24" s="228">
        <v>0.5</v>
      </c>
      <c r="Y24" s="228">
        <v>1</v>
      </c>
      <c r="Z24" s="228">
        <v>-0.5</v>
      </c>
      <c r="AA24" s="229">
        <v>2.9999999999999997E-4</v>
      </c>
      <c r="AB24" s="228">
        <v>0.5</v>
      </c>
      <c r="AC24" s="228">
        <v>1</v>
      </c>
      <c r="AD24" s="228">
        <v>-0.5</v>
      </c>
      <c r="AE24" s="229">
        <v>2.9999999999999997E-4</v>
      </c>
      <c r="AF24" s="228">
        <v>8.9</v>
      </c>
      <c r="AG24" s="228">
        <v>9.5</v>
      </c>
      <c r="AH24" s="228">
        <v>-0.6</v>
      </c>
      <c r="AI24" s="229">
        <v>6.1999999999999998E-3</v>
      </c>
      <c r="AJ24" s="228">
        <v>15.2</v>
      </c>
      <c r="AK24" s="228">
        <v>15.9</v>
      </c>
      <c r="AL24" s="228">
        <v>-0.7</v>
      </c>
      <c r="AM24" s="229">
        <v>1.06E-2</v>
      </c>
      <c r="AN24" s="231">
        <v>1430.42</v>
      </c>
      <c r="AO24" s="231">
        <v>1439.08</v>
      </c>
      <c r="AP24" s="228">
        <v>0</v>
      </c>
      <c r="AQ24" s="230">
        <v>17391</v>
      </c>
      <c r="AR24" s="230">
        <v>11355</v>
      </c>
      <c r="AS24" s="230">
        <v>6036</v>
      </c>
      <c r="AT24" s="229">
        <v>0.53159999999999996</v>
      </c>
      <c r="AU24" s="230">
        <v>12547</v>
      </c>
      <c r="AV24" s="230">
        <v>9683</v>
      </c>
      <c r="AW24" s="230">
        <v>2864</v>
      </c>
      <c r="AX24" s="229">
        <v>0.29580000000000001</v>
      </c>
      <c r="AY24" s="230">
        <v>3894</v>
      </c>
      <c r="AZ24" s="228">
        <v>611</v>
      </c>
      <c r="BA24" s="230">
        <v>3283</v>
      </c>
      <c r="BB24" s="229">
        <v>5.3731999999999998</v>
      </c>
      <c r="BC24" s="228">
        <v>950</v>
      </c>
      <c r="BD24" s="230">
        <v>1061</v>
      </c>
      <c r="BE24" s="228">
        <v>-111</v>
      </c>
      <c r="BF24" s="229">
        <v>-0.1046</v>
      </c>
      <c r="BG24" s="230">
        <v>34918</v>
      </c>
      <c r="BH24" s="230">
        <v>33743</v>
      </c>
      <c r="BI24" s="230">
        <v>1175</v>
      </c>
      <c r="BJ24" s="229">
        <v>3.4799999999999998E-2</v>
      </c>
      <c r="BK24" s="230">
        <v>18877</v>
      </c>
      <c r="BL24" s="230">
        <v>17218</v>
      </c>
      <c r="BM24" s="230">
        <v>1659</v>
      </c>
      <c r="BN24" s="229">
        <v>9.64E-2</v>
      </c>
      <c r="BO24" s="230">
        <v>71186</v>
      </c>
      <c r="BP24" s="230">
        <v>62316</v>
      </c>
      <c r="BQ24" s="230">
        <v>8870</v>
      </c>
      <c r="BR24" s="229">
        <v>0.14230000000000001</v>
      </c>
      <c r="BS24" s="230">
        <v>5959903</v>
      </c>
      <c r="BT24" s="230">
        <v>7029824</v>
      </c>
      <c r="BU24" s="230">
        <v>-1069921</v>
      </c>
      <c r="BV24" s="229">
        <v>-0.1522</v>
      </c>
      <c r="BW24" s="230">
        <v>106148700</v>
      </c>
      <c r="BX24" s="230">
        <v>105702800</v>
      </c>
      <c r="BY24" s="230">
        <v>445900</v>
      </c>
      <c r="BZ24" s="229">
        <v>4.1999999999999997E-3</v>
      </c>
      <c r="CA24" s="230">
        <v>92726900</v>
      </c>
      <c r="CB24" s="230">
        <v>95272800</v>
      </c>
      <c r="CC24" s="230">
        <v>-2545900</v>
      </c>
      <c r="CD24" s="229">
        <v>-2.6700000000000002E-2</v>
      </c>
      <c r="CE24" s="230">
        <v>8631700</v>
      </c>
      <c r="CF24" s="230">
        <v>6284600</v>
      </c>
      <c r="CG24" s="230">
        <v>2347100</v>
      </c>
      <c r="CH24" s="229">
        <v>0.3735</v>
      </c>
      <c r="CI24" s="230">
        <v>4790100</v>
      </c>
      <c r="CJ24" s="230">
        <v>4145400</v>
      </c>
      <c r="CK24" s="230">
        <v>644700</v>
      </c>
      <c r="CL24" s="229">
        <v>0.1555</v>
      </c>
      <c r="CM24" s="230">
        <v>24348100</v>
      </c>
      <c r="CN24" s="230">
        <v>22897000</v>
      </c>
      <c r="CO24" s="230">
        <v>1451100</v>
      </c>
      <c r="CP24" s="229">
        <v>6.3399999999999998E-2</v>
      </c>
      <c r="CQ24" s="230">
        <v>14119700</v>
      </c>
      <c r="CR24" s="230">
        <v>14056000</v>
      </c>
      <c r="CS24" s="230">
        <v>63700</v>
      </c>
      <c r="CT24" s="229">
        <v>4.4999999999999997E-3</v>
      </c>
      <c r="CU24" s="230">
        <v>144616500</v>
      </c>
      <c r="CV24" s="230">
        <v>142655800</v>
      </c>
      <c r="CW24" s="230">
        <v>1960700</v>
      </c>
      <c r="CX24" s="229">
        <v>1.37E-2</v>
      </c>
      <c r="CY24" s="228">
        <v>14.75</v>
      </c>
      <c r="CZ24" s="228">
        <v>14.48</v>
      </c>
      <c r="DA24" s="228">
        <v>0.27</v>
      </c>
      <c r="DB24" s="228">
        <v>0.27</v>
      </c>
      <c r="DC24" s="228">
        <v>22.07</v>
      </c>
      <c r="DD24" s="228">
        <v>22.11</v>
      </c>
      <c r="DE24" s="228">
        <v>-7.32</v>
      </c>
      <c r="DF24" s="228">
        <v>-0.04</v>
      </c>
      <c r="DG24" s="228">
        <v>14.97</v>
      </c>
      <c r="DH24" s="228">
        <v>14.33</v>
      </c>
      <c r="DI24" s="228">
        <v>0.64</v>
      </c>
      <c r="DJ24" s="228">
        <v>0.64</v>
      </c>
      <c r="DK24" s="228">
        <v>14.34</v>
      </c>
      <c r="DL24" s="228">
        <v>14.77</v>
      </c>
      <c r="DM24" s="228">
        <v>-0.43</v>
      </c>
      <c r="DN24" s="228">
        <v>-0.43</v>
      </c>
      <c r="DO24" s="228">
        <v>0.57999999999999996</v>
      </c>
      <c r="DP24" s="228">
        <v>0.61</v>
      </c>
      <c r="DQ24" s="228">
        <v>-0.03</v>
      </c>
      <c r="DR24" s="229">
        <v>-4.9200000000000001E-2</v>
      </c>
      <c r="DS24" s="231">
        <v>1500</v>
      </c>
      <c r="DT24" s="231">
        <v>1420</v>
      </c>
      <c r="DU24" s="228">
        <v>0.54</v>
      </c>
      <c r="DV24" s="228">
        <v>0.51</v>
      </c>
      <c r="DW24" s="228">
        <v>0.03</v>
      </c>
      <c r="DX24" s="229">
        <v>5.8799999999999998E-2</v>
      </c>
      <c r="DY24" s="229">
        <v>0.12640000000000001</v>
      </c>
      <c r="DZ24" s="230">
        <v>10430000</v>
      </c>
      <c r="EA24" s="229">
        <v>5.8999999999999999E-3</v>
      </c>
      <c r="EB24" s="229">
        <v>0.12640000000000001</v>
      </c>
      <c r="EC24" s="228">
        <v>8.66</v>
      </c>
      <c r="ED24" s="229">
        <v>6.1000000000000004E-3</v>
      </c>
      <c r="EE24" s="230">
        <v>4125973</v>
      </c>
      <c r="EF24" s="230">
        <v>4524878</v>
      </c>
      <c r="EG24" s="229">
        <v>-8.8200000000000001E-2</v>
      </c>
      <c r="EH24" s="229">
        <v>0.69230000000000003</v>
      </c>
      <c r="EI24" s="231">
        <v>355449.66</v>
      </c>
      <c r="EJ24" s="231">
        <v>188810.31</v>
      </c>
      <c r="EK24" s="231">
        <v>174471.96</v>
      </c>
      <c r="EL24" s="228">
        <v>0</v>
      </c>
      <c r="EM24" s="231">
        <v>718731.93</v>
      </c>
      <c r="EN24" s="231">
        <v>631564.12</v>
      </c>
      <c r="EO24" s="231">
        <v>87167.81</v>
      </c>
      <c r="EP24" s="229">
        <v>0.13800000000000001</v>
      </c>
      <c r="EQ24" s="231">
        <v>361019</v>
      </c>
      <c r="ER24" s="231">
        <v>199375</v>
      </c>
      <c r="ES24" s="231">
        <v>1520523</v>
      </c>
      <c r="ET24" s="231">
        <v>1159570344</v>
      </c>
      <c r="EU24" s="231">
        <v>2080918</v>
      </c>
      <c r="EV24" s="231">
        <v>2059187</v>
      </c>
      <c r="EW24" s="231">
        <v>21731</v>
      </c>
      <c r="EX24" s="229">
        <v>1.06E-2</v>
      </c>
      <c r="EY24" s="229">
        <v>0.12470000000000001</v>
      </c>
    </row>
    <row r="25" spans="1:155" ht="17.25" thickBot="1" x14ac:dyDescent="0.3">
      <c r="A25" s="226">
        <v>45889</v>
      </c>
      <c r="B25" s="227" t="s">
        <v>172</v>
      </c>
      <c r="C25" s="227" t="s">
        <v>239</v>
      </c>
      <c r="D25" s="228">
        <v>780.1</v>
      </c>
      <c r="E25" s="228">
        <v>786.35</v>
      </c>
      <c r="F25" s="228">
        <v>-6.25</v>
      </c>
      <c r="G25" s="229">
        <v>-7.9000000000000008E-3</v>
      </c>
      <c r="H25" s="228">
        <v>778.2</v>
      </c>
      <c r="I25" s="228">
        <v>785.5</v>
      </c>
      <c r="J25" s="228">
        <v>-7.3</v>
      </c>
      <c r="K25" s="229">
        <v>-9.2999999999999992E-3</v>
      </c>
      <c r="L25" s="228">
        <v>780.1</v>
      </c>
      <c r="M25" s="228">
        <v>786.35</v>
      </c>
      <c r="N25" s="228">
        <v>-6.25</v>
      </c>
      <c r="O25" s="229">
        <v>-7.9000000000000008E-3</v>
      </c>
      <c r="P25" s="228">
        <v>784.5</v>
      </c>
      <c r="Q25" s="228">
        <v>791.1</v>
      </c>
      <c r="R25" s="228">
        <v>-6.6</v>
      </c>
      <c r="S25" s="229">
        <v>-8.3000000000000001E-3</v>
      </c>
      <c r="T25" s="228">
        <v>788.65</v>
      </c>
      <c r="U25" s="228">
        <v>794.45</v>
      </c>
      <c r="V25" s="228">
        <v>-5.8</v>
      </c>
      <c r="W25" s="229">
        <v>-7.3000000000000001E-3</v>
      </c>
      <c r="X25" s="228">
        <v>1.9</v>
      </c>
      <c r="Y25" s="228">
        <v>0.85</v>
      </c>
      <c r="Z25" s="228">
        <v>1.05</v>
      </c>
      <c r="AA25" s="229">
        <v>2.3999999999999998E-3</v>
      </c>
      <c r="AB25" s="228">
        <v>1.9</v>
      </c>
      <c r="AC25" s="228">
        <v>0.85</v>
      </c>
      <c r="AD25" s="228">
        <v>1.05</v>
      </c>
      <c r="AE25" s="229">
        <v>2.3999999999999998E-3</v>
      </c>
      <c r="AF25" s="228">
        <v>6.3</v>
      </c>
      <c r="AG25" s="228">
        <v>5.6</v>
      </c>
      <c r="AH25" s="228">
        <v>0.7</v>
      </c>
      <c r="AI25" s="229">
        <v>8.0999999999999996E-3</v>
      </c>
      <c r="AJ25" s="228">
        <v>10.45</v>
      </c>
      <c r="AK25" s="228">
        <v>8.9499999999999993</v>
      </c>
      <c r="AL25" s="228">
        <v>1.5</v>
      </c>
      <c r="AM25" s="229">
        <v>1.34E-2</v>
      </c>
      <c r="AN25" s="228">
        <v>782.69</v>
      </c>
      <c r="AO25" s="228">
        <v>786.4</v>
      </c>
      <c r="AP25" s="228">
        <v>0</v>
      </c>
      <c r="AQ25" s="230">
        <v>9143</v>
      </c>
      <c r="AR25" s="230">
        <v>6998</v>
      </c>
      <c r="AS25" s="230">
        <v>2145</v>
      </c>
      <c r="AT25" s="229">
        <v>0.30649999999999999</v>
      </c>
      <c r="AU25" s="230">
        <v>6639</v>
      </c>
      <c r="AV25" s="230">
        <v>6262</v>
      </c>
      <c r="AW25" s="228">
        <v>377</v>
      </c>
      <c r="AX25" s="229">
        <v>6.0199999999999997E-2</v>
      </c>
      <c r="AY25" s="230">
        <v>2437</v>
      </c>
      <c r="AZ25" s="228">
        <v>635</v>
      </c>
      <c r="BA25" s="230">
        <v>1802</v>
      </c>
      <c r="BB25" s="229">
        <v>2.8378000000000001</v>
      </c>
      <c r="BC25" s="228">
        <v>67</v>
      </c>
      <c r="BD25" s="228">
        <v>101</v>
      </c>
      <c r="BE25" s="228">
        <v>-34</v>
      </c>
      <c r="BF25" s="229">
        <v>-0.33660000000000001</v>
      </c>
      <c r="BG25" s="230">
        <v>17443</v>
      </c>
      <c r="BH25" s="230">
        <v>16094</v>
      </c>
      <c r="BI25" s="230">
        <v>1349</v>
      </c>
      <c r="BJ25" s="229">
        <v>8.3799999999999999E-2</v>
      </c>
      <c r="BK25" s="230">
        <v>8480</v>
      </c>
      <c r="BL25" s="230">
        <v>8983</v>
      </c>
      <c r="BM25" s="228">
        <v>-503</v>
      </c>
      <c r="BN25" s="229">
        <v>-5.6000000000000001E-2</v>
      </c>
      <c r="BO25" s="230">
        <v>35066</v>
      </c>
      <c r="BP25" s="230">
        <v>32075</v>
      </c>
      <c r="BQ25" s="230">
        <v>2991</v>
      </c>
      <c r="BR25" s="229">
        <v>9.3299999999999994E-2</v>
      </c>
      <c r="BS25" s="230">
        <v>2415050</v>
      </c>
      <c r="BT25" s="230">
        <v>2852294</v>
      </c>
      <c r="BU25" s="230">
        <v>-437244</v>
      </c>
      <c r="BV25" s="229">
        <v>-0.15329999999999999</v>
      </c>
      <c r="BW25" s="230">
        <v>51895900</v>
      </c>
      <c r="BX25" s="230">
        <v>51274300</v>
      </c>
      <c r="BY25" s="230">
        <v>621600</v>
      </c>
      <c r="BZ25" s="229">
        <v>1.21E-2</v>
      </c>
      <c r="CA25" s="230">
        <v>47677000</v>
      </c>
      <c r="CB25" s="230">
        <v>48431600</v>
      </c>
      <c r="CC25" s="230">
        <v>-754600</v>
      </c>
      <c r="CD25" s="229">
        <v>-1.5599999999999999E-2</v>
      </c>
      <c r="CE25" s="230">
        <v>3940300</v>
      </c>
      <c r="CF25" s="230">
        <v>2587900</v>
      </c>
      <c r="CG25" s="230">
        <v>1352400</v>
      </c>
      <c r="CH25" s="229">
        <v>0.52259999999999995</v>
      </c>
      <c r="CI25" s="230">
        <v>278600</v>
      </c>
      <c r="CJ25" s="230">
        <v>254800</v>
      </c>
      <c r="CK25" s="230">
        <v>23800</v>
      </c>
      <c r="CL25" s="229">
        <v>9.3399999999999997E-2</v>
      </c>
      <c r="CM25" s="230">
        <v>18755100</v>
      </c>
      <c r="CN25" s="230">
        <v>17847200</v>
      </c>
      <c r="CO25" s="230">
        <v>907900</v>
      </c>
      <c r="CP25" s="229">
        <v>5.0900000000000001E-2</v>
      </c>
      <c r="CQ25" s="230">
        <v>10921400</v>
      </c>
      <c r="CR25" s="230">
        <v>11109000</v>
      </c>
      <c r="CS25" s="230">
        <v>-187600</v>
      </c>
      <c r="CT25" s="229">
        <v>-1.6899999999999998E-2</v>
      </c>
      <c r="CU25" s="230">
        <v>81572400</v>
      </c>
      <c r="CV25" s="230">
        <v>80230500</v>
      </c>
      <c r="CW25" s="230">
        <v>1341900</v>
      </c>
      <c r="CX25" s="229">
        <v>1.67E-2</v>
      </c>
      <c r="CY25" s="228">
        <v>30.54</v>
      </c>
      <c r="CZ25" s="228">
        <v>29.15</v>
      </c>
      <c r="DA25" s="228">
        <v>1.39</v>
      </c>
      <c r="DB25" s="228">
        <v>1.39</v>
      </c>
      <c r="DC25" s="228">
        <v>50.58</v>
      </c>
      <c r="DD25" s="228">
        <v>50.69</v>
      </c>
      <c r="DE25" s="228">
        <v>-20.04</v>
      </c>
      <c r="DF25" s="228">
        <v>-0.11</v>
      </c>
      <c r="DG25" s="228">
        <v>31.16</v>
      </c>
      <c r="DH25" s="228">
        <v>29.78</v>
      </c>
      <c r="DI25" s="228">
        <v>1.38</v>
      </c>
      <c r="DJ25" s="228">
        <v>1.38</v>
      </c>
      <c r="DK25" s="228">
        <v>29.26</v>
      </c>
      <c r="DL25" s="228">
        <v>28.02</v>
      </c>
      <c r="DM25" s="228">
        <v>1.24</v>
      </c>
      <c r="DN25" s="228">
        <v>1.24</v>
      </c>
      <c r="DO25" s="228">
        <v>0.57999999999999996</v>
      </c>
      <c r="DP25" s="228">
        <v>0.62</v>
      </c>
      <c r="DQ25" s="228">
        <v>-0.04</v>
      </c>
      <c r="DR25" s="229">
        <v>-6.4500000000000002E-2</v>
      </c>
      <c r="DS25" s="228">
        <v>900</v>
      </c>
      <c r="DT25" s="228">
        <v>800</v>
      </c>
      <c r="DU25" s="228">
        <v>0.49</v>
      </c>
      <c r="DV25" s="228">
        <v>0.56000000000000005</v>
      </c>
      <c r="DW25" s="228">
        <v>-7.0000000000000007E-2</v>
      </c>
      <c r="DX25" s="229">
        <v>-0.125</v>
      </c>
      <c r="DY25" s="229">
        <v>8.1299999999999997E-2</v>
      </c>
      <c r="DZ25" s="230">
        <v>2842700</v>
      </c>
      <c r="EA25" s="229">
        <v>5.5999999999999999E-3</v>
      </c>
      <c r="EB25" s="229">
        <v>8.1299999999999997E-2</v>
      </c>
      <c r="EC25" s="228">
        <v>3.71</v>
      </c>
      <c r="ED25" s="229">
        <v>4.7000000000000002E-3</v>
      </c>
      <c r="EE25" s="230">
        <v>1207431</v>
      </c>
      <c r="EF25" s="230">
        <v>1483326</v>
      </c>
      <c r="EG25" s="229">
        <v>-0.186</v>
      </c>
      <c r="EH25" s="229">
        <v>0.5</v>
      </c>
      <c r="EI25" s="231">
        <v>99981.9</v>
      </c>
      <c r="EJ25" s="231">
        <v>46664.25</v>
      </c>
      <c r="EK25" s="231">
        <v>50160.03</v>
      </c>
      <c r="EL25" s="228">
        <v>0</v>
      </c>
      <c r="EM25" s="231">
        <v>196806.18</v>
      </c>
      <c r="EN25" s="231">
        <v>180907.99</v>
      </c>
      <c r="EO25" s="231">
        <v>15898.19</v>
      </c>
      <c r="EP25" s="229">
        <v>8.7900000000000006E-2</v>
      </c>
      <c r="EQ25" s="231">
        <v>158493</v>
      </c>
      <c r="ER25" s="231">
        <v>86424</v>
      </c>
      <c r="ES25" s="231">
        <v>405037</v>
      </c>
      <c r="ET25" s="231">
        <v>125074379</v>
      </c>
      <c r="EU25" s="231">
        <v>649954</v>
      </c>
      <c r="EV25" s="231">
        <v>642708</v>
      </c>
      <c r="EW25" s="231">
        <v>7246</v>
      </c>
      <c r="EX25" s="229">
        <v>1.1299999999999999E-2</v>
      </c>
      <c r="EY25" s="229">
        <v>0.6522</v>
      </c>
    </row>
    <row r="26" spans="1:155" ht="17.25" thickBot="1" x14ac:dyDescent="0.3">
      <c r="A26" s="226">
        <v>45889</v>
      </c>
      <c r="B26" s="227" t="s">
        <v>221</v>
      </c>
      <c r="C26" s="227" t="s">
        <v>240</v>
      </c>
      <c r="D26" s="231">
        <v>1498.5</v>
      </c>
      <c r="E26" s="231">
        <v>1445.5</v>
      </c>
      <c r="F26" s="228">
        <v>53</v>
      </c>
      <c r="G26" s="229">
        <v>3.6700000000000003E-2</v>
      </c>
      <c r="H26" s="231">
        <v>1496.2</v>
      </c>
      <c r="I26" s="231">
        <v>1440</v>
      </c>
      <c r="J26" s="228">
        <v>56.2</v>
      </c>
      <c r="K26" s="229">
        <v>3.9E-2</v>
      </c>
      <c r="L26" s="231">
        <v>1498.5</v>
      </c>
      <c r="M26" s="231">
        <v>1445.5</v>
      </c>
      <c r="N26" s="228">
        <v>53</v>
      </c>
      <c r="O26" s="229">
        <v>3.6700000000000003E-2</v>
      </c>
      <c r="P26" s="231">
        <v>1506.1</v>
      </c>
      <c r="Q26" s="231">
        <v>1453.2</v>
      </c>
      <c r="R26" s="228">
        <v>52.9</v>
      </c>
      <c r="S26" s="229">
        <v>3.6400000000000002E-2</v>
      </c>
      <c r="T26" s="231">
        <v>1501.1</v>
      </c>
      <c r="U26" s="231">
        <v>1450</v>
      </c>
      <c r="V26" s="228">
        <v>51.1</v>
      </c>
      <c r="W26" s="229">
        <v>3.5200000000000002E-2</v>
      </c>
      <c r="X26" s="228">
        <v>2.2999999999999998</v>
      </c>
      <c r="Y26" s="228">
        <v>5.5</v>
      </c>
      <c r="Z26" s="228">
        <v>-3.2</v>
      </c>
      <c r="AA26" s="229">
        <v>1.5E-3</v>
      </c>
      <c r="AB26" s="228">
        <v>2.2999999999999998</v>
      </c>
      <c r="AC26" s="228">
        <v>5.5</v>
      </c>
      <c r="AD26" s="228">
        <v>-3.2</v>
      </c>
      <c r="AE26" s="229">
        <v>1.5E-3</v>
      </c>
      <c r="AF26" s="228">
        <v>9.9</v>
      </c>
      <c r="AG26" s="228">
        <v>13.2</v>
      </c>
      <c r="AH26" s="228">
        <v>-3.3</v>
      </c>
      <c r="AI26" s="229">
        <v>6.6E-3</v>
      </c>
      <c r="AJ26" s="228">
        <v>4.9000000000000004</v>
      </c>
      <c r="AK26" s="228">
        <v>10</v>
      </c>
      <c r="AL26" s="228">
        <v>-5.0999999999999996</v>
      </c>
      <c r="AM26" s="229">
        <v>3.3E-3</v>
      </c>
      <c r="AN26" s="231">
        <v>1482.17</v>
      </c>
      <c r="AO26" s="231">
        <v>1490.78</v>
      </c>
      <c r="AP26" s="228">
        <v>0</v>
      </c>
      <c r="AQ26" s="230">
        <v>51235</v>
      </c>
      <c r="AR26" s="230">
        <v>14126</v>
      </c>
      <c r="AS26" s="230">
        <v>37109</v>
      </c>
      <c r="AT26" s="229">
        <v>2.6269999999999998</v>
      </c>
      <c r="AU26" s="230">
        <v>41844</v>
      </c>
      <c r="AV26" s="230">
        <v>11562</v>
      </c>
      <c r="AW26" s="230">
        <v>30282</v>
      </c>
      <c r="AX26" s="229">
        <v>2.6191</v>
      </c>
      <c r="AY26" s="230">
        <v>8690</v>
      </c>
      <c r="AZ26" s="230">
        <v>2204</v>
      </c>
      <c r="BA26" s="230">
        <v>6486</v>
      </c>
      <c r="BB26" s="229">
        <v>2.9428000000000001</v>
      </c>
      <c r="BC26" s="228">
        <v>701</v>
      </c>
      <c r="BD26" s="228">
        <v>360</v>
      </c>
      <c r="BE26" s="228">
        <v>341</v>
      </c>
      <c r="BF26" s="229">
        <v>0.94720000000000004</v>
      </c>
      <c r="BG26" s="230">
        <v>280745</v>
      </c>
      <c r="BH26" s="230">
        <v>56369</v>
      </c>
      <c r="BI26" s="230">
        <v>224376</v>
      </c>
      <c r="BJ26" s="229">
        <v>3.9805000000000001</v>
      </c>
      <c r="BK26" s="230">
        <v>122812</v>
      </c>
      <c r="BL26" s="230">
        <v>26962</v>
      </c>
      <c r="BM26" s="230">
        <v>95850</v>
      </c>
      <c r="BN26" s="229">
        <v>3.5550000000000002</v>
      </c>
      <c r="BO26" s="230">
        <v>454792</v>
      </c>
      <c r="BP26" s="230">
        <v>97457</v>
      </c>
      <c r="BQ26" s="230">
        <v>357335</v>
      </c>
      <c r="BR26" s="229">
        <v>3.6665999999999999</v>
      </c>
      <c r="BS26" s="230">
        <v>10766512</v>
      </c>
      <c r="BT26" s="230">
        <v>4551030</v>
      </c>
      <c r="BU26" s="230">
        <v>6215482</v>
      </c>
      <c r="BV26" s="229">
        <v>1.3656999999999999</v>
      </c>
      <c r="BW26" s="230">
        <v>83262400</v>
      </c>
      <c r="BX26" s="230">
        <v>86469200</v>
      </c>
      <c r="BY26" s="230">
        <v>-3206800</v>
      </c>
      <c r="BZ26" s="229">
        <v>-3.7100000000000001E-2</v>
      </c>
      <c r="CA26" s="230">
        <v>74836800</v>
      </c>
      <c r="CB26" s="230">
        <v>79330800</v>
      </c>
      <c r="CC26" s="230">
        <v>-4494000</v>
      </c>
      <c r="CD26" s="229">
        <v>-5.6599999999999998E-2</v>
      </c>
      <c r="CE26" s="230">
        <v>7924400</v>
      </c>
      <c r="CF26" s="230">
        <v>6600400</v>
      </c>
      <c r="CG26" s="230">
        <v>1324000</v>
      </c>
      <c r="CH26" s="229">
        <v>0.2006</v>
      </c>
      <c r="CI26" s="230">
        <v>501200</v>
      </c>
      <c r="CJ26" s="230">
        <v>538000</v>
      </c>
      <c r="CK26" s="230">
        <v>-36800</v>
      </c>
      <c r="CL26" s="229">
        <v>-6.8400000000000002E-2</v>
      </c>
      <c r="CM26" s="230">
        <v>25406400</v>
      </c>
      <c r="CN26" s="230">
        <v>28178400</v>
      </c>
      <c r="CO26" s="230">
        <v>-2772000</v>
      </c>
      <c r="CP26" s="229">
        <v>-9.8400000000000001E-2</v>
      </c>
      <c r="CQ26" s="230">
        <v>17354400</v>
      </c>
      <c r="CR26" s="230">
        <v>15631600</v>
      </c>
      <c r="CS26" s="230">
        <v>1722800</v>
      </c>
      <c r="CT26" s="229">
        <v>0.11020000000000001</v>
      </c>
      <c r="CU26" s="230">
        <v>126023200</v>
      </c>
      <c r="CV26" s="230">
        <v>130279200</v>
      </c>
      <c r="CW26" s="230">
        <v>-4256000</v>
      </c>
      <c r="CX26" s="229">
        <v>-3.27E-2</v>
      </c>
      <c r="CY26" s="228">
        <v>24.1</v>
      </c>
      <c r="CZ26" s="228">
        <v>25.02</v>
      </c>
      <c r="DA26" s="228">
        <v>-0.92</v>
      </c>
      <c r="DB26" s="228">
        <v>-0.92</v>
      </c>
      <c r="DC26" s="228">
        <v>29.39</v>
      </c>
      <c r="DD26" s="228">
        <v>29.01</v>
      </c>
      <c r="DE26" s="228">
        <v>-5.29</v>
      </c>
      <c r="DF26" s="228">
        <v>0.38</v>
      </c>
      <c r="DG26" s="228">
        <v>23.23</v>
      </c>
      <c r="DH26" s="228">
        <v>24.92</v>
      </c>
      <c r="DI26" s="228">
        <v>-1.69</v>
      </c>
      <c r="DJ26" s="228">
        <v>-1.69</v>
      </c>
      <c r="DK26" s="228">
        <v>26.08</v>
      </c>
      <c r="DL26" s="228">
        <v>25.25</v>
      </c>
      <c r="DM26" s="228">
        <v>0.83</v>
      </c>
      <c r="DN26" s="228">
        <v>0.83</v>
      </c>
      <c r="DO26" s="228">
        <v>0.68</v>
      </c>
      <c r="DP26" s="228">
        <v>0.55000000000000004</v>
      </c>
      <c r="DQ26" s="228">
        <v>0.13</v>
      </c>
      <c r="DR26" s="229">
        <v>0.2364</v>
      </c>
      <c r="DS26" s="231">
        <v>1500</v>
      </c>
      <c r="DT26" s="231">
        <v>1460</v>
      </c>
      <c r="DU26" s="228">
        <v>0.44</v>
      </c>
      <c r="DV26" s="228">
        <v>0.48</v>
      </c>
      <c r="DW26" s="228">
        <v>-0.04</v>
      </c>
      <c r="DX26" s="229">
        <v>-8.3299999999999999E-2</v>
      </c>
      <c r="DY26" s="229">
        <v>0.1012</v>
      </c>
      <c r="DZ26" s="230">
        <v>7138400</v>
      </c>
      <c r="EA26" s="229">
        <v>5.1000000000000004E-3</v>
      </c>
      <c r="EB26" s="229">
        <v>0.1012</v>
      </c>
      <c r="EC26" s="228">
        <v>8.61</v>
      </c>
      <c r="ED26" s="229">
        <v>5.7999999999999996E-3</v>
      </c>
      <c r="EE26" s="230">
        <v>6309188</v>
      </c>
      <c r="EF26" s="230">
        <v>2672344</v>
      </c>
      <c r="EG26" s="229">
        <v>1.3609</v>
      </c>
      <c r="EH26" s="229">
        <v>0.58599999999999997</v>
      </c>
      <c r="EI26" s="231">
        <v>1714019.25</v>
      </c>
      <c r="EJ26" s="231">
        <v>716438.26</v>
      </c>
      <c r="EK26" s="231">
        <v>304059.45</v>
      </c>
      <c r="EL26" s="228">
        <v>0</v>
      </c>
      <c r="EM26" s="231">
        <v>2734516.96</v>
      </c>
      <c r="EN26" s="231">
        <v>574488</v>
      </c>
      <c r="EO26" s="231">
        <v>2160028.96</v>
      </c>
      <c r="EP26" s="229">
        <v>3.7599</v>
      </c>
      <c r="EQ26" s="231">
        <v>393468</v>
      </c>
      <c r="ER26" s="231">
        <v>249414</v>
      </c>
      <c r="ES26" s="231">
        <v>1248302</v>
      </c>
      <c r="ET26" s="231">
        <v>632016998</v>
      </c>
      <c r="EU26" s="231">
        <v>1891185</v>
      </c>
      <c r="EV26" s="231">
        <v>1907326</v>
      </c>
      <c r="EW26" s="231">
        <v>-16141</v>
      </c>
      <c r="EX26" s="229">
        <v>-8.5000000000000006E-3</v>
      </c>
      <c r="EY26" s="229">
        <v>0.19939999999999999</v>
      </c>
    </row>
    <row r="27" spans="1:155" ht="17.25" thickBot="1" x14ac:dyDescent="0.3">
      <c r="A27" s="226">
        <v>45889</v>
      </c>
      <c r="B27" s="227" t="s">
        <v>168</v>
      </c>
      <c r="C27" s="227" t="s">
        <v>242</v>
      </c>
      <c r="D27" s="228">
        <v>407.25</v>
      </c>
      <c r="E27" s="228">
        <v>409.55</v>
      </c>
      <c r="F27" s="228">
        <v>-2.2999999999999998</v>
      </c>
      <c r="G27" s="229">
        <v>-5.5999999999999999E-3</v>
      </c>
      <c r="H27" s="228">
        <v>406.05</v>
      </c>
      <c r="I27" s="228">
        <v>409.1</v>
      </c>
      <c r="J27" s="228">
        <v>-3.05</v>
      </c>
      <c r="K27" s="229">
        <v>-7.4999999999999997E-3</v>
      </c>
      <c r="L27" s="228">
        <v>407.25</v>
      </c>
      <c r="M27" s="228">
        <v>409.55</v>
      </c>
      <c r="N27" s="228">
        <v>-2.2999999999999998</v>
      </c>
      <c r="O27" s="229">
        <v>-5.5999999999999999E-3</v>
      </c>
      <c r="P27" s="228">
        <v>409.45</v>
      </c>
      <c r="Q27" s="228">
        <v>411.9</v>
      </c>
      <c r="R27" s="228">
        <v>-2.4500000000000002</v>
      </c>
      <c r="S27" s="229">
        <v>-5.8999999999999999E-3</v>
      </c>
      <c r="T27" s="228">
        <v>411.6</v>
      </c>
      <c r="U27" s="228">
        <v>413.8</v>
      </c>
      <c r="V27" s="228">
        <v>-2.2000000000000002</v>
      </c>
      <c r="W27" s="229">
        <v>-5.3E-3</v>
      </c>
      <c r="X27" s="228">
        <v>1.2</v>
      </c>
      <c r="Y27" s="228">
        <v>0.45</v>
      </c>
      <c r="Z27" s="228">
        <v>0.75</v>
      </c>
      <c r="AA27" s="229">
        <v>3.0000000000000001E-3</v>
      </c>
      <c r="AB27" s="228">
        <v>1.2</v>
      </c>
      <c r="AC27" s="228">
        <v>0.45</v>
      </c>
      <c r="AD27" s="228">
        <v>0.75</v>
      </c>
      <c r="AE27" s="229">
        <v>3.0000000000000001E-3</v>
      </c>
      <c r="AF27" s="228">
        <v>3.4</v>
      </c>
      <c r="AG27" s="228">
        <v>2.8</v>
      </c>
      <c r="AH27" s="228">
        <v>0.6</v>
      </c>
      <c r="AI27" s="229">
        <v>8.3999999999999995E-3</v>
      </c>
      <c r="AJ27" s="228">
        <v>5.55</v>
      </c>
      <c r="AK27" s="228">
        <v>4.7</v>
      </c>
      <c r="AL27" s="228">
        <v>0.85</v>
      </c>
      <c r="AM27" s="229">
        <v>1.37E-2</v>
      </c>
      <c r="AN27" s="228">
        <v>408.86</v>
      </c>
      <c r="AO27" s="228">
        <v>410.76</v>
      </c>
      <c r="AP27" s="228">
        <v>0</v>
      </c>
      <c r="AQ27" s="230">
        <v>13192</v>
      </c>
      <c r="AR27" s="230">
        <v>7373</v>
      </c>
      <c r="AS27" s="230">
        <v>5819</v>
      </c>
      <c r="AT27" s="229">
        <v>0.78920000000000001</v>
      </c>
      <c r="AU27" s="230">
        <v>9472</v>
      </c>
      <c r="AV27" s="230">
        <v>5996</v>
      </c>
      <c r="AW27" s="230">
        <v>3476</v>
      </c>
      <c r="AX27" s="229">
        <v>0.57969999999999999</v>
      </c>
      <c r="AY27" s="230">
        <v>3596</v>
      </c>
      <c r="AZ27" s="230">
        <v>1192</v>
      </c>
      <c r="BA27" s="230">
        <v>2404</v>
      </c>
      <c r="BB27" s="229">
        <v>2.0167999999999999</v>
      </c>
      <c r="BC27" s="228">
        <v>124</v>
      </c>
      <c r="BD27" s="228">
        <v>185</v>
      </c>
      <c r="BE27" s="228">
        <v>-61</v>
      </c>
      <c r="BF27" s="229">
        <v>-0.32969999999999999</v>
      </c>
      <c r="BG27" s="230">
        <v>32448</v>
      </c>
      <c r="BH27" s="230">
        <v>30359</v>
      </c>
      <c r="BI27" s="230">
        <v>2089</v>
      </c>
      <c r="BJ27" s="229">
        <v>6.88E-2</v>
      </c>
      <c r="BK27" s="230">
        <v>17434</v>
      </c>
      <c r="BL27" s="230">
        <v>18009</v>
      </c>
      <c r="BM27" s="228">
        <v>-575</v>
      </c>
      <c r="BN27" s="229">
        <v>-3.1899999999999998E-2</v>
      </c>
      <c r="BO27" s="230">
        <v>63074</v>
      </c>
      <c r="BP27" s="230">
        <v>55741</v>
      </c>
      <c r="BQ27" s="230">
        <v>7333</v>
      </c>
      <c r="BR27" s="229">
        <v>0.13159999999999999</v>
      </c>
      <c r="BS27" s="230">
        <v>19485148</v>
      </c>
      <c r="BT27" s="230">
        <v>17578231</v>
      </c>
      <c r="BU27" s="230">
        <v>1906917</v>
      </c>
      <c r="BV27" s="229">
        <v>0.1085</v>
      </c>
      <c r="BW27" s="230">
        <v>106606400</v>
      </c>
      <c r="BX27" s="230">
        <v>99910400</v>
      </c>
      <c r="BY27" s="230">
        <v>6696000</v>
      </c>
      <c r="BZ27" s="229">
        <v>6.7000000000000004E-2</v>
      </c>
      <c r="CA27" s="230">
        <v>89446400</v>
      </c>
      <c r="CB27" s="230">
        <v>87393600</v>
      </c>
      <c r="CC27" s="230">
        <v>2052800</v>
      </c>
      <c r="CD27" s="229">
        <v>2.35E-2</v>
      </c>
      <c r="CE27" s="230">
        <v>14667200</v>
      </c>
      <c r="CF27" s="230">
        <v>10128000</v>
      </c>
      <c r="CG27" s="230">
        <v>4539200</v>
      </c>
      <c r="CH27" s="229">
        <v>0.44819999999999999</v>
      </c>
      <c r="CI27" s="230">
        <v>2492800</v>
      </c>
      <c r="CJ27" s="230">
        <v>2388800</v>
      </c>
      <c r="CK27" s="230">
        <v>104000</v>
      </c>
      <c r="CL27" s="229">
        <v>4.3499999999999997E-2</v>
      </c>
      <c r="CM27" s="230">
        <v>60032000</v>
      </c>
      <c r="CN27" s="230">
        <v>58444800</v>
      </c>
      <c r="CO27" s="230">
        <v>1587200</v>
      </c>
      <c r="CP27" s="229">
        <v>2.7199999999999998E-2</v>
      </c>
      <c r="CQ27" s="230">
        <v>32172800</v>
      </c>
      <c r="CR27" s="230">
        <v>30732800</v>
      </c>
      <c r="CS27" s="230">
        <v>1440000</v>
      </c>
      <c r="CT27" s="229">
        <v>4.6899999999999997E-2</v>
      </c>
      <c r="CU27" s="230">
        <v>198811200</v>
      </c>
      <c r="CV27" s="230">
        <v>189088000</v>
      </c>
      <c r="CW27" s="230">
        <v>9723200</v>
      </c>
      <c r="CX27" s="229">
        <v>5.1400000000000001E-2</v>
      </c>
      <c r="CY27" s="228">
        <v>17.52</v>
      </c>
      <c r="CZ27" s="228">
        <v>15.94</v>
      </c>
      <c r="DA27" s="228">
        <v>1.58</v>
      </c>
      <c r="DB27" s="228">
        <v>1.58</v>
      </c>
      <c r="DC27" s="228">
        <v>20.170000000000002</v>
      </c>
      <c r="DD27" s="228">
        <v>20.2</v>
      </c>
      <c r="DE27" s="228">
        <v>-2.65</v>
      </c>
      <c r="DF27" s="228">
        <v>-0.03</v>
      </c>
      <c r="DG27" s="228">
        <v>17.79</v>
      </c>
      <c r="DH27" s="228">
        <v>15.85</v>
      </c>
      <c r="DI27" s="228">
        <v>1.94</v>
      </c>
      <c r="DJ27" s="228">
        <v>1.94</v>
      </c>
      <c r="DK27" s="228">
        <v>17.03</v>
      </c>
      <c r="DL27" s="228">
        <v>16.09</v>
      </c>
      <c r="DM27" s="228">
        <v>0.94</v>
      </c>
      <c r="DN27" s="228">
        <v>0.94</v>
      </c>
      <c r="DO27" s="228">
        <v>0.54</v>
      </c>
      <c r="DP27" s="228">
        <v>0.53</v>
      </c>
      <c r="DQ27" s="228">
        <v>0.01</v>
      </c>
      <c r="DR27" s="229">
        <v>1.89E-2</v>
      </c>
      <c r="DS27" s="228">
        <v>420</v>
      </c>
      <c r="DT27" s="228">
        <v>410</v>
      </c>
      <c r="DU27" s="228">
        <v>0.54</v>
      </c>
      <c r="DV27" s="228">
        <v>0.59</v>
      </c>
      <c r="DW27" s="228">
        <v>-0.05</v>
      </c>
      <c r="DX27" s="229">
        <v>-8.4699999999999998E-2</v>
      </c>
      <c r="DY27" s="229">
        <v>0.161</v>
      </c>
      <c r="DZ27" s="230">
        <v>12516800</v>
      </c>
      <c r="EA27" s="229">
        <v>5.4000000000000003E-3</v>
      </c>
      <c r="EB27" s="229">
        <v>0.161</v>
      </c>
      <c r="EC27" s="228">
        <v>1.9</v>
      </c>
      <c r="ED27" s="229">
        <v>4.5999999999999999E-3</v>
      </c>
      <c r="EE27" s="230">
        <v>15715348</v>
      </c>
      <c r="EF27" s="230">
        <v>13050452</v>
      </c>
      <c r="EG27" s="229">
        <v>0.20419999999999999</v>
      </c>
      <c r="EH27" s="229">
        <v>0.80649999999999999</v>
      </c>
      <c r="EI27" s="231">
        <v>217675.45</v>
      </c>
      <c r="EJ27" s="231">
        <v>113889.12</v>
      </c>
      <c r="EK27" s="231">
        <v>86416</v>
      </c>
      <c r="EL27" s="228">
        <v>0</v>
      </c>
      <c r="EM27" s="231">
        <v>417980.57</v>
      </c>
      <c r="EN27" s="231">
        <v>368834.57</v>
      </c>
      <c r="EO27" s="231">
        <v>49146</v>
      </c>
      <c r="EP27" s="229">
        <v>0.13320000000000001</v>
      </c>
      <c r="EQ27" s="231">
        <v>254651</v>
      </c>
      <c r="ER27" s="231">
        <v>131063</v>
      </c>
      <c r="ES27" s="231">
        <v>434586</v>
      </c>
      <c r="ET27" s="231">
        <v>2502825682</v>
      </c>
      <c r="EU27" s="231">
        <v>820300</v>
      </c>
      <c r="EV27" s="231">
        <v>783295</v>
      </c>
      <c r="EW27" s="231">
        <v>37005</v>
      </c>
      <c r="EX27" s="229">
        <v>4.7199999999999999E-2</v>
      </c>
      <c r="EY27" s="229">
        <v>7.9399999999999998E-2</v>
      </c>
    </row>
    <row r="28" spans="1:155" ht="17.25" thickBot="1" x14ac:dyDescent="0.3">
      <c r="A28" s="226">
        <v>45889</v>
      </c>
      <c r="B28" s="227" t="s">
        <v>175</v>
      </c>
      <c r="C28" s="227" t="s">
        <v>571</v>
      </c>
      <c r="D28" s="228">
        <v>329.05</v>
      </c>
      <c r="E28" s="228">
        <v>332.4</v>
      </c>
      <c r="F28" s="228">
        <v>-3.35</v>
      </c>
      <c r="G28" s="229">
        <v>-1.01E-2</v>
      </c>
      <c r="H28" s="228">
        <v>328.45</v>
      </c>
      <c r="I28" s="228">
        <v>331.3</v>
      </c>
      <c r="J28" s="228">
        <v>-2.85</v>
      </c>
      <c r="K28" s="229">
        <v>-8.6E-3</v>
      </c>
      <c r="L28" s="228">
        <v>329.05</v>
      </c>
      <c r="M28" s="228">
        <v>332.4</v>
      </c>
      <c r="N28" s="228">
        <v>-3.35</v>
      </c>
      <c r="O28" s="229">
        <v>-1.01E-2</v>
      </c>
      <c r="P28" s="228">
        <v>331.1</v>
      </c>
      <c r="Q28" s="228">
        <v>334.25</v>
      </c>
      <c r="R28" s="228">
        <v>-3.15</v>
      </c>
      <c r="S28" s="229">
        <v>-9.4000000000000004E-3</v>
      </c>
      <c r="T28" s="228">
        <v>332.55</v>
      </c>
      <c r="U28" s="228">
        <v>335.8</v>
      </c>
      <c r="V28" s="228">
        <v>-3.25</v>
      </c>
      <c r="W28" s="229">
        <v>-9.7000000000000003E-3</v>
      </c>
      <c r="X28" s="228">
        <v>0.6</v>
      </c>
      <c r="Y28" s="228">
        <v>1.1000000000000001</v>
      </c>
      <c r="Z28" s="228">
        <v>-0.5</v>
      </c>
      <c r="AA28" s="229">
        <v>1.8E-3</v>
      </c>
      <c r="AB28" s="228">
        <v>0.6</v>
      </c>
      <c r="AC28" s="228">
        <v>1.1000000000000001</v>
      </c>
      <c r="AD28" s="228">
        <v>-0.5</v>
      </c>
      <c r="AE28" s="229">
        <v>1.8E-3</v>
      </c>
      <c r="AF28" s="228">
        <v>2.65</v>
      </c>
      <c r="AG28" s="228">
        <v>2.95</v>
      </c>
      <c r="AH28" s="228">
        <v>-0.3</v>
      </c>
      <c r="AI28" s="229">
        <v>8.0999999999999996E-3</v>
      </c>
      <c r="AJ28" s="228">
        <v>4.0999999999999996</v>
      </c>
      <c r="AK28" s="228">
        <v>4.5</v>
      </c>
      <c r="AL28" s="228">
        <v>-0.4</v>
      </c>
      <c r="AM28" s="229">
        <v>1.2500000000000001E-2</v>
      </c>
      <c r="AN28" s="228">
        <v>329.42</v>
      </c>
      <c r="AO28" s="228">
        <v>331.44</v>
      </c>
      <c r="AP28" s="228">
        <v>0</v>
      </c>
      <c r="AQ28" s="230">
        <v>7403</v>
      </c>
      <c r="AR28" s="230">
        <v>6735</v>
      </c>
      <c r="AS28" s="228">
        <v>668</v>
      </c>
      <c r="AT28" s="229">
        <v>9.9199999999999997E-2</v>
      </c>
      <c r="AU28" s="230">
        <v>4875</v>
      </c>
      <c r="AV28" s="230">
        <v>4869</v>
      </c>
      <c r="AW28" s="228">
        <v>6</v>
      </c>
      <c r="AX28" s="229">
        <v>1.1999999999999999E-3</v>
      </c>
      <c r="AY28" s="230">
        <v>2339</v>
      </c>
      <c r="AZ28" s="230">
        <v>1646</v>
      </c>
      <c r="BA28" s="228">
        <v>693</v>
      </c>
      <c r="BB28" s="229">
        <v>0.42099999999999999</v>
      </c>
      <c r="BC28" s="228">
        <v>189</v>
      </c>
      <c r="BD28" s="228">
        <v>220</v>
      </c>
      <c r="BE28" s="228">
        <v>-31</v>
      </c>
      <c r="BF28" s="229">
        <v>-0.1409</v>
      </c>
      <c r="BG28" s="230">
        <v>21327</v>
      </c>
      <c r="BH28" s="230">
        <v>22244</v>
      </c>
      <c r="BI28" s="228">
        <v>-917</v>
      </c>
      <c r="BJ28" s="229">
        <v>-4.1200000000000001E-2</v>
      </c>
      <c r="BK28" s="230">
        <v>11499</v>
      </c>
      <c r="BL28" s="230">
        <v>12278</v>
      </c>
      <c r="BM28" s="228">
        <v>-779</v>
      </c>
      <c r="BN28" s="229">
        <v>-6.3399999999999998E-2</v>
      </c>
      <c r="BO28" s="230">
        <v>40229</v>
      </c>
      <c r="BP28" s="230">
        <v>41257</v>
      </c>
      <c r="BQ28" s="230">
        <v>-1028</v>
      </c>
      <c r="BR28" s="229">
        <v>-2.4899999999999999E-2</v>
      </c>
      <c r="BS28" s="230">
        <v>9769108</v>
      </c>
      <c r="BT28" s="230">
        <v>9962768</v>
      </c>
      <c r="BU28" s="230">
        <v>-193660</v>
      </c>
      <c r="BV28" s="229">
        <v>-1.9400000000000001E-2</v>
      </c>
      <c r="BW28" s="230">
        <v>116003050</v>
      </c>
      <c r="BX28" s="230">
        <v>113606050</v>
      </c>
      <c r="BY28" s="230">
        <v>2397000</v>
      </c>
      <c r="BZ28" s="229">
        <v>2.1100000000000001E-2</v>
      </c>
      <c r="CA28" s="230">
        <v>99694050</v>
      </c>
      <c r="CB28" s="230">
        <v>101254450</v>
      </c>
      <c r="CC28" s="230">
        <v>-1560400</v>
      </c>
      <c r="CD28" s="229">
        <v>-1.54E-2</v>
      </c>
      <c r="CE28" s="230">
        <v>13716950</v>
      </c>
      <c r="CF28" s="230">
        <v>9893500</v>
      </c>
      <c r="CG28" s="230">
        <v>3823450</v>
      </c>
      <c r="CH28" s="229">
        <v>0.38650000000000001</v>
      </c>
      <c r="CI28" s="230">
        <v>2592050</v>
      </c>
      <c r="CJ28" s="230">
        <v>2458100</v>
      </c>
      <c r="CK28" s="230">
        <v>133950</v>
      </c>
      <c r="CL28" s="229">
        <v>5.45E-2</v>
      </c>
      <c r="CM28" s="230">
        <v>59191800</v>
      </c>
      <c r="CN28" s="230">
        <v>55575150</v>
      </c>
      <c r="CO28" s="230">
        <v>3616650</v>
      </c>
      <c r="CP28" s="229">
        <v>6.5100000000000005E-2</v>
      </c>
      <c r="CQ28" s="230">
        <v>41590300</v>
      </c>
      <c r="CR28" s="230">
        <v>42584350</v>
      </c>
      <c r="CS28" s="230">
        <v>-994050</v>
      </c>
      <c r="CT28" s="229">
        <v>-2.3300000000000001E-2</v>
      </c>
      <c r="CU28" s="230">
        <v>216785150</v>
      </c>
      <c r="CV28" s="230">
        <v>211765550</v>
      </c>
      <c r="CW28" s="230">
        <v>5019600</v>
      </c>
      <c r="CX28" s="229">
        <v>2.3699999999999999E-2</v>
      </c>
      <c r="CY28" s="228">
        <v>28.45</v>
      </c>
      <c r="CZ28" s="228">
        <v>27.84</v>
      </c>
      <c r="DA28" s="228">
        <v>0.61</v>
      </c>
      <c r="DB28" s="228">
        <v>0.61</v>
      </c>
      <c r="DC28" s="228">
        <v>38.590000000000003</v>
      </c>
      <c r="DD28" s="228">
        <v>38.659999999999997</v>
      </c>
      <c r="DE28" s="228">
        <v>-10.14</v>
      </c>
      <c r="DF28" s="228">
        <v>-7.0000000000000007E-2</v>
      </c>
      <c r="DG28" s="228">
        <v>28.51</v>
      </c>
      <c r="DH28" s="228">
        <v>27.57</v>
      </c>
      <c r="DI28" s="228">
        <v>0.94</v>
      </c>
      <c r="DJ28" s="228">
        <v>0.94</v>
      </c>
      <c r="DK28" s="228">
        <v>28.34</v>
      </c>
      <c r="DL28" s="228">
        <v>28.33</v>
      </c>
      <c r="DM28" s="228">
        <v>0.01</v>
      </c>
      <c r="DN28" s="228">
        <v>0.01</v>
      </c>
      <c r="DO28" s="228">
        <v>0.7</v>
      </c>
      <c r="DP28" s="228">
        <v>0.77</v>
      </c>
      <c r="DQ28" s="228">
        <v>-7.0000000000000007E-2</v>
      </c>
      <c r="DR28" s="229">
        <v>-9.0899999999999995E-2</v>
      </c>
      <c r="DS28" s="228">
        <v>350</v>
      </c>
      <c r="DT28" s="228">
        <v>330</v>
      </c>
      <c r="DU28" s="228">
        <v>0.54</v>
      </c>
      <c r="DV28" s="228">
        <v>0.55000000000000004</v>
      </c>
      <c r="DW28" s="228">
        <v>-0.01</v>
      </c>
      <c r="DX28" s="229">
        <v>-1.8200000000000001E-2</v>
      </c>
      <c r="DY28" s="229">
        <v>0.1406</v>
      </c>
      <c r="DZ28" s="230">
        <v>12351600</v>
      </c>
      <c r="EA28" s="229">
        <v>6.1999999999999998E-3</v>
      </c>
      <c r="EB28" s="229">
        <v>0.1406</v>
      </c>
      <c r="EC28" s="228">
        <v>2.02</v>
      </c>
      <c r="ED28" s="229">
        <v>6.1000000000000004E-3</v>
      </c>
      <c r="EE28" s="230">
        <v>4385658</v>
      </c>
      <c r="EF28" s="230">
        <v>4802962</v>
      </c>
      <c r="EG28" s="229">
        <v>-8.6900000000000005E-2</v>
      </c>
      <c r="EH28" s="229">
        <v>0.44890000000000002</v>
      </c>
      <c r="EI28" s="231">
        <v>171307.51999999999</v>
      </c>
      <c r="EJ28" s="231">
        <v>88175.87</v>
      </c>
      <c r="EK28" s="231">
        <v>57435.23</v>
      </c>
      <c r="EL28" s="228">
        <v>0</v>
      </c>
      <c r="EM28" s="231">
        <v>316918.62</v>
      </c>
      <c r="EN28" s="231">
        <v>326784.7</v>
      </c>
      <c r="EO28" s="231">
        <v>-9866.08</v>
      </c>
      <c r="EP28" s="229">
        <v>-3.0200000000000001E-2</v>
      </c>
      <c r="EQ28" s="231">
        <v>202240</v>
      </c>
      <c r="ER28" s="231">
        <v>131861</v>
      </c>
      <c r="ES28" s="231">
        <v>382080</v>
      </c>
      <c r="ET28" s="231">
        <v>671850851</v>
      </c>
      <c r="EU28" s="231">
        <v>716181</v>
      </c>
      <c r="EV28" s="231">
        <v>702829</v>
      </c>
      <c r="EW28" s="231">
        <v>13352</v>
      </c>
      <c r="EX28" s="229">
        <v>1.9E-2</v>
      </c>
      <c r="EY28" s="229">
        <v>0.32269999999999999</v>
      </c>
    </row>
    <row r="29" spans="1:155" ht="17.25" thickBot="1" x14ac:dyDescent="0.3">
      <c r="A29" s="226">
        <v>45889</v>
      </c>
      <c r="B29" s="227" t="s">
        <v>227</v>
      </c>
      <c r="C29" s="227" t="s">
        <v>244</v>
      </c>
      <c r="D29" s="231">
        <v>1086</v>
      </c>
      <c r="E29" s="231">
        <v>1077.4000000000001</v>
      </c>
      <c r="F29" s="228">
        <v>8.6</v>
      </c>
      <c r="G29" s="229">
        <v>8.0000000000000002E-3</v>
      </c>
      <c r="H29" s="231">
        <v>1082.5999999999999</v>
      </c>
      <c r="I29" s="231">
        <v>1073.4000000000001</v>
      </c>
      <c r="J29" s="228">
        <v>9.1999999999999993</v>
      </c>
      <c r="K29" s="229">
        <v>8.6E-3</v>
      </c>
      <c r="L29" s="231">
        <v>1086</v>
      </c>
      <c r="M29" s="231">
        <v>1077.4000000000001</v>
      </c>
      <c r="N29" s="228">
        <v>8.6</v>
      </c>
      <c r="O29" s="229">
        <v>8.0000000000000002E-3</v>
      </c>
      <c r="P29" s="231">
        <v>1091.8</v>
      </c>
      <c r="Q29" s="231">
        <v>1083.2</v>
      </c>
      <c r="R29" s="228">
        <v>8.6</v>
      </c>
      <c r="S29" s="229">
        <v>7.9000000000000008E-3</v>
      </c>
      <c r="T29" s="231">
        <v>1097.8</v>
      </c>
      <c r="U29" s="231">
        <v>1090</v>
      </c>
      <c r="V29" s="228">
        <v>7.8</v>
      </c>
      <c r="W29" s="229">
        <v>7.1999999999999998E-3</v>
      </c>
      <c r="X29" s="228">
        <v>3.4</v>
      </c>
      <c r="Y29" s="228">
        <v>4</v>
      </c>
      <c r="Z29" s="228">
        <v>-0.6</v>
      </c>
      <c r="AA29" s="229">
        <v>3.0999999999999999E-3</v>
      </c>
      <c r="AB29" s="228">
        <v>3.4</v>
      </c>
      <c r="AC29" s="228">
        <v>4</v>
      </c>
      <c r="AD29" s="228">
        <v>-0.6</v>
      </c>
      <c r="AE29" s="229">
        <v>3.0999999999999999E-3</v>
      </c>
      <c r="AF29" s="228">
        <v>9.1999999999999993</v>
      </c>
      <c r="AG29" s="228">
        <v>9.8000000000000007</v>
      </c>
      <c r="AH29" s="228">
        <v>-0.6</v>
      </c>
      <c r="AI29" s="229">
        <v>8.5000000000000006E-3</v>
      </c>
      <c r="AJ29" s="228">
        <v>15.2</v>
      </c>
      <c r="AK29" s="228">
        <v>16.600000000000001</v>
      </c>
      <c r="AL29" s="228">
        <v>-1.4</v>
      </c>
      <c r="AM29" s="229">
        <v>1.4E-2</v>
      </c>
      <c r="AN29" s="231">
        <v>1083.5899999999999</v>
      </c>
      <c r="AO29" s="231">
        <v>1091.2</v>
      </c>
      <c r="AP29" s="228">
        <v>0</v>
      </c>
      <c r="AQ29" s="230">
        <v>5955</v>
      </c>
      <c r="AR29" s="230">
        <v>8160</v>
      </c>
      <c r="AS29" s="230">
        <v>-2205</v>
      </c>
      <c r="AT29" s="229">
        <v>-0.2702</v>
      </c>
      <c r="AU29" s="230">
        <v>4587</v>
      </c>
      <c r="AV29" s="230">
        <v>6085</v>
      </c>
      <c r="AW29" s="230">
        <v>-1498</v>
      </c>
      <c r="AX29" s="229">
        <v>-0.2462</v>
      </c>
      <c r="AY29" s="230">
        <v>1320</v>
      </c>
      <c r="AZ29" s="230">
        <v>2053</v>
      </c>
      <c r="BA29" s="228">
        <v>-733</v>
      </c>
      <c r="BB29" s="229">
        <v>-0.35699999999999998</v>
      </c>
      <c r="BC29" s="228">
        <v>48</v>
      </c>
      <c r="BD29" s="228">
        <v>22</v>
      </c>
      <c r="BE29" s="228">
        <v>26</v>
      </c>
      <c r="BF29" s="229">
        <v>1.1818</v>
      </c>
      <c r="BG29" s="230">
        <v>25931</v>
      </c>
      <c r="BH29" s="230">
        <v>22954</v>
      </c>
      <c r="BI29" s="230">
        <v>2977</v>
      </c>
      <c r="BJ29" s="229">
        <v>0.12970000000000001</v>
      </c>
      <c r="BK29" s="230">
        <v>10386</v>
      </c>
      <c r="BL29" s="230">
        <v>8551</v>
      </c>
      <c r="BM29" s="230">
        <v>1835</v>
      </c>
      <c r="BN29" s="229">
        <v>0.21460000000000001</v>
      </c>
      <c r="BO29" s="230">
        <v>42272</v>
      </c>
      <c r="BP29" s="230">
        <v>39665</v>
      </c>
      <c r="BQ29" s="230">
        <v>2607</v>
      </c>
      <c r="BR29" s="229">
        <v>6.5699999999999995E-2</v>
      </c>
      <c r="BS29" s="230">
        <v>1367829</v>
      </c>
      <c r="BT29" s="230">
        <v>1916060</v>
      </c>
      <c r="BU29" s="230">
        <v>-548231</v>
      </c>
      <c r="BV29" s="229">
        <v>-0.28610000000000002</v>
      </c>
      <c r="BW29" s="230">
        <v>40999500</v>
      </c>
      <c r="BX29" s="230">
        <v>40825350</v>
      </c>
      <c r="BY29" s="230">
        <v>174150</v>
      </c>
      <c r="BZ29" s="229">
        <v>4.3E-3</v>
      </c>
      <c r="CA29" s="230">
        <v>38751750</v>
      </c>
      <c r="CB29" s="230">
        <v>39112875</v>
      </c>
      <c r="CC29" s="230">
        <v>-361125</v>
      </c>
      <c r="CD29" s="229">
        <v>-9.1999999999999998E-3</v>
      </c>
      <c r="CE29" s="230">
        <v>2192400</v>
      </c>
      <c r="CF29" s="230">
        <v>1665900</v>
      </c>
      <c r="CG29" s="230">
        <v>526500</v>
      </c>
      <c r="CH29" s="229">
        <v>0.316</v>
      </c>
      <c r="CI29" s="230">
        <v>55350</v>
      </c>
      <c r="CJ29" s="230">
        <v>46575</v>
      </c>
      <c r="CK29" s="230">
        <v>8775</v>
      </c>
      <c r="CL29" s="229">
        <v>0.18840000000000001</v>
      </c>
      <c r="CM29" s="230">
        <v>8768925</v>
      </c>
      <c r="CN29" s="230">
        <v>8577900</v>
      </c>
      <c r="CO29" s="230">
        <v>191025</v>
      </c>
      <c r="CP29" s="229">
        <v>2.23E-2</v>
      </c>
      <c r="CQ29" s="230">
        <v>6768225</v>
      </c>
      <c r="CR29" s="230">
        <v>5780025</v>
      </c>
      <c r="CS29" s="230">
        <v>988200</v>
      </c>
      <c r="CT29" s="229">
        <v>0.17100000000000001</v>
      </c>
      <c r="CU29" s="230">
        <v>56536650</v>
      </c>
      <c r="CV29" s="230">
        <v>55183275</v>
      </c>
      <c r="CW29" s="230">
        <v>1353375</v>
      </c>
      <c r="CX29" s="229">
        <v>2.4500000000000001E-2</v>
      </c>
      <c r="CY29" s="228">
        <v>25.95</v>
      </c>
      <c r="CZ29" s="228">
        <v>26.83</v>
      </c>
      <c r="DA29" s="228">
        <v>-0.88</v>
      </c>
      <c r="DB29" s="228">
        <v>-0.88</v>
      </c>
      <c r="DC29" s="228">
        <v>30.91</v>
      </c>
      <c r="DD29" s="228">
        <v>30.97</v>
      </c>
      <c r="DE29" s="228">
        <v>-4.96</v>
      </c>
      <c r="DF29" s="228">
        <v>-0.06</v>
      </c>
      <c r="DG29" s="228">
        <v>25.34</v>
      </c>
      <c r="DH29" s="228">
        <v>26.83</v>
      </c>
      <c r="DI29" s="228">
        <v>-1.49</v>
      </c>
      <c r="DJ29" s="228">
        <v>-1.49</v>
      </c>
      <c r="DK29" s="228">
        <v>27.49</v>
      </c>
      <c r="DL29" s="228">
        <v>26.85</v>
      </c>
      <c r="DM29" s="228">
        <v>0.64</v>
      </c>
      <c r="DN29" s="228">
        <v>0.64</v>
      </c>
      <c r="DO29" s="228">
        <v>0.77</v>
      </c>
      <c r="DP29" s="228">
        <v>0.67</v>
      </c>
      <c r="DQ29" s="228">
        <v>0.1</v>
      </c>
      <c r="DR29" s="229">
        <v>0.14929999999999999</v>
      </c>
      <c r="DS29" s="231">
        <v>1100</v>
      </c>
      <c r="DT29" s="231">
        <v>1040</v>
      </c>
      <c r="DU29" s="228">
        <v>0.4</v>
      </c>
      <c r="DV29" s="228">
        <v>0.37</v>
      </c>
      <c r="DW29" s="228">
        <v>0.03</v>
      </c>
      <c r="DX29" s="229">
        <v>8.1100000000000005E-2</v>
      </c>
      <c r="DY29" s="229">
        <v>5.4800000000000001E-2</v>
      </c>
      <c r="DZ29" s="230">
        <v>1712475</v>
      </c>
      <c r="EA29" s="229">
        <v>5.3E-3</v>
      </c>
      <c r="EB29" s="229">
        <v>5.4800000000000001E-2</v>
      </c>
      <c r="EC29" s="228">
        <v>7.61</v>
      </c>
      <c r="ED29" s="229">
        <v>7.0000000000000001E-3</v>
      </c>
      <c r="EE29" s="230">
        <v>639730</v>
      </c>
      <c r="EF29" s="230">
        <v>1047312</v>
      </c>
      <c r="EG29" s="229">
        <v>-0.38919999999999999</v>
      </c>
      <c r="EH29" s="229">
        <v>0.4677</v>
      </c>
      <c r="EI29" s="231">
        <v>194233.67</v>
      </c>
      <c r="EJ29" s="231">
        <v>74973.759999999995</v>
      </c>
      <c r="EK29" s="231">
        <v>43627.839999999997</v>
      </c>
      <c r="EL29" s="228">
        <v>0</v>
      </c>
      <c r="EM29" s="231">
        <v>312835.27</v>
      </c>
      <c r="EN29" s="231">
        <v>293095.40000000002</v>
      </c>
      <c r="EO29" s="231">
        <v>19739.87</v>
      </c>
      <c r="EP29" s="229">
        <v>6.7299999999999999E-2</v>
      </c>
      <c r="EQ29" s="231">
        <v>97226</v>
      </c>
      <c r="ER29" s="231">
        <v>68954</v>
      </c>
      <c r="ES29" s="231">
        <v>445388</v>
      </c>
      <c r="ET29" s="231">
        <v>266333238</v>
      </c>
      <c r="EU29" s="231">
        <v>611569</v>
      </c>
      <c r="EV29" s="231">
        <v>593194</v>
      </c>
      <c r="EW29" s="231">
        <v>18375</v>
      </c>
      <c r="EX29" s="229">
        <v>3.1E-2</v>
      </c>
      <c r="EY29" s="229">
        <v>0.21229999999999999</v>
      </c>
    </row>
    <row r="30" spans="1:155" ht="17.25" thickBot="1" x14ac:dyDescent="0.3">
      <c r="A30" s="226">
        <v>45889</v>
      </c>
      <c r="B30" s="227" t="s">
        <v>172</v>
      </c>
      <c r="C30" s="227" t="s">
        <v>246</v>
      </c>
      <c r="D30" s="231">
        <v>2019.2</v>
      </c>
      <c r="E30" s="231">
        <v>2031.2</v>
      </c>
      <c r="F30" s="228">
        <v>-12</v>
      </c>
      <c r="G30" s="229">
        <v>-5.8999999999999999E-3</v>
      </c>
      <c r="H30" s="231">
        <v>2017.5</v>
      </c>
      <c r="I30" s="231">
        <v>2029.9</v>
      </c>
      <c r="J30" s="228">
        <v>-12.4</v>
      </c>
      <c r="K30" s="229">
        <v>-6.1000000000000004E-3</v>
      </c>
      <c r="L30" s="231">
        <v>2019.2</v>
      </c>
      <c r="M30" s="231">
        <v>2031.2</v>
      </c>
      <c r="N30" s="228">
        <v>-12</v>
      </c>
      <c r="O30" s="229">
        <v>-5.8999999999999999E-3</v>
      </c>
      <c r="P30" s="231">
        <v>2030.7</v>
      </c>
      <c r="Q30" s="231">
        <v>2043</v>
      </c>
      <c r="R30" s="228">
        <v>-12.3</v>
      </c>
      <c r="S30" s="229">
        <v>-6.0000000000000001E-3</v>
      </c>
      <c r="T30" s="231">
        <v>2040.3</v>
      </c>
      <c r="U30" s="231">
        <v>2054.4</v>
      </c>
      <c r="V30" s="228">
        <v>-14.1</v>
      </c>
      <c r="W30" s="229">
        <v>-6.8999999999999999E-3</v>
      </c>
      <c r="X30" s="228">
        <v>1.7</v>
      </c>
      <c r="Y30" s="228">
        <v>1.3</v>
      </c>
      <c r="Z30" s="228">
        <v>0.4</v>
      </c>
      <c r="AA30" s="229">
        <v>8.0000000000000004E-4</v>
      </c>
      <c r="AB30" s="228">
        <v>1.7</v>
      </c>
      <c r="AC30" s="228">
        <v>1.3</v>
      </c>
      <c r="AD30" s="228">
        <v>0.4</v>
      </c>
      <c r="AE30" s="229">
        <v>8.0000000000000004E-4</v>
      </c>
      <c r="AF30" s="228">
        <v>13.2</v>
      </c>
      <c r="AG30" s="228">
        <v>13.1</v>
      </c>
      <c r="AH30" s="228">
        <v>0.1</v>
      </c>
      <c r="AI30" s="229">
        <v>6.4999999999999997E-3</v>
      </c>
      <c r="AJ30" s="228">
        <v>22.8</v>
      </c>
      <c r="AK30" s="228">
        <v>24.5</v>
      </c>
      <c r="AL30" s="228">
        <v>-1.7</v>
      </c>
      <c r="AM30" s="229">
        <v>1.1299999999999999E-2</v>
      </c>
      <c r="AN30" s="231">
        <v>2018.76</v>
      </c>
      <c r="AO30" s="231">
        <v>2030.61</v>
      </c>
      <c r="AP30" s="228">
        <v>0</v>
      </c>
      <c r="AQ30" s="230">
        <v>9334</v>
      </c>
      <c r="AR30" s="230">
        <v>10373</v>
      </c>
      <c r="AS30" s="230">
        <v>-1039</v>
      </c>
      <c r="AT30" s="229">
        <v>-0.1002</v>
      </c>
      <c r="AU30" s="230">
        <v>6759</v>
      </c>
      <c r="AV30" s="230">
        <v>8151</v>
      </c>
      <c r="AW30" s="230">
        <v>-1392</v>
      </c>
      <c r="AX30" s="229">
        <v>-0.17080000000000001</v>
      </c>
      <c r="AY30" s="230">
        <v>1713</v>
      </c>
      <c r="AZ30" s="228">
        <v>665</v>
      </c>
      <c r="BA30" s="230">
        <v>1048</v>
      </c>
      <c r="BB30" s="229">
        <v>1.5759000000000001</v>
      </c>
      <c r="BC30" s="228">
        <v>862</v>
      </c>
      <c r="BD30" s="230">
        <v>1557</v>
      </c>
      <c r="BE30" s="228">
        <v>-695</v>
      </c>
      <c r="BF30" s="229">
        <v>-0.44640000000000002</v>
      </c>
      <c r="BG30" s="230">
        <v>14819</v>
      </c>
      <c r="BH30" s="230">
        <v>28987</v>
      </c>
      <c r="BI30" s="230">
        <v>-14168</v>
      </c>
      <c r="BJ30" s="229">
        <v>-0.48880000000000001</v>
      </c>
      <c r="BK30" s="230">
        <v>9448</v>
      </c>
      <c r="BL30" s="230">
        <v>16886</v>
      </c>
      <c r="BM30" s="230">
        <v>-7438</v>
      </c>
      <c r="BN30" s="229">
        <v>-0.4405</v>
      </c>
      <c r="BO30" s="230">
        <v>33601</v>
      </c>
      <c r="BP30" s="230">
        <v>56246</v>
      </c>
      <c r="BQ30" s="230">
        <v>-22645</v>
      </c>
      <c r="BR30" s="229">
        <v>-0.40260000000000001</v>
      </c>
      <c r="BS30" s="230">
        <v>2679530</v>
      </c>
      <c r="BT30" s="230">
        <v>3339229</v>
      </c>
      <c r="BU30" s="230">
        <v>-659699</v>
      </c>
      <c r="BV30" s="229">
        <v>-0.1976</v>
      </c>
      <c r="BW30" s="230">
        <v>33848800</v>
      </c>
      <c r="BX30" s="230">
        <v>33804800</v>
      </c>
      <c r="BY30" s="230">
        <v>44000</v>
      </c>
      <c r="BZ30" s="229">
        <v>1.2999999999999999E-3</v>
      </c>
      <c r="CA30" s="230">
        <v>30062800</v>
      </c>
      <c r="CB30" s="230">
        <v>30837600</v>
      </c>
      <c r="CC30" s="230">
        <v>-774800</v>
      </c>
      <c r="CD30" s="229">
        <v>-2.5100000000000001E-2</v>
      </c>
      <c r="CE30" s="230">
        <v>1954000</v>
      </c>
      <c r="CF30" s="230">
        <v>1465600</v>
      </c>
      <c r="CG30" s="230">
        <v>488400</v>
      </c>
      <c r="CH30" s="229">
        <v>0.3332</v>
      </c>
      <c r="CI30" s="230">
        <v>1832000</v>
      </c>
      <c r="CJ30" s="230">
        <v>1501600</v>
      </c>
      <c r="CK30" s="230">
        <v>330400</v>
      </c>
      <c r="CL30" s="229">
        <v>0.22</v>
      </c>
      <c r="CM30" s="230">
        <v>7740400</v>
      </c>
      <c r="CN30" s="230">
        <v>7678000</v>
      </c>
      <c r="CO30" s="230">
        <v>62400</v>
      </c>
      <c r="CP30" s="229">
        <v>8.0999999999999996E-3</v>
      </c>
      <c r="CQ30" s="230">
        <v>5545200</v>
      </c>
      <c r="CR30" s="230">
        <v>5704800</v>
      </c>
      <c r="CS30" s="230">
        <v>-159600</v>
      </c>
      <c r="CT30" s="229">
        <v>-2.8000000000000001E-2</v>
      </c>
      <c r="CU30" s="230">
        <v>47134400</v>
      </c>
      <c r="CV30" s="230">
        <v>47187600</v>
      </c>
      <c r="CW30" s="230">
        <v>-53200</v>
      </c>
      <c r="CX30" s="229">
        <v>-1.1000000000000001E-3</v>
      </c>
      <c r="CY30" s="228">
        <v>18.02</v>
      </c>
      <c r="CZ30" s="228">
        <v>17.98</v>
      </c>
      <c r="DA30" s="228">
        <v>0.04</v>
      </c>
      <c r="DB30" s="228">
        <v>0.04</v>
      </c>
      <c r="DC30" s="228">
        <v>28.63</v>
      </c>
      <c r="DD30" s="228">
        <v>28.69</v>
      </c>
      <c r="DE30" s="228">
        <v>-10.61</v>
      </c>
      <c r="DF30" s="228">
        <v>-0.06</v>
      </c>
      <c r="DG30" s="228">
        <v>18.45</v>
      </c>
      <c r="DH30" s="228">
        <v>17.670000000000002</v>
      </c>
      <c r="DI30" s="228">
        <v>0.78</v>
      </c>
      <c r="DJ30" s="228">
        <v>0.78</v>
      </c>
      <c r="DK30" s="228">
        <v>17.36</v>
      </c>
      <c r="DL30" s="228">
        <v>18.5</v>
      </c>
      <c r="DM30" s="228">
        <v>-1.1399999999999999</v>
      </c>
      <c r="DN30" s="228">
        <v>-1.1399999999999999</v>
      </c>
      <c r="DO30" s="228">
        <v>0.72</v>
      </c>
      <c r="DP30" s="228">
        <v>0.74</v>
      </c>
      <c r="DQ30" s="228">
        <v>-0.02</v>
      </c>
      <c r="DR30" s="229">
        <v>-2.7E-2</v>
      </c>
      <c r="DS30" s="231">
        <v>2200</v>
      </c>
      <c r="DT30" s="231">
        <v>2000</v>
      </c>
      <c r="DU30" s="228">
        <v>0.64</v>
      </c>
      <c r="DV30" s="228">
        <v>0.57999999999999996</v>
      </c>
      <c r="DW30" s="228">
        <v>0.06</v>
      </c>
      <c r="DX30" s="229">
        <v>0.10340000000000001</v>
      </c>
      <c r="DY30" s="229">
        <v>0.1119</v>
      </c>
      <c r="DZ30" s="230">
        <v>2967200</v>
      </c>
      <c r="EA30" s="229">
        <v>5.7000000000000002E-3</v>
      </c>
      <c r="EB30" s="229">
        <v>0.1119</v>
      </c>
      <c r="EC30" s="228">
        <v>11.85</v>
      </c>
      <c r="ED30" s="229">
        <v>5.8999999999999999E-3</v>
      </c>
      <c r="EE30" s="230">
        <v>2109466</v>
      </c>
      <c r="EF30" s="230">
        <v>2350302</v>
      </c>
      <c r="EG30" s="229">
        <v>-0.10249999999999999</v>
      </c>
      <c r="EH30" s="229">
        <v>0.7873</v>
      </c>
      <c r="EI30" s="231">
        <v>122714.83</v>
      </c>
      <c r="EJ30" s="231">
        <v>76482.45</v>
      </c>
      <c r="EK30" s="231">
        <v>75524.09</v>
      </c>
      <c r="EL30" s="228">
        <v>0</v>
      </c>
      <c r="EM30" s="231">
        <v>274721.37</v>
      </c>
      <c r="EN30" s="231">
        <v>458875.38</v>
      </c>
      <c r="EO30" s="231">
        <v>-184154.01</v>
      </c>
      <c r="EP30" s="229">
        <v>-0.40129999999999999</v>
      </c>
      <c r="EQ30" s="231">
        <v>163510</v>
      </c>
      <c r="ER30" s="231">
        <v>108135</v>
      </c>
      <c r="ES30" s="231">
        <v>684086</v>
      </c>
      <c r="ET30" s="231">
        <v>294735983</v>
      </c>
      <c r="EU30" s="231">
        <v>955731</v>
      </c>
      <c r="EV30" s="231">
        <v>960906</v>
      </c>
      <c r="EW30" s="231">
        <v>-5175</v>
      </c>
      <c r="EX30" s="229">
        <v>-5.4000000000000003E-3</v>
      </c>
      <c r="EY30" s="229">
        <v>0.15989999999999999</v>
      </c>
    </row>
    <row r="31" spans="1:155" ht="17.25" thickBot="1" x14ac:dyDescent="0.3">
      <c r="A31" s="226">
        <v>45889</v>
      </c>
      <c r="B31" s="227" t="s">
        <v>184</v>
      </c>
      <c r="C31" s="227" t="s">
        <v>249</v>
      </c>
      <c r="D31" s="231">
        <v>3595.4</v>
      </c>
      <c r="E31" s="231">
        <v>3623.3</v>
      </c>
      <c r="F31" s="228">
        <v>-27.9</v>
      </c>
      <c r="G31" s="229">
        <v>-7.7000000000000002E-3</v>
      </c>
      <c r="H31" s="231">
        <v>3592.3</v>
      </c>
      <c r="I31" s="231">
        <v>3613</v>
      </c>
      <c r="J31" s="228">
        <v>-20.7</v>
      </c>
      <c r="K31" s="229">
        <v>-5.7000000000000002E-3</v>
      </c>
      <c r="L31" s="231">
        <v>3595.4</v>
      </c>
      <c r="M31" s="231">
        <v>3623.3</v>
      </c>
      <c r="N31" s="228">
        <v>-27.9</v>
      </c>
      <c r="O31" s="229">
        <v>-7.7000000000000002E-3</v>
      </c>
      <c r="P31" s="231">
        <v>3616.8</v>
      </c>
      <c r="Q31" s="231">
        <v>3644.3</v>
      </c>
      <c r="R31" s="228">
        <v>-27.5</v>
      </c>
      <c r="S31" s="229">
        <v>-7.4999999999999997E-3</v>
      </c>
      <c r="T31" s="231">
        <v>3633.9</v>
      </c>
      <c r="U31" s="231">
        <v>3662.5</v>
      </c>
      <c r="V31" s="228">
        <v>-28.6</v>
      </c>
      <c r="W31" s="229">
        <v>-7.7999999999999996E-3</v>
      </c>
      <c r="X31" s="228">
        <v>3.1</v>
      </c>
      <c r="Y31" s="228">
        <v>10.3</v>
      </c>
      <c r="Z31" s="228">
        <v>-7.2</v>
      </c>
      <c r="AA31" s="229">
        <v>8.9999999999999998E-4</v>
      </c>
      <c r="AB31" s="228">
        <v>3.1</v>
      </c>
      <c r="AC31" s="228">
        <v>10.3</v>
      </c>
      <c r="AD31" s="228">
        <v>-7.2</v>
      </c>
      <c r="AE31" s="229">
        <v>8.9999999999999998E-4</v>
      </c>
      <c r="AF31" s="228">
        <v>24.5</v>
      </c>
      <c r="AG31" s="228">
        <v>31.3</v>
      </c>
      <c r="AH31" s="228">
        <v>-6.8</v>
      </c>
      <c r="AI31" s="229">
        <v>6.7999999999999996E-3</v>
      </c>
      <c r="AJ31" s="228">
        <v>41.6</v>
      </c>
      <c r="AK31" s="228">
        <v>49.5</v>
      </c>
      <c r="AL31" s="228">
        <v>-7.9</v>
      </c>
      <c r="AM31" s="229">
        <v>1.1599999999999999E-2</v>
      </c>
      <c r="AN31" s="231">
        <v>3596.58</v>
      </c>
      <c r="AO31" s="231">
        <v>3617.15</v>
      </c>
      <c r="AP31" s="228">
        <v>0</v>
      </c>
      <c r="AQ31" s="230">
        <v>14063</v>
      </c>
      <c r="AR31" s="230">
        <v>8994</v>
      </c>
      <c r="AS31" s="230">
        <v>5069</v>
      </c>
      <c r="AT31" s="229">
        <v>0.56359999999999999</v>
      </c>
      <c r="AU31" s="230">
        <v>10889</v>
      </c>
      <c r="AV31" s="230">
        <v>7205</v>
      </c>
      <c r="AW31" s="230">
        <v>3684</v>
      </c>
      <c r="AX31" s="229">
        <v>0.51129999999999998</v>
      </c>
      <c r="AY31" s="230">
        <v>2580</v>
      </c>
      <c r="AZ31" s="230">
        <v>1704</v>
      </c>
      <c r="BA31" s="228">
        <v>876</v>
      </c>
      <c r="BB31" s="229">
        <v>0.5141</v>
      </c>
      <c r="BC31" s="228">
        <v>594</v>
      </c>
      <c r="BD31" s="228">
        <v>85</v>
      </c>
      <c r="BE31" s="228">
        <v>509</v>
      </c>
      <c r="BF31" s="229">
        <v>5.9882</v>
      </c>
      <c r="BG31" s="230">
        <v>50299</v>
      </c>
      <c r="BH31" s="230">
        <v>31072</v>
      </c>
      <c r="BI31" s="230">
        <v>19227</v>
      </c>
      <c r="BJ31" s="229">
        <v>0.61880000000000002</v>
      </c>
      <c r="BK31" s="230">
        <v>22315</v>
      </c>
      <c r="BL31" s="230">
        <v>11839</v>
      </c>
      <c r="BM31" s="230">
        <v>10476</v>
      </c>
      <c r="BN31" s="229">
        <v>0.88490000000000002</v>
      </c>
      <c r="BO31" s="230">
        <v>86677</v>
      </c>
      <c r="BP31" s="230">
        <v>51905</v>
      </c>
      <c r="BQ31" s="230">
        <v>34772</v>
      </c>
      <c r="BR31" s="229">
        <v>0.66990000000000005</v>
      </c>
      <c r="BS31" s="230">
        <v>1370636</v>
      </c>
      <c r="BT31" s="230">
        <v>1389154</v>
      </c>
      <c r="BU31" s="230">
        <v>-18518</v>
      </c>
      <c r="BV31" s="229">
        <v>-1.3299999999999999E-2</v>
      </c>
      <c r="BW31" s="230">
        <v>15232875</v>
      </c>
      <c r="BX31" s="230">
        <v>15114050</v>
      </c>
      <c r="BY31" s="230">
        <v>118825</v>
      </c>
      <c r="BZ31" s="229">
        <v>7.9000000000000008E-3</v>
      </c>
      <c r="CA31" s="230">
        <v>12733875</v>
      </c>
      <c r="CB31" s="230">
        <v>13033475</v>
      </c>
      <c r="CC31" s="230">
        <v>-299600</v>
      </c>
      <c r="CD31" s="229">
        <v>-2.3E-2</v>
      </c>
      <c r="CE31" s="230">
        <v>2079525</v>
      </c>
      <c r="CF31" s="230">
        <v>1758575</v>
      </c>
      <c r="CG31" s="230">
        <v>320950</v>
      </c>
      <c r="CH31" s="229">
        <v>0.1825</v>
      </c>
      <c r="CI31" s="230">
        <v>419475</v>
      </c>
      <c r="CJ31" s="230">
        <v>322000</v>
      </c>
      <c r="CK31" s="230">
        <v>97475</v>
      </c>
      <c r="CL31" s="229">
        <v>0.30270000000000002</v>
      </c>
      <c r="CM31" s="230">
        <v>6356000</v>
      </c>
      <c r="CN31" s="230">
        <v>5429900</v>
      </c>
      <c r="CO31" s="230">
        <v>926100</v>
      </c>
      <c r="CP31" s="229">
        <v>0.1706</v>
      </c>
      <c r="CQ31" s="230">
        <v>3020850</v>
      </c>
      <c r="CR31" s="230">
        <v>2902550</v>
      </c>
      <c r="CS31" s="230">
        <v>118300</v>
      </c>
      <c r="CT31" s="229">
        <v>4.0800000000000003E-2</v>
      </c>
      <c r="CU31" s="230">
        <v>24609725</v>
      </c>
      <c r="CV31" s="230">
        <v>23446500</v>
      </c>
      <c r="CW31" s="230">
        <v>1163225</v>
      </c>
      <c r="CX31" s="229">
        <v>4.9599999999999998E-2</v>
      </c>
      <c r="CY31" s="228">
        <v>19.55</v>
      </c>
      <c r="CZ31" s="228">
        <v>18.8</v>
      </c>
      <c r="DA31" s="228">
        <v>0.75</v>
      </c>
      <c r="DB31" s="228">
        <v>0.75</v>
      </c>
      <c r="DC31" s="228">
        <v>29.71</v>
      </c>
      <c r="DD31" s="228">
        <v>29.78</v>
      </c>
      <c r="DE31" s="228">
        <v>-10.16</v>
      </c>
      <c r="DF31" s="228">
        <v>-7.0000000000000007E-2</v>
      </c>
      <c r="DG31" s="228">
        <v>19.89</v>
      </c>
      <c r="DH31" s="228">
        <v>18.98</v>
      </c>
      <c r="DI31" s="228">
        <v>0.91</v>
      </c>
      <c r="DJ31" s="228">
        <v>0.91</v>
      </c>
      <c r="DK31" s="228">
        <v>18.78</v>
      </c>
      <c r="DL31" s="228">
        <v>18.329999999999998</v>
      </c>
      <c r="DM31" s="228">
        <v>0.45</v>
      </c>
      <c r="DN31" s="228">
        <v>0.45</v>
      </c>
      <c r="DO31" s="228">
        <v>0.48</v>
      </c>
      <c r="DP31" s="228">
        <v>0.53</v>
      </c>
      <c r="DQ31" s="228">
        <v>-0.05</v>
      </c>
      <c r="DR31" s="229">
        <v>-9.4299999999999995E-2</v>
      </c>
      <c r="DS31" s="231">
        <v>3700</v>
      </c>
      <c r="DT31" s="231">
        <v>3600</v>
      </c>
      <c r="DU31" s="228">
        <v>0.44</v>
      </c>
      <c r="DV31" s="228">
        <v>0.38</v>
      </c>
      <c r="DW31" s="228">
        <v>0.06</v>
      </c>
      <c r="DX31" s="229">
        <v>0.15790000000000001</v>
      </c>
      <c r="DY31" s="229">
        <v>0.1641</v>
      </c>
      <c r="DZ31" s="230">
        <v>2080575</v>
      </c>
      <c r="EA31" s="229">
        <v>6.0000000000000001E-3</v>
      </c>
      <c r="EB31" s="229">
        <v>0.1641</v>
      </c>
      <c r="EC31" s="228">
        <v>20.57</v>
      </c>
      <c r="ED31" s="229">
        <v>5.7000000000000002E-3</v>
      </c>
      <c r="EE31" s="230">
        <v>810957</v>
      </c>
      <c r="EF31" s="230">
        <v>934862</v>
      </c>
      <c r="EG31" s="229">
        <v>-0.13250000000000001</v>
      </c>
      <c r="EH31" s="229">
        <v>0.5917</v>
      </c>
      <c r="EI31" s="231">
        <v>326495.53000000003</v>
      </c>
      <c r="EJ31" s="231">
        <v>140217.60999999999</v>
      </c>
      <c r="EK31" s="231">
        <v>88652.42</v>
      </c>
      <c r="EL31" s="228">
        <v>0</v>
      </c>
      <c r="EM31" s="231">
        <v>555365.56000000006</v>
      </c>
      <c r="EN31" s="231">
        <v>335117.46000000002</v>
      </c>
      <c r="EO31" s="231">
        <v>220248.1</v>
      </c>
      <c r="EP31" s="229">
        <v>0.65720000000000001</v>
      </c>
      <c r="EQ31" s="231">
        <v>237397</v>
      </c>
      <c r="ER31" s="231">
        <v>107282</v>
      </c>
      <c r="ES31" s="231">
        <v>548289</v>
      </c>
      <c r="ET31" s="231">
        <v>272014607</v>
      </c>
      <c r="EU31" s="231">
        <v>892969</v>
      </c>
      <c r="EV31" s="231">
        <v>854581</v>
      </c>
      <c r="EW31" s="231">
        <v>38388</v>
      </c>
      <c r="EX31" s="229">
        <v>4.4900000000000002E-2</v>
      </c>
      <c r="EY31" s="229">
        <v>9.0499999999999997E-2</v>
      </c>
    </row>
    <row r="32" spans="1:155" ht="17.25" thickBot="1" x14ac:dyDescent="0.3">
      <c r="A32" s="226">
        <v>45889</v>
      </c>
      <c r="B32" s="227" t="s">
        <v>162</v>
      </c>
      <c r="C32" s="227" t="s">
        <v>251</v>
      </c>
      <c r="D32" s="231">
        <v>3396.3</v>
      </c>
      <c r="E32" s="231">
        <v>3356.4</v>
      </c>
      <c r="F32" s="228">
        <v>39.9</v>
      </c>
      <c r="G32" s="229">
        <v>1.1900000000000001E-2</v>
      </c>
      <c r="H32" s="231">
        <v>3395.6</v>
      </c>
      <c r="I32" s="231">
        <v>3354</v>
      </c>
      <c r="J32" s="228">
        <v>41.6</v>
      </c>
      <c r="K32" s="229">
        <v>1.24E-2</v>
      </c>
      <c r="L32" s="231">
        <v>3396.3</v>
      </c>
      <c r="M32" s="231">
        <v>3356.4</v>
      </c>
      <c r="N32" s="228">
        <v>39.9</v>
      </c>
      <c r="O32" s="229">
        <v>1.1900000000000001E-2</v>
      </c>
      <c r="P32" s="231">
        <v>3416.1</v>
      </c>
      <c r="Q32" s="231">
        <v>3375.8</v>
      </c>
      <c r="R32" s="228">
        <v>40.299999999999997</v>
      </c>
      <c r="S32" s="229">
        <v>1.1900000000000001E-2</v>
      </c>
      <c r="T32" s="231">
        <v>3430.7</v>
      </c>
      <c r="U32" s="231">
        <v>3393.6</v>
      </c>
      <c r="V32" s="228">
        <v>37.1</v>
      </c>
      <c r="W32" s="229">
        <v>1.09E-2</v>
      </c>
      <c r="X32" s="228">
        <v>0.7</v>
      </c>
      <c r="Y32" s="228">
        <v>2.4</v>
      </c>
      <c r="Z32" s="228">
        <v>-1.7</v>
      </c>
      <c r="AA32" s="229">
        <v>2.0000000000000001E-4</v>
      </c>
      <c r="AB32" s="228">
        <v>0.7</v>
      </c>
      <c r="AC32" s="228">
        <v>2.4</v>
      </c>
      <c r="AD32" s="228">
        <v>-1.7</v>
      </c>
      <c r="AE32" s="229">
        <v>2.0000000000000001E-4</v>
      </c>
      <c r="AF32" s="228">
        <v>20.5</v>
      </c>
      <c r="AG32" s="228">
        <v>21.8</v>
      </c>
      <c r="AH32" s="228">
        <v>-1.3</v>
      </c>
      <c r="AI32" s="229">
        <v>6.0000000000000001E-3</v>
      </c>
      <c r="AJ32" s="228">
        <v>35.1</v>
      </c>
      <c r="AK32" s="228">
        <v>39.6</v>
      </c>
      <c r="AL32" s="228">
        <v>-4.5</v>
      </c>
      <c r="AM32" s="229">
        <v>1.03E-2</v>
      </c>
      <c r="AN32" s="231">
        <v>3380</v>
      </c>
      <c r="AO32" s="231">
        <v>3404.01</v>
      </c>
      <c r="AP32" s="228">
        <v>0</v>
      </c>
      <c r="AQ32" s="230">
        <v>12364</v>
      </c>
      <c r="AR32" s="230">
        <v>19665</v>
      </c>
      <c r="AS32" s="230">
        <v>-7301</v>
      </c>
      <c r="AT32" s="229">
        <v>-0.37130000000000002</v>
      </c>
      <c r="AU32" s="230">
        <v>10269</v>
      </c>
      <c r="AV32" s="230">
        <v>16056</v>
      </c>
      <c r="AW32" s="230">
        <v>-5787</v>
      </c>
      <c r="AX32" s="229">
        <v>-0.3604</v>
      </c>
      <c r="AY32" s="230">
        <v>1986</v>
      </c>
      <c r="AZ32" s="230">
        <v>1646</v>
      </c>
      <c r="BA32" s="228">
        <v>340</v>
      </c>
      <c r="BB32" s="229">
        <v>0.20660000000000001</v>
      </c>
      <c r="BC32" s="228">
        <v>109</v>
      </c>
      <c r="BD32" s="230">
        <v>1963</v>
      </c>
      <c r="BE32" s="230">
        <v>-1854</v>
      </c>
      <c r="BF32" s="229">
        <v>-0.94450000000000001</v>
      </c>
      <c r="BG32" s="230">
        <v>51694</v>
      </c>
      <c r="BH32" s="230">
        <v>70507</v>
      </c>
      <c r="BI32" s="230">
        <v>-18813</v>
      </c>
      <c r="BJ32" s="229">
        <v>-0.26679999999999998</v>
      </c>
      <c r="BK32" s="230">
        <v>28165</v>
      </c>
      <c r="BL32" s="230">
        <v>43255</v>
      </c>
      <c r="BM32" s="230">
        <v>-15090</v>
      </c>
      <c r="BN32" s="229">
        <v>-0.34889999999999999</v>
      </c>
      <c r="BO32" s="230">
        <v>92223</v>
      </c>
      <c r="BP32" s="230">
        <v>133427</v>
      </c>
      <c r="BQ32" s="230">
        <v>-41204</v>
      </c>
      <c r="BR32" s="229">
        <v>-0.30880000000000002</v>
      </c>
      <c r="BS32" s="230">
        <v>3030993</v>
      </c>
      <c r="BT32" s="230">
        <v>2640384</v>
      </c>
      <c r="BU32" s="230">
        <v>390609</v>
      </c>
      <c r="BV32" s="229">
        <v>0.1479</v>
      </c>
      <c r="BW32" s="230">
        <v>19706800</v>
      </c>
      <c r="BX32" s="230">
        <v>19844400</v>
      </c>
      <c r="BY32" s="230">
        <v>-137600</v>
      </c>
      <c r="BZ32" s="229">
        <v>-6.8999999999999999E-3</v>
      </c>
      <c r="CA32" s="230">
        <v>17186000</v>
      </c>
      <c r="CB32" s="230">
        <v>17486600</v>
      </c>
      <c r="CC32" s="230">
        <v>-300600</v>
      </c>
      <c r="CD32" s="229">
        <v>-1.72E-2</v>
      </c>
      <c r="CE32" s="230">
        <v>1785600</v>
      </c>
      <c r="CF32" s="230">
        <v>1622800</v>
      </c>
      <c r="CG32" s="230">
        <v>162800</v>
      </c>
      <c r="CH32" s="229">
        <v>0.1003</v>
      </c>
      <c r="CI32" s="230">
        <v>735200</v>
      </c>
      <c r="CJ32" s="230">
        <v>735000</v>
      </c>
      <c r="CK32" s="228">
        <v>200</v>
      </c>
      <c r="CL32" s="229">
        <v>2.9999999999999997E-4</v>
      </c>
      <c r="CM32" s="230">
        <v>6939600</v>
      </c>
      <c r="CN32" s="230">
        <v>6882800</v>
      </c>
      <c r="CO32" s="230">
        <v>56800</v>
      </c>
      <c r="CP32" s="229">
        <v>8.3000000000000001E-3</v>
      </c>
      <c r="CQ32" s="230">
        <v>5909400</v>
      </c>
      <c r="CR32" s="230">
        <v>5493600</v>
      </c>
      <c r="CS32" s="230">
        <v>415800</v>
      </c>
      <c r="CT32" s="229">
        <v>7.5700000000000003E-2</v>
      </c>
      <c r="CU32" s="230">
        <v>32555800</v>
      </c>
      <c r="CV32" s="230">
        <v>32220800</v>
      </c>
      <c r="CW32" s="230">
        <v>335000</v>
      </c>
      <c r="CX32" s="229">
        <v>1.04E-2</v>
      </c>
      <c r="CY32" s="228">
        <v>23.79</v>
      </c>
      <c r="CZ32" s="228">
        <v>25</v>
      </c>
      <c r="DA32" s="228">
        <v>-1.21</v>
      </c>
      <c r="DB32" s="228">
        <v>-1.21</v>
      </c>
      <c r="DC32" s="228">
        <v>34.06</v>
      </c>
      <c r="DD32" s="228">
        <v>34.11</v>
      </c>
      <c r="DE32" s="228">
        <v>-10.27</v>
      </c>
      <c r="DF32" s="228">
        <v>-0.05</v>
      </c>
      <c r="DG32" s="228">
        <v>21.88</v>
      </c>
      <c r="DH32" s="228">
        <v>23.72</v>
      </c>
      <c r="DI32" s="228">
        <v>-1.84</v>
      </c>
      <c r="DJ32" s="228">
        <v>-1.84</v>
      </c>
      <c r="DK32" s="228">
        <v>27.3</v>
      </c>
      <c r="DL32" s="228">
        <v>27.08</v>
      </c>
      <c r="DM32" s="228">
        <v>0.22</v>
      </c>
      <c r="DN32" s="228">
        <v>0.22</v>
      </c>
      <c r="DO32" s="228">
        <v>0.85</v>
      </c>
      <c r="DP32" s="228">
        <v>0.8</v>
      </c>
      <c r="DQ32" s="228">
        <v>0.05</v>
      </c>
      <c r="DR32" s="229">
        <v>6.25E-2</v>
      </c>
      <c r="DS32" s="231">
        <v>3400</v>
      </c>
      <c r="DT32" s="231">
        <v>3100</v>
      </c>
      <c r="DU32" s="228">
        <v>0.54</v>
      </c>
      <c r="DV32" s="228">
        <v>0.61</v>
      </c>
      <c r="DW32" s="228">
        <v>-7.0000000000000007E-2</v>
      </c>
      <c r="DX32" s="229">
        <v>-0.1148</v>
      </c>
      <c r="DY32" s="229">
        <v>0.12790000000000001</v>
      </c>
      <c r="DZ32" s="230">
        <v>2357800</v>
      </c>
      <c r="EA32" s="229">
        <v>5.7999999999999996E-3</v>
      </c>
      <c r="EB32" s="229">
        <v>0.12790000000000001</v>
      </c>
      <c r="EC32" s="228">
        <v>24.01</v>
      </c>
      <c r="ED32" s="229">
        <v>7.1000000000000004E-3</v>
      </c>
      <c r="EE32" s="230">
        <v>2159516</v>
      </c>
      <c r="EF32" s="230">
        <v>1721707</v>
      </c>
      <c r="EG32" s="229">
        <v>0.25430000000000003</v>
      </c>
      <c r="EH32" s="229">
        <v>0.71250000000000002</v>
      </c>
      <c r="EI32" s="231">
        <v>358738.6</v>
      </c>
      <c r="EJ32" s="231">
        <v>186310.65</v>
      </c>
      <c r="EK32" s="231">
        <v>83683.990000000005</v>
      </c>
      <c r="EL32" s="228">
        <v>0</v>
      </c>
      <c r="EM32" s="231">
        <v>628733.24</v>
      </c>
      <c r="EN32" s="231">
        <v>907338.6</v>
      </c>
      <c r="EO32" s="231">
        <v>-278605.36</v>
      </c>
      <c r="EP32" s="229">
        <v>-0.30709999999999998</v>
      </c>
      <c r="EQ32" s="231">
        <v>237191</v>
      </c>
      <c r="ER32" s="231">
        <v>186475</v>
      </c>
      <c r="ES32" s="231">
        <v>669909</v>
      </c>
      <c r="ET32" s="231">
        <v>190812745</v>
      </c>
      <c r="EU32" s="231">
        <v>1093575</v>
      </c>
      <c r="EV32" s="231">
        <v>1074256</v>
      </c>
      <c r="EW32" s="231">
        <v>19319</v>
      </c>
      <c r="EX32" s="229">
        <v>1.7999999999999999E-2</v>
      </c>
      <c r="EY32" s="229">
        <v>0.1706</v>
      </c>
    </row>
    <row r="33" spans="1:155" ht="17.25" thickBot="1" x14ac:dyDescent="0.3">
      <c r="A33" s="226">
        <v>45889</v>
      </c>
      <c r="B33" s="227" t="s">
        <v>162</v>
      </c>
      <c r="C33" s="227" t="s">
        <v>255</v>
      </c>
      <c r="D33" s="231">
        <v>14221</v>
      </c>
      <c r="E33" s="231">
        <v>14236</v>
      </c>
      <c r="F33" s="228">
        <v>-15</v>
      </c>
      <c r="G33" s="229">
        <v>-1.1000000000000001E-3</v>
      </c>
      <c r="H33" s="231">
        <v>14221</v>
      </c>
      <c r="I33" s="231">
        <v>14250</v>
      </c>
      <c r="J33" s="228">
        <v>-29</v>
      </c>
      <c r="K33" s="229">
        <v>-2E-3</v>
      </c>
      <c r="L33" s="231">
        <v>14221</v>
      </c>
      <c r="M33" s="231">
        <v>14236</v>
      </c>
      <c r="N33" s="228">
        <v>-15</v>
      </c>
      <c r="O33" s="229">
        <v>-1.1000000000000001E-3</v>
      </c>
      <c r="P33" s="231">
        <v>14300</v>
      </c>
      <c r="Q33" s="231">
        <v>14314</v>
      </c>
      <c r="R33" s="228">
        <v>-14</v>
      </c>
      <c r="S33" s="229">
        <v>-1E-3</v>
      </c>
      <c r="T33" s="231">
        <v>14349</v>
      </c>
      <c r="U33" s="231">
        <v>14357</v>
      </c>
      <c r="V33" s="228">
        <v>-8</v>
      </c>
      <c r="W33" s="229">
        <v>-5.9999999999999995E-4</v>
      </c>
      <c r="X33" s="228">
        <v>0</v>
      </c>
      <c r="Y33" s="228">
        <v>-14</v>
      </c>
      <c r="Z33" s="228">
        <v>14</v>
      </c>
      <c r="AA33" s="229">
        <v>0</v>
      </c>
      <c r="AB33" s="228">
        <v>0</v>
      </c>
      <c r="AC33" s="228">
        <v>-14</v>
      </c>
      <c r="AD33" s="228">
        <v>14</v>
      </c>
      <c r="AE33" s="229">
        <v>0</v>
      </c>
      <c r="AF33" s="228">
        <v>79</v>
      </c>
      <c r="AG33" s="228">
        <v>64</v>
      </c>
      <c r="AH33" s="228">
        <v>15</v>
      </c>
      <c r="AI33" s="229">
        <v>5.5999999999999999E-3</v>
      </c>
      <c r="AJ33" s="228">
        <v>128</v>
      </c>
      <c r="AK33" s="228">
        <v>107</v>
      </c>
      <c r="AL33" s="228">
        <v>21</v>
      </c>
      <c r="AM33" s="229">
        <v>8.9999999999999993E-3</v>
      </c>
      <c r="AN33" s="231">
        <v>14237.15</v>
      </c>
      <c r="AO33" s="231">
        <v>14315.29</v>
      </c>
      <c r="AP33" s="228">
        <v>0</v>
      </c>
      <c r="AQ33" s="230">
        <v>11870</v>
      </c>
      <c r="AR33" s="230">
        <v>25436</v>
      </c>
      <c r="AS33" s="230">
        <v>-13566</v>
      </c>
      <c r="AT33" s="229">
        <v>-0.5333</v>
      </c>
      <c r="AU33" s="230">
        <v>10227</v>
      </c>
      <c r="AV33" s="230">
        <v>21851</v>
      </c>
      <c r="AW33" s="230">
        <v>-11624</v>
      </c>
      <c r="AX33" s="229">
        <v>-0.53200000000000003</v>
      </c>
      <c r="AY33" s="230">
        <v>1502</v>
      </c>
      <c r="AZ33" s="230">
        <v>3326</v>
      </c>
      <c r="BA33" s="230">
        <v>-1824</v>
      </c>
      <c r="BB33" s="229">
        <v>-0.5484</v>
      </c>
      <c r="BC33" s="228">
        <v>141</v>
      </c>
      <c r="BD33" s="228">
        <v>259</v>
      </c>
      <c r="BE33" s="228">
        <v>-118</v>
      </c>
      <c r="BF33" s="229">
        <v>-0.4556</v>
      </c>
      <c r="BG33" s="230">
        <v>126464</v>
      </c>
      <c r="BH33" s="230">
        <v>333416</v>
      </c>
      <c r="BI33" s="230">
        <v>-206952</v>
      </c>
      <c r="BJ33" s="229">
        <v>-0.62070000000000003</v>
      </c>
      <c r="BK33" s="230">
        <v>118806</v>
      </c>
      <c r="BL33" s="230">
        <v>251870</v>
      </c>
      <c r="BM33" s="230">
        <v>-133064</v>
      </c>
      <c r="BN33" s="229">
        <v>-0.52829999999999999</v>
      </c>
      <c r="BO33" s="230">
        <v>257140</v>
      </c>
      <c r="BP33" s="230">
        <v>610722</v>
      </c>
      <c r="BQ33" s="230">
        <v>-353582</v>
      </c>
      <c r="BR33" s="229">
        <v>-0.57899999999999996</v>
      </c>
      <c r="BS33" s="230">
        <v>407581</v>
      </c>
      <c r="BT33" s="230">
        <v>934380</v>
      </c>
      <c r="BU33" s="230">
        <v>-526799</v>
      </c>
      <c r="BV33" s="229">
        <v>-0.56379999999999997</v>
      </c>
      <c r="BW33" s="230">
        <v>3971700</v>
      </c>
      <c r="BX33" s="230">
        <v>3985750</v>
      </c>
      <c r="BY33" s="230">
        <v>-14050</v>
      </c>
      <c r="BZ33" s="229">
        <v>-3.5000000000000001E-3</v>
      </c>
      <c r="CA33" s="230">
        <v>3632450</v>
      </c>
      <c r="CB33" s="230">
        <v>3684050</v>
      </c>
      <c r="CC33" s="230">
        <v>-51600</v>
      </c>
      <c r="CD33" s="229">
        <v>-1.4E-2</v>
      </c>
      <c r="CE33" s="230">
        <v>314550</v>
      </c>
      <c r="CF33" s="230">
        <v>278700</v>
      </c>
      <c r="CG33" s="230">
        <v>35850</v>
      </c>
      <c r="CH33" s="229">
        <v>0.12859999999999999</v>
      </c>
      <c r="CI33" s="230">
        <v>24700</v>
      </c>
      <c r="CJ33" s="230">
        <v>23000</v>
      </c>
      <c r="CK33" s="230">
        <v>1700</v>
      </c>
      <c r="CL33" s="229">
        <v>7.3899999999999993E-2</v>
      </c>
      <c r="CM33" s="230">
        <v>4336600</v>
      </c>
      <c r="CN33" s="230">
        <v>4284200</v>
      </c>
      <c r="CO33" s="230">
        <v>52400</v>
      </c>
      <c r="CP33" s="229">
        <v>1.2200000000000001E-2</v>
      </c>
      <c r="CQ33" s="230">
        <v>4805650</v>
      </c>
      <c r="CR33" s="230">
        <v>4862800</v>
      </c>
      <c r="CS33" s="230">
        <v>-57150</v>
      </c>
      <c r="CT33" s="229">
        <v>-1.18E-2</v>
      </c>
      <c r="CU33" s="230">
        <v>13113950</v>
      </c>
      <c r="CV33" s="230">
        <v>13132750</v>
      </c>
      <c r="CW33" s="230">
        <v>-18800</v>
      </c>
      <c r="CX33" s="229">
        <v>-1.4E-3</v>
      </c>
      <c r="CY33" s="228">
        <v>21.01</v>
      </c>
      <c r="CZ33" s="228">
        <v>21.88</v>
      </c>
      <c r="DA33" s="228">
        <v>-0.87</v>
      </c>
      <c r="DB33" s="228">
        <v>-0.87</v>
      </c>
      <c r="DC33" s="228">
        <v>26.79</v>
      </c>
      <c r="DD33" s="228">
        <v>26.86</v>
      </c>
      <c r="DE33" s="228">
        <v>-5.78</v>
      </c>
      <c r="DF33" s="228">
        <v>-7.0000000000000007E-2</v>
      </c>
      <c r="DG33" s="228">
        <v>19.489999999999998</v>
      </c>
      <c r="DH33" s="228">
        <v>19.72</v>
      </c>
      <c r="DI33" s="228">
        <v>-0.23</v>
      </c>
      <c r="DJ33" s="228">
        <v>-0.23</v>
      </c>
      <c r="DK33" s="228">
        <v>22.63</v>
      </c>
      <c r="DL33" s="228">
        <v>24.73</v>
      </c>
      <c r="DM33" s="228">
        <v>-2.1</v>
      </c>
      <c r="DN33" s="228">
        <v>-2.1</v>
      </c>
      <c r="DO33" s="228">
        <v>1.1100000000000001</v>
      </c>
      <c r="DP33" s="228">
        <v>1.1399999999999999</v>
      </c>
      <c r="DQ33" s="228">
        <v>-0.03</v>
      </c>
      <c r="DR33" s="229">
        <v>-2.63E-2</v>
      </c>
      <c r="DS33" s="231">
        <v>14200</v>
      </c>
      <c r="DT33" s="231">
        <v>14000</v>
      </c>
      <c r="DU33" s="228">
        <v>0.94</v>
      </c>
      <c r="DV33" s="228">
        <v>0.76</v>
      </c>
      <c r="DW33" s="228">
        <v>0.18</v>
      </c>
      <c r="DX33" s="229">
        <v>0.23680000000000001</v>
      </c>
      <c r="DY33" s="229">
        <v>8.5400000000000004E-2</v>
      </c>
      <c r="DZ33" s="230">
        <v>301700</v>
      </c>
      <c r="EA33" s="229">
        <v>5.5999999999999999E-3</v>
      </c>
      <c r="EB33" s="229">
        <v>8.5400000000000004E-2</v>
      </c>
      <c r="EC33" s="228">
        <v>78.14</v>
      </c>
      <c r="ED33" s="229">
        <v>5.4999999999999997E-3</v>
      </c>
      <c r="EE33" s="230">
        <v>243289</v>
      </c>
      <c r="EF33" s="230">
        <v>527974</v>
      </c>
      <c r="EG33" s="229">
        <v>-0.53920000000000001</v>
      </c>
      <c r="EH33" s="229">
        <v>0.59689999999999999</v>
      </c>
      <c r="EI33" s="231">
        <v>927140.52</v>
      </c>
      <c r="EJ33" s="231">
        <v>822987.43</v>
      </c>
      <c r="EK33" s="231">
        <v>84565.33</v>
      </c>
      <c r="EL33" s="228">
        <v>0</v>
      </c>
      <c r="EM33" s="231">
        <v>1834693.28</v>
      </c>
      <c r="EN33" s="231">
        <v>4340741.7</v>
      </c>
      <c r="EO33" s="231">
        <v>-2506048.42</v>
      </c>
      <c r="EP33" s="229">
        <v>-0.57730000000000004</v>
      </c>
      <c r="EQ33" s="231">
        <v>603554</v>
      </c>
      <c r="ER33" s="231">
        <v>639034</v>
      </c>
      <c r="ES33" s="231">
        <v>565096</v>
      </c>
      <c r="ET33" s="231">
        <v>26231219</v>
      </c>
      <c r="EU33" s="231">
        <v>1807683</v>
      </c>
      <c r="EV33" s="231">
        <v>1809639</v>
      </c>
      <c r="EW33" s="231">
        <v>-1956</v>
      </c>
      <c r="EX33" s="229">
        <v>-1.1000000000000001E-3</v>
      </c>
      <c r="EY33" s="229">
        <v>0.49990000000000001</v>
      </c>
    </row>
    <row r="34" spans="1:155" ht="17.25" thickBot="1" x14ac:dyDescent="0.3">
      <c r="A34" s="226">
        <v>45889</v>
      </c>
      <c r="B34" s="227" t="s">
        <v>168</v>
      </c>
      <c r="C34" s="227" t="s">
        <v>265</v>
      </c>
      <c r="D34" s="231">
        <v>1191.3</v>
      </c>
      <c r="E34" s="231">
        <v>1163.5</v>
      </c>
      <c r="F34" s="228">
        <v>27.8</v>
      </c>
      <c r="G34" s="229">
        <v>2.3900000000000001E-2</v>
      </c>
      <c r="H34" s="231">
        <v>1190.3</v>
      </c>
      <c r="I34" s="231">
        <v>1161.4000000000001</v>
      </c>
      <c r="J34" s="228">
        <v>28.9</v>
      </c>
      <c r="K34" s="229">
        <v>2.4899999999999999E-2</v>
      </c>
      <c r="L34" s="231">
        <v>1191.3</v>
      </c>
      <c r="M34" s="231">
        <v>1163.5</v>
      </c>
      <c r="N34" s="228">
        <v>27.8</v>
      </c>
      <c r="O34" s="229">
        <v>2.3900000000000001E-2</v>
      </c>
      <c r="P34" s="231">
        <v>1197.9000000000001</v>
      </c>
      <c r="Q34" s="231">
        <v>1169.3</v>
      </c>
      <c r="R34" s="228">
        <v>28.6</v>
      </c>
      <c r="S34" s="229">
        <v>2.4500000000000001E-2</v>
      </c>
      <c r="T34" s="231">
        <v>1203</v>
      </c>
      <c r="U34" s="231">
        <v>1176.2</v>
      </c>
      <c r="V34" s="228">
        <v>26.8</v>
      </c>
      <c r="W34" s="229">
        <v>2.2800000000000001E-2</v>
      </c>
      <c r="X34" s="228">
        <v>1</v>
      </c>
      <c r="Y34" s="228">
        <v>2.1</v>
      </c>
      <c r="Z34" s="228">
        <v>-1.1000000000000001</v>
      </c>
      <c r="AA34" s="229">
        <v>8.0000000000000004E-4</v>
      </c>
      <c r="AB34" s="228">
        <v>1</v>
      </c>
      <c r="AC34" s="228">
        <v>2.1</v>
      </c>
      <c r="AD34" s="228">
        <v>-1.1000000000000001</v>
      </c>
      <c r="AE34" s="229">
        <v>8.0000000000000004E-4</v>
      </c>
      <c r="AF34" s="228">
        <v>7.6</v>
      </c>
      <c r="AG34" s="228">
        <v>7.9</v>
      </c>
      <c r="AH34" s="228">
        <v>-0.3</v>
      </c>
      <c r="AI34" s="229">
        <v>6.4000000000000003E-3</v>
      </c>
      <c r="AJ34" s="228">
        <v>12.7</v>
      </c>
      <c r="AK34" s="228">
        <v>14.8</v>
      </c>
      <c r="AL34" s="228">
        <v>-2.1</v>
      </c>
      <c r="AM34" s="229">
        <v>1.0699999999999999E-2</v>
      </c>
      <c r="AN34" s="231">
        <v>1181.52</v>
      </c>
      <c r="AO34" s="231">
        <v>1189.04</v>
      </c>
      <c r="AP34" s="228">
        <v>0</v>
      </c>
      <c r="AQ34" s="230">
        <v>7867</v>
      </c>
      <c r="AR34" s="230">
        <v>5404</v>
      </c>
      <c r="AS34" s="230">
        <v>2463</v>
      </c>
      <c r="AT34" s="229">
        <v>0.45579999999999998</v>
      </c>
      <c r="AU34" s="230">
        <v>6520</v>
      </c>
      <c r="AV34" s="230">
        <v>4483</v>
      </c>
      <c r="AW34" s="230">
        <v>2037</v>
      </c>
      <c r="AX34" s="229">
        <v>0.45440000000000003</v>
      </c>
      <c r="AY34" s="230">
        <v>1207</v>
      </c>
      <c r="AZ34" s="228">
        <v>857</v>
      </c>
      <c r="BA34" s="228">
        <v>350</v>
      </c>
      <c r="BB34" s="229">
        <v>0.40839999999999999</v>
      </c>
      <c r="BC34" s="228">
        <v>140</v>
      </c>
      <c r="BD34" s="228">
        <v>64</v>
      </c>
      <c r="BE34" s="228">
        <v>76</v>
      </c>
      <c r="BF34" s="229">
        <v>1.1875</v>
      </c>
      <c r="BG34" s="230">
        <v>28062</v>
      </c>
      <c r="BH34" s="230">
        <v>15914</v>
      </c>
      <c r="BI34" s="230">
        <v>12148</v>
      </c>
      <c r="BJ34" s="229">
        <v>0.76339999999999997</v>
      </c>
      <c r="BK34" s="230">
        <v>9603</v>
      </c>
      <c r="BL34" s="230">
        <v>9450</v>
      </c>
      <c r="BM34" s="228">
        <v>153</v>
      </c>
      <c r="BN34" s="229">
        <v>1.6199999999999999E-2</v>
      </c>
      <c r="BO34" s="230">
        <v>45532</v>
      </c>
      <c r="BP34" s="230">
        <v>30768</v>
      </c>
      <c r="BQ34" s="230">
        <v>14764</v>
      </c>
      <c r="BR34" s="229">
        <v>0.4798</v>
      </c>
      <c r="BS34" s="230">
        <v>1702991</v>
      </c>
      <c r="BT34" s="230">
        <v>1881574</v>
      </c>
      <c r="BU34" s="230">
        <v>-178583</v>
      </c>
      <c r="BV34" s="229">
        <v>-9.4899999999999998E-2</v>
      </c>
      <c r="BW34" s="230">
        <v>21505500</v>
      </c>
      <c r="BX34" s="230">
        <v>21096500</v>
      </c>
      <c r="BY34" s="230">
        <v>409000</v>
      </c>
      <c r="BZ34" s="229">
        <v>1.9400000000000001E-2</v>
      </c>
      <c r="CA34" s="230">
        <v>20114500</v>
      </c>
      <c r="CB34" s="230">
        <v>19945500</v>
      </c>
      <c r="CC34" s="230">
        <v>169000</v>
      </c>
      <c r="CD34" s="229">
        <v>8.5000000000000006E-3</v>
      </c>
      <c r="CE34" s="230">
        <v>1331500</v>
      </c>
      <c r="CF34" s="230">
        <v>1083500</v>
      </c>
      <c r="CG34" s="230">
        <v>248000</v>
      </c>
      <c r="CH34" s="229">
        <v>0.22889999999999999</v>
      </c>
      <c r="CI34" s="230">
        <v>59500</v>
      </c>
      <c r="CJ34" s="230">
        <v>67500</v>
      </c>
      <c r="CK34" s="230">
        <v>-8000</v>
      </c>
      <c r="CL34" s="229">
        <v>-0.11849999999999999</v>
      </c>
      <c r="CM34" s="230">
        <v>4367500</v>
      </c>
      <c r="CN34" s="230">
        <v>4174500</v>
      </c>
      <c r="CO34" s="230">
        <v>193000</v>
      </c>
      <c r="CP34" s="229">
        <v>4.6199999999999998E-2</v>
      </c>
      <c r="CQ34" s="230">
        <v>3735000</v>
      </c>
      <c r="CR34" s="230">
        <v>3210000</v>
      </c>
      <c r="CS34" s="230">
        <v>525000</v>
      </c>
      <c r="CT34" s="229">
        <v>0.1636</v>
      </c>
      <c r="CU34" s="230">
        <v>29608000</v>
      </c>
      <c r="CV34" s="230">
        <v>28481000</v>
      </c>
      <c r="CW34" s="230">
        <v>1127000</v>
      </c>
      <c r="CX34" s="229">
        <v>3.9600000000000003E-2</v>
      </c>
      <c r="CY34" s="228">
        <v>22.2</v>
      </c>
      <c r="CZ34" s="228">
        <v>20.9</v>
      </c>
      <c r="DA34" s="228">
        <v>1.3</v>
      </c>
      <c r="DB34" s="228">
        <v>1.3</v>
      </c>
      <c r="DC34" s="228">
        <v>24.26</v>
      </c>
      <c r="DD34" s="228">
        <v>24.11</v>
      </c>
      <c r="DE34" s="228">
        <v>-2.06</v>
      </c>
      <c r="DF34" s="228">
        <v>0.15</v>
      </c>
      <c r="DG34" s="228">
        <v>21.78</v>
      </c>
      <c r="DH34" s="228">
        <v>20.25</v>
      </c>
      <c r="DI34" s="228">
        <v>1.53</v>
      </c>
      <c r="DJ34" s="228">
        <v>1.53</v>
      </c>
      <c r="DK34" s="228">
        <v>23.42</v>
      </c>
      <c r="DL34" s="228">
        <v>21.99</v>
      </c>
      <c r="DM34" s="228">
        <v>1.43</v>
      </c>
      <c r="DN34" s="228">
        <v>1.43</v>
      </c>
      <c r="DO34" s="228">
        <v>0.86</v>
      </c>
      <c r="DP34" s="228">
        <v>0.77</v>
      </c>
      <c r="DQ34" s="228">
        <v>0.09</v>
      </c>
      <c r="DR34" s="229">
        <v>0.1169</v>
      </c>
      <c r="DS34" s="231">
        <v>1150</v>
      </c>
      <c r="DT34" s="231">
        <v>1200</v>
      </c>
      <c r="DU34" s="228">
        <v>0.34</v>
      </c>
      <c r="DV34" s="228">
        <v>0.59</v>
      </c>
      <c r="DW34" s="228">
        <v>-0.25</v>
      </c>
      <c r="DX34" s="229">
        <v>-0.42370000000000002</v>
      </c>
      <c r="DY34" s="229">
        <v>6.4699999999999994E-2</v>
      </c>
      <c r="DZ34" s="230">
        <v>1151000</v>
      </c>
      <c r="EA34" s="229">
        <v>5.4999999999999997E-3</v>
      </c>
      <c r="EB34" s="229">
        <v>6.4699999999999994E-2</v>
      </c>
      <c r="EC34" s="228">
        <v>7.52</v>
      </c>
      <c r="ED34" s="229">
        <v>6.4000000000000003E-3</v>
      </c>
      <c r="EE34" s="230">
        <v>866004</v>
      </c>
      <c r="EF34" s="230">
        <v>1125434</v>
      </c>
      <c r="EG34" s="229">
        <v>-0.23050000000000001</v>
      </c>
      <c r="EH34" s="229">
        <v>0.50849999999999995</v>
      </c>
      <c r="EI34" s="231">
        <v>169318.7</v>
      </c>
      <c r="EJ34" s="231">
        <v>55858.22</v>
      </c>
      <c r="EK34" s="231">
        <v>46530.3</v>
      </c>
      <c r="EL34" s="228">
        <v>0</v>
      </c>
      <c r="EM34" s="231">
        <v>271707.21999999997</v>
      </c>
      <c r="EN34" s="231">
        <v>178742.57</v>
      </c>
      <c r="EO34" s="231">
        <v>92964.65</v>
      </c>
      <c r="EP34" s="229">
        <v>0.52010000000000001</v>
      </c>
      <c r="EQ34" s="231">
        <v>51911</v>
      </c>
      <c r="ER34" s="231">
        <v>41956</v>
      </c>
      <c r="ES34" s="231">
        <v>256290</v>
      </c>
      <c r="ET34" s="231">
        <v>143602548</v>
      </c>
      <c r="EU34" s="231">
        <v>350157</v>
      </c>
      <c r="EV34" s="231">
        <v>330742</v>
      </c>
      <c r="EW34" s="231">
        <v>19415</v>
      </c>
      <c r="EX34" s="229">
        <v>5.8700000000000002E-2</v>
      </c>
      <c r="EY34" s="229">
        <v>0.20619999999999999</v>
      </c>
    </row>
    <row r="35" spans="1:155" ht="17.25" thickBot="1" x14ac:dyDescent="0.3">
      <c r="A35" s="226">
        <v>45889</v>
      </c>
      <c r="B35" s="227" t="s">
        <v>161</v>
      </c>
      <c r="C35" s="227" t="s">
        <v>268</v>
      </c>
      <c r="D35" s="228">
        <v>342.15</v>
      </c>
      <c r="E35" s="228">
        <v>335.95</v>
      </c>
      <c r="F35" s="228">
        <v>6.2</v>
      </c>
      <c r="G35" s="229">
        <v>1.8499999999999999E-2</v>
      </c>
      <c r="H35" s="228">
        <v>342</v>
      </c>
      <c r="I35" s="228">
        <v>335.05</v>
      </c>
      <c r="J35" s="228">
        <v>6.95</v>
      </c>
      <c r="K35" s="229">
        <v>2.07E-2</v>
      </c>
      <c r="L35" s="228">
        <v>342.15</v>
      </c>
      <c r="M35" s="228">
        <v>335.95</v>
      </c>
      <c r="N35" s="228">
        <v>6.2</v>
      </c>
      <c r="O35" s="229">
        <v>1.8499999999999999E-2</v>
      </c>
      <c r="P35" s="228">
        <v>340.95</v>
      </c>
      <c r="Q35" s="228">
        <v>334.8</v>
      </c>
      <c r="R35" s="228">
        <v>6.15</v>
      </c>
      <c r="S35" s="229">
        <v>1.84E-2</v>
      </c>
      <c r="T35" s="228">
        <v>342.65</v>
      </c>
      <c r="U35" s="228">
        <v>336.05</v>
      </c>
      <c r="V35" s="228">
        <v>6.6</v>
      </c>
      <c r="W35" s="229">
        <v>1.9599999999999999E-2</v>
      </c>
      <c r="X35" s="228">
        <v>0.15</v>
      </c>
      <c r="Y35" s="228">
        <v>0.9</v>
      </c>
      <c r="Z35" s="228">
        <v>-0.75</v>
      </c>
      <c r="AA35" s="229">
        <v>4.0000000000000002E-4</v>
      </c>
      <c r="AB35" s="228">
        <v>0.15</v>
      </c>
      <c r="AC35" s="228">
        <v>0.9</v>
      </c>
      <c r="AD35" s="228">
        <v>-0.75</v>
      </c>
      <c r="AE35" s="229">
        <v>4.0000000000000002E-4</v>
      </c>
      <c r="AF35" s="228">
        <v>-1.05</v>
      </c>
      <c r="AG35" s="228">
        <v>-0.25</v>
      </c>
      <c r="AH35" s="228">
        <v>-0.8</v>
      </c>
      <c r="AI35" s="229">
        <v>-3.0999999999999999E-3</v>
      </c>
      <c r="AJ35" s="228">
        <v>0.65</v>
      </c>
      <c r="AK35" s="228">
        <v>1</v>
      </c>
      <c r="AL35" s="228">
        <v>-0.35</v>
      </c>
      <c r="AM35" s="229">
        <v>1.9E-3</v>
      </c>
      <c r="AN35" s="228">
        <v>340.93</v>
      </c>
      <c r="AO35" s="228">
        <v>339.25</v>
      </c>
      <c r="AP35" s="228">
        <v>0</v>
      </c>
      <c r="AQ35" s="230">
        <v>13767</v>
      </c>
      <c r="AR35" s="230">
        <v>9293</v>
      </c>
      <c r="AS35" s="230">
        <v>4474</v>
      </c>
      <c r="AT35" s="229">
        <v>0.48139999999999999</v>
      </c>
      <c r="AU35" s="230">
        <v>10704</v>
      </c>
      <c r="AV35" s="230">
        <v>5772</v>
      </c>
      <c r="AW35" s="230">
        <v>4932</v>
      </c>
      <c r="AX35" s="229">
        <v>0.85450000000000004</v>
      </c>
      <c r="AY35" s="230">
        <v>2891</v>
      </c>
      <c r="AZ35" s="230">
        <v>3366</v>
      </c>
      <c r="BA35" s="228">
        <v>-475</v>
      </c>
      <c r="BB35" s="229">
        <v>-0.1411</v>
      </c>
      <c r="BC35" s="228">
        <v>172</v>
      </c>
      <c r="BD35" s="228">
        <v>155</v>
      </c>
      <c r="BE35" s="228">
        <v>17</v>
      </c>
      <c r="BF35" s="229">
        <v>0.10970000000000001</v>
      </c>
      <c r="BG35" s="230">
        <v>69915</v>
      </c>
      <c r="BH35" s="230">
        <v>29333</v>
      </c>
      <c r="BI35" s="230">
        <v>40582</v>
      </c>
      <c r="BJ35" s="229">
        <v>1.3835</v>
      </c>
      <c r="BK35" s="230">
        <v>21671</v>
      </c>
      <c r="BL35" s="230">
        <v>14763</v>
      </c>
      <c r="BM35" s="230">
        <v>6908</v>
      </c>
      <c r="BN35" s="229">
        <v>0.46789999999999998</v>
      </c>
      <c r="BO35" s="230">
        <v>105353</v>
      </c>
      <c r="BP35" s="230">
        <v>53389</v>
      </c>
      <c r="BQ35" s="230">
        <v>51964</v>
      </c>
      <c r="BR35" s="229">
        <v>0.97330000000000005</v>
      </c>
      <c r="BS35" s="230">
        <v>11075082</v>
      </c>
      <c r="BT35" s="230">
        <v>10681776</v>
      </c>
      <c r="BU35" s="230">
        <v>393306</v>
      </c>
      <c r="BV35" s="229">
        <v>3.6799999999999999E-2</v>
      </c>
      <c r="BW35" s="230">
        <v>105649500</v>
      </c>
      <c r="BX35" s="230">
        <v>103384500</v>
      </c>
      <c r="BY35" s="230">
        <v>2265000</v>
      </c>
      <c r="BZ35" s="229">
        <v>2.1899999999999999E-2</v>
      </c>
      <c r="CA35" s="230">
        <v>95095500</v>
      </c>
      <c r="CB35" s="230">
        <v>94834500</v>
      </c>
      <c r="CC35" s="230">
        <v>261000</v>
      </c>
      <c r="CD35" s="229">
        <v>2.8E-3</v>
      </c>
      <c r="CE35" s="230">
        <v>10204500</v>
      </c>
      <c r="CF35" s="230">
        <v>8241000</v>
      </c>
      <c r="CG35" s="230">
        <v>1963500</v>
      </c>
      <c r="CH35" s="229">
        <v>0.23830000000000001</v>
      </c>
      <c r="CI35" s="230">
        <v>349500</v>
      </c>
      <c r="CJ35" s="230">
        <v>309000</v>
      </c>
      <c r="CK35" s="230">
        <v>40500</v>
      </c>
      <c r="CL35" s="229">
        <v>0.13109999999999999</v>
      </c>
      <c r="CM35" s="230">
        <v>44614500</v>
      </c>
      <c r="CN35" s="230">
        <v>41704500</v>
      </c>
      <c r="CO35" s="230">
        <v>2910000</v>
      </c>
      <c r="CP35" s="229">
        <v>6.9800000000000001E-2</v>
      </c>
      <c r="CQ35" s="230">
        <v>22885500</v>
      </c>
      <c r="CR35" s="230">
        <v>17847000</v>
      </c>
      <c r="CS35" s="230">
        <v>5038500</v>
      </c>
      <c r="CT35" s="229">
        <v>0.2823</v>
      </c>
      <c r="CU35" s="230">
        <v>173149500</v>
      </c>
      <c r="CV35" s="230">
        <v>162936000</v>
      </c>
      <c r="CW35" s="230">
        <v>10213500</v>
      </c>
      <c r="CX35" s="229">
        <v>6.2700000000000006E-2</v>
      </c>
      <c r="CY35" s="228">
        <v>15.9</v>
      </c>
      <c r="CZ35" s="228">
        <v>17.399999999999999</v>
      </c>
      <c r="DA35" s="228">
        <v>-1.5</v>
      </c>
      <c r="DB35" s="228">
        <v>-1.5</v>
      </c>
      <c r="DC35" s="228">
        <v>30.64</v>
      </c>
      <c r="DD35" s="228">
        <v>30.59</v>
      </c>
      <c r="DE35" s="228">
        <v>-14.74</v>
      </c>
      <c r="DF35" s="228">
        <v>0.05</v>
      </c>
      <c r="DG35" s="228">
        <v>15.76</v>
      </c>
      <c r="DH35" s="228">
        <v>17.22</v>
      </c>
      <c r="DI35" s="228">
        <v>-1.46</v>
      </c>
      <c r="DJ35" s="228">
        <v>-1.46</v>
      </c>
      <c r="DK35" s="228">
        <v>16.350000000000001</v>
      </c>
      <c r="DL35" s="228">
        <v>17.77</v>
      </c>
      <c r="DM35" s="228">
        <v>-1.42</v>
      </c>
      <c r="DN35" s="228">
        <v>-1.42</v>
      </c>
      <c r="DO35" s="228">
        <v>0.51</v>
      </c>
      <c r="DP35" s="228">
        <v>0.43</v>
      </c>
      <c r="DQ35" s="228">
        <v>0.08</v>
      </c>
      <c r="DR35" s="229">
        <v>0.186</v>
      </c>
      <c r="DS35" s="228">
        <v>340</v>
      </c>
      <c r="DT35" s="228">
        <v>340</v>
      </c>
      <c r="DU35" s="228">
        <v>0.31</v>
      </c>
      <c r="DV35" s="228">
        <v>0.5</v>
      </c>
      <c r="DW35" s="228">
        <v>-0.19</v>
      </c>
      <c r="DX35" s="229">
        <v>-0.38</v>
      </c>
      <c r="DY35" s="229">
        <v>9.9900000000000003E-2</v>
      </c>
      <c r="DZ35" s="230">
        <v>8550000</v>
      </c>
      <c r="EA35" s="229">
        <v>-3.5000000000000001E-3</v>
      </c>
      <c r="EB35" s="229">
        <v>9.9900000000000003E-2</v>
      </c>
      <c r="EC35" s="228">
        <v>-1.68</v>
      </c>
      <c r="ED35" s="229">
        <v>-4.8999999999999998E-3</v>
      </c>
      <c r="EE35" s="230">
        <v>6422396</v>
      </c>
      <c r="EF35" s="230">
        <v>6849923</v>
      </c>
      <c r="EG35" s="229">
        <v>-6.2399999999999997E-2</v>
      </c>
      <c r="EH35" s="229">
        <v>0.57989999999999997</v>
      </c>
      <c r="EI35" s="231">
        <v>364456.97</v>
      </c>
      <c r="EJ35" s="231">
        <v>110626.9</v>
      </c>
      <c r="EK35" s="231">
        <v>70330.19</v>
      </c>
      <c r="EL35" s="228">
        <v>0</v>
      </c>
      <c r="EM35" s="231">
        <v>545414.06000000006</v>
      </c>
      <c r="EN35" s="231">
        <v>275732.13</v>
      </c>
      <c r="EO35" s="231">
        <v>269681.93</v>
      </c>
      <c r="EP35" s="229">
        <v>0.97809999999999997</v>
      </c>
      <c r="EQ35" s="231">
        <v>154740</v>
      </c>
      <c r="ER35" s="231">
        <v>77318</v>
      </c>
      <c r="ES35" s="231">
        <v>361359</v>
      </c>
      <c r="ET35" s="231">
        <v>948263976</v>
      </c>
      <c r="EU35" s="231">
        <v>593417</v>
      </c>
      <c r="EV35" s="231">
        <v>551930</v>
      </c>
      <c r="EW35" s="231">
        <v>41487</v>
      </c>
      <c r="EX35" s="229">
        <v>7.5200000000000003E-2</v>
      </c>
      <c r="EY35" s="229">
        <v>0.18260000000000001</v>
      </c>
    </row>
    <row r="36" spans="1:155" ht="17.25" thickBot="1" x14ac:dyDescent="0.3">
      <c r="A36" s="226">
        <v>45889</v>
      </c>
      <c r="B36" s="227" t="s">
        <v>193</v>
      </c>
      <c r="C36" s="227" t="s">
        <v>269</v>
      </c>
      <c r="D36" s="228">
        <v>238.57</v>
      </c>
      <c r="E36" s="228">
        <v>238.67</v>
      </c>
      <c r="F36" s="228">
        <v>-0.1</v>
      </c>
      <c r="G36" s="229">
        <v>-4.0000000000000002E-4</v>
      </c>
      <c r="H36" s="228">
        <v>237.93</v>
      </c>
      <c r="I36" s="228">
        <v>237.94</v>
      </c>
      <c r="J36" s="228">
        <v>-0.01</v>
      </c>
      <c r="K36" s="229">
        <v>0</v>
      </c>
      <c r="L36" s="228">
        <v>238.57</v>
      </c>
      <c r="M36" s="228">
        <v>238.67</v>
      </c>
      <c r="N36" s="228">
        <v>-0.1</v>
      </c>
      <c r="O36" s="229">
        <v>-4.0000000000000002E-4</v>
      </c>
      <c r="P36" s="228">
        <v>238.7</v>
      </c>
      <c r="Q36" s="228">
        <v>238.73</v>
      </c>
      <c r="R36" s="228">
        <v>-0.03</v>
      </c>
      <c r="S36" s="229">
        <v>-1E-4</v>
      </c>
      <c r="T36" s="228">
        <v>239.95</v>
      </c>
      <c r="U36" s="228">
        <v>240.03</v>
      </c>
      <c r="V36" s="228">
        <v>-0.08</v>
      </c>
      <c r="W36" s="229">
        <v>-2.9999999999999997E-4</v>
      </c>
      <c r="X36" s="228">
        <v>0.64</v>
      </c>
      <c r="Y36" s="228">
        <v>0.73</v>
      </c>
      <c r="Z36" s="228">
        <v>-0.09</v>
      </c>
      <c r="AA36" s="229">
        <v>2.7000000000000001E-3</v>
      </c>
      <c r="AB36" s="228">
        <v>0.64</v>
      </c>
      <c r="AC36" s="228">
        <v>0.73</v>
      </c>
      <c r="AD36" s="228">
        <v>-0.09</v>
      </c>
      <c r="AE36" s="229">
        <v>2.7000000000000001E-3</v>
      </c>
      <c r="AF36" s="228">
        <v>0.77</v>
      </c>
      <c r="AG36" s="228">
        <v>0.79</v>
      </c>
      <c r="AH36" s="228">
        <v>-0.02</v>
      </c>
      <c r="AI36" s="229">
        <v>3.2000000000000002E-3</v>
      </c>
      <c r="AJ36" s="228">
        <v>2.02</v>
      </c>
      <c r="AK36" s="228">
        <v>2.09</v>
      </c>
      <c r="AL36" s="228">
        <v>-7.0000000000000007E-2</v>
      </c>
      <c r="AM36" s="229">
        <v>8.5000000000000006E-3</v>
      </c>
      <c r="AN36" s="228">
        <v>238.32</v>
      </c>
      <c r="AO36" s="228">
        <v>238.51</v>
      </c>
      <c r="AP36" s="228">
        <v>0</v>
      </c>
      <c r="AQ36" s="230">
        <v>3285</v>
      </c>
      <c r="AR36" s="230">
        <v>3303</v>
      </c>
      <c r="AS36" s="228">
        <v>-18</v>
      </c>
      <c r="AT36" s="229">
        <v>-5.4000000000000003E-3</v>
      </c>
      <c r="AU36" s="230">
        <v>2505</v>
      </c>
      <c r="AV36" s="230">
        <v>2499</v>
      </c>
      <c r="AW36" s="228">
        <v>6</v>
      </c>
      <c r="AX36" s="229">
        <v>2.3999999999999998E-3</v>
      </c>
      <c r="AY36" s="228">
        <v>749</v>
      </c>
      <c r="AZ36" s="228">
        <v>771</v>
      </c>
      <c r="BA36" s="228">
        <v>-22</v>
      </c>
      <c r="BB36" s="229">
        <v>-2.8500000000000001E-2</v>
      </c>
      <c r="BC36" s="228">
        <v>31</v>
      </c>
      <c r="BD36" s="228">
        <v>33</v>
      </c>
      <c r="BE36" s="228">
        <v>-2</v>
      </c>
      <c r="BF36" s="229">
        <v>-6.0600000000000001E-2</v>
      </c>
      <c r="BG36" s="230">
        <v>18278</v>
      </c>
      <c r="BH36" s="230">
        <v>10924</v>
      </c>
      <c r="BI36" s="230">
        <v>7354</v>
      </c>
      <c r="BJ36" s="229">
        <v>0.67320000000000002</v>
      </c>
      <c r="BK36" s="230">
        <v>6834</v>
      </c>
      <c r="BL36" s="230">
        <v>5788</v>
      </c>
      <c r="BM36" s="230">
        <v>1046</v>
      </c>
      <c r="BN36" s="229">
        <v>0.1807</v>
      </c>
      <c r="BO36" s="230">
        <v>28397</v>
      </c>
      <c r="BP36" s="230">
        <v>20015</v>
      </c>
      <c r="BQ36" s="230">
        <v>8382</v>
      </c>
      <c r="BR36" s="229">
        <v>0.41880000000000001</v>
      </c>
      <c r="BS36" s="230">
        <v>7688568</v>
      </c>
      <c r="BT36" s="230">
        <v>5707149</v>
      </c>
      <c r="BU36" s="230">
        <v>1981419</v>
      </c>
      <c r="BV36" s="229">
        <v>0.34720000000000001</v>
      </c>
      <c r="BW36" s="230">
        <v>84096000</v>
      </c>
      <c r="BX36" s="230">
        <v>84267000</v>
      </c>
      <c r="BY36" s="230">
        <v>-171000</v>
      </c>
      <c r="BZ36" s="229">
        <v>-2E-3</v>
      </c>
      <c r="CA36" s="230">
        <v>76799250</v>
      </c>
      <c r="CB36" s="230">
        <v>77969250</v>
      </c>
      <c r="CC36" s="230">
        <v>-1170000</v>
      </c>
      <c r="CD36" s="229">
        <v>-1.4999999999999999E-2</v>
      </c>
      <c r="CE36" s="230">
        <v>7031250</v>
      </c>
      <c r="CF36" s="230">
        <v>6050250</v>
      </c>
      <c r="CG36" s="230">
        <v>981000</v>
      </c>
      <c r="CH36" s="229">
        <v>0.16209999999999999</v>
      </c>
      <c r="CI36" s="230">
        <v>265500</v>
      </c>
      <c r="CJ36" s="230">
        <v>247500</v>
      </c>
      <c r="CK36" s="230">
        <v>18000</v>
      </c>
      <c r="CL36" s="229">
        <v>7.2700000000000001E-2</v>
      </c>
      <c r="CM36" s="230">
        <v>52843500</v>
      </c>
      <c r="CN36" s="230">
        <v>49968000</v>
      </c>
      <c r="CO36" s="230">
        <v>2875500</v>
      </c>
      <c r="CP36" s="229">
        <v>5.7500000000000002E-2</v>
      </c>
      <c r="CQ36" s="230">
        <v>21888000</v>
      </c>
      <c r="CR36" s="230">
        <v>21291750</v>
      </c>
      <c r="CS36" s="230">
        <v>596250</v>
      </c>
      <c r="CT36" s="229">
        <v>2.8000000000000001E-2</v>
      </c>
      <c r="CU36" s="230">
        <v>158827500</v>
      </c>
      <c r="CV36" s="230">
        <v>155526750</v>
      </c>
      <c r="CW36" s="230">
        <v>3300750</v>
      </c>
      <c r="CX36" s="229">
        <v>2.12E-2</v>
      </c>
      <c r="CY36" s="228">
        <v>17.23</v>
      </c>
      <c r="CZ36" s="228">
        <v>18.350000000000001</v>
      </c>
      <c r="DA36" s="228">
        <v>-1.1200000000000001</v>
      </c>
      <c r="DB36" s="228">
        <v>-1.1200000000000001</v>
      </c>
      <c r="DC36" s="228">
        <v>34.86</v>
      </c>
      <c r="DD36" s="228">
        <v>34.950000000000003</v>
      </c>
      <c r="DE36" s="228">
        <v>-17.63</v>
      </c>
      <c r="DF36" s="228">
        <v>-0.09</v>
      </c>
      <c r="DG36" s="228">
        <v>17.66</v>
      </c>
      <c r="DH36" s="228">
        <v>19.14</v>
      </c>
      <c r="DI36" s="228">
        <v>-1.48</v>
      </c>
      <c r="DJ36" s="228">
        <v>-1.48</v>
      </c>
      <c r="DK36" s="228">
        <v>16.07</v>
      </c>
      <c r="DL36" s="228">
        <v>16.88</v>
      </c>
      <c r="DM36" s="228">
        <v>-0.81</v>
      </c>
      <c r="DN36" s="228">
        <v>-0.81</v>
      </c>
      <c r="DO36" s="228">
        <v>0.41</v>
      </c>
      <c r="DP36" s="228">
        <v>0.43</v>
      </c>
      <c r="DQ36" s="228">
        <v>-0.02</v>
      </c>
      <c r="DR36" s="229">
        <v>-4.65E-2</v>
      </c>
      <c r="DS36" s="228">
        <v>235</v>
      </c>
      <c r="DT36" s="228">
        <v>235</v>
      </c>
      <c r="DU36" s="228">
        <v>0.37</v>
      </c>
      <c r="DV36" s="228">
        <v>0.53</v>
      </c>
      <c r="DW36" s="228">
        <v>-0.16</v>
      </c>
      <c r="DX36" s="229">
        <v>-0.3019</v>
      </c>
      <c r="DY36" s="229">
        <v>8.6800000000000002E-2</v>
      </c>
      <c r="DZ36" s="230">
        <v>6297750</v>
      </c>
      <c r="EA36" s="229">
        <v>5.0000000000000001E-4</v>
      </c>
      <c r="EB36" s="229">
        <v>8.6800000000000002E-2</v>
      </c>
      <c r="EC36" s="228">
        <v>0.19</v>
      </c>
      <c r="ED36" s="229">
        <v>8.0000000000000004E-4</v>
      </c>
      <c r="EE36" s="230">
        <v>4953881</v>
      </c>
      <c r="EF36" s="230">
        <v>3663528</v>
      </c>
      <c r="EG36" s="229">
        <v>0.35220000000000001</v>
      </c>
      <c r="EH36" s="229">
        <v>0.64429999999999998</v>
      </c>
      <c r="EI36" s="231">
        <v>100348.76</v>
      </c>
      <c r="EJ36" s="231">
        <v>36650.800000000003</v>
      </c>
      <c r="EK36" s="231">
        <v>17618.919999999998</v>
      </c>
      <c r="EL36" s="228">
        <v>0</v>
      </c>
      <c r="EM36" s="231">
        <v>154618.48000000001</v>
      </c>
      <c r="EN36" s="231">
        <v>109362.66</v>
      </c>
      <c r="EO36" s="231">
        <v>45255.82</v>
      </c>
      <c r="EP36" s="229">
        <v>0.4138</v>
      </c>
      <c r="EQ36" s="231">
        <v>128355</v>
      </c>
      <c r="ER36" s="231">
        <v>51701</v>
      </c>
      <c r="ES36" s="231">
        <v>200641</v>
      </c>
      <c r="ET36" s="231">
        <v>1034282422</v>
      </c>
      <c r="EU36" s="231">
        <v>380697</v>
      </c>
      <c r="EV36" s="231">
        <v>372894</v>
      </c>
      <c r="EW36" s="231">
        <v>7803</v>
      </c>
      <c r="EX36" s="229">
        <v>2.0899999999999998E-2</v>
      </c>
      <c r="EY36" s="229">
        <v>0.15359999999999999</v>
      </c>
    </row>
    <row r="37" spans="1:155" ht="17.25" thickBot="1" x14ac:dyDescent="0.3">
      <c r="A37" s="226">
        <v>45889</v>
      </c>
      <c r="B37" s="227" t="s">
        <v>161</v>
      </c>
      <c r="C37" s="227" t="s">
        <v>276</v>
      </c>
      <c r="D37" s="228">
        <v>288.60000000000002</v>
      </c>
      <c r="E37" s="228">
        <v>288.45</v>
      </c>
      <c r="F37" s="228">
        <v>0.15</v>
      </c>
      <c r="G37" s="229">
        <v>5.0000000000000001E-4</v>
      </c>
      <c r="H37" s="228">
        <v>288.39999999999998</v>
      </c>
      <c r="I37" s="228">
        <v>288</v>
      </c>
      <c r="J37" s="228">
        <v>0.4</v>
      </c>
      <c r="K37" s="229">
        <v>1.4E-3</v>
      </c>
      <c r="L37" s="228">
        <v>288.60000000000002</v>
      </c>
      <c r="M37" s="228">
        <v>288.45</v>
      </c>
      <c r="N37" s="228">
        <v>0.15</v>
      </c>
      <c r="O37" s="229">
        <v>5.0000000000000001E-4</v>
      </c>
      <c r="P37" s="228">
        <v>290.3</v>
      </c>
      <c r="Q37" s="228">
        <v>290.10000000000002</v>
      </c>
      <c r="R37" s="228">
        <v>0.2</v>
      </c>
      <c r="S37" s="229">
        <v>6.9999999999999999E-4</v>
      </c>
      <c r="T37" s="228">
        <v>291.45</v>
      </c>
      <c r="U37" s="228">
        <v>291.8</v>
      </c>
      <c r="V37" s="228">
        <v>-0.35</v>
      </c>
      <c r="W37" s="229">
        <v>-1.1999999999999999E-3</v>
      </c>
      <c r="X37" s="228">
        <v>0.2</v>
      </c>
      <c r="Y37" s="228">
        <v>0.45</v>
      </c>
      <c r="Z37" s="228">
        <v>-0.25</v>
      </c>
      <c r="AA37" s="229">
        <v>6.9999999999999999E-4</v>
      </c>
      <c r="AB37" s="228">
        <v>0.2</v>
      </c>
      <c r="AC37" s="228">
        <v>0.45</v>
      </c>
      <c r="AD37" s="228">
        <v>-0.25</v>
      </c>
      <c r="AE37" s="229">
        <v>6.9999999999999999E-4</v>
      </c>
      <c r="AF37" s="228">
        <v>1.9</v>
      </c>
      <c r="AG37" s="228">
        <v>2.1</v>
      </c>
      <c r="AH37" s="228">
        <v>-0.2</v>
      </c>
      <c r="AI37" s="229">
        <v>6.6E-3</v>
      </c>
      <c r="AJ37" s="228">
        <v>3.05</v>
      </c>
      <c r="AK37" s="228">
        <v>3.8</v>
      </c>
      <c r="AL37" s="228">
        <v>-0.75</v>
      </c>
      <c r="AM37" s="229">
        <v>1.06E-2</v>
      </c>
      <c r="AN37" s="228">
        <v>288.25</v>
      </c>
      <c r="AO37" s="228">
        <v>290.2</v>
      </c>
      <c r="AP37" s="228">
        <v>0</v>
      </c>
      <c r="AQ37" s="230">
        <v>2831</v>
      </c>
      <c r="AR37" s="230">
        <v>2609</v>
      </c>
      <c r="AS37" s="228">
        <v>222</v>
      </c>
      <c r="AT37" s="229">
        <v>8.5099999999999995E-2</v>
      </c>
      <c r="AU37" s="230">
        <v>2064</v>
      </c>
      <c r="AV37" s="230">
        <v>2245</v>
      </c>
      <c r="AW37" s="228">
        <v>-181</v>
      </c>
      <c r="AX37" s="229">
        <v>-8.0600000000000005E-2</v>
      </c>
      <c r="AY37" s="228">
        <v>693</v>
      </c>
      <c r="AZ37" s="228">
        <v>298</v>
      </c>
      <c r="BA37" s="228">
        <v>395</v>
      </c>
      <c r="BB37" s="229">
        <v>1.3254999999999999</v>
      </c>
      <c r="BC37" s="228">
        <v>74</v>
      </c>
      <c r="BD37" s="228">
        <v>66</v>
      </c>
      <c r="BE37" s="228">
        <v>8</v>
      </c>
      <c r="BF37" s="229">
        <v>0.1212</v>
      </c>
      <c r="BG37" s="230">
        <v>5755</v>
      </c>
      <c r="BH37" s="230">
        <v>7330</v>
      </c>
      <c r="BI37" s="230">
        <v>-1575</v>
      </c>
      <c r="BJ37" s="229">
        <v>-0.21490000000000001</v>
      </c>
      <c r="BK37" s="230">
        <v>2199</v>
      </c>
      <c r="BL37" s="230">
        <v>3291</v>
      </c>
      <c r="BM37" s="230">
        <v>-1092</v>
      </c>
      <c r="BN37" s="229">
        <v>-0.33179999999999998</v>
      </c>
      <c r="BO37" s="230">
        <v>10785</v>
      </c>
      <c r="BP37" s="230">
        <v>13230</v>
      </c>
      <c r="BQ37" s="230">
        <v>-2445</v>
      </c>
      <c r="BR37" s="229">
        <v>-0.18479999999999999</v>
      </c>
      <c r="BS37" s="230">
        <v>3208939</v>
      </c>
      <c r="BT37" s="230">
        <v>7439962</v>
      </c>
      <c r="BU37" s="230">
        <v>-4231023</v>
      </c>
      <c r="BV37" s="229">
        <v>-0.56869999999999998</v>
      </c>
      <c r="BW37" s="230">
        <v>74611100</v>
      </c>
      <c r="BX37" s="230">
        <v>74679500</v>
      </c>
      <c r="BY37" s="230">
        <v>-68400</v>
      </c>
      <c r="BZ37" s="229">
        <v>-8.9999999999999998E-4</v>
      </c>
      <c r="CA37" s="230">
        <v>69939000</v>
      </c>
      <c r="CB37" s="230">
        <v>70995400</v>
      </c>
      <c r="CC37" s="230">
        <v>-1056400</v>
      </c>
      <c r="CD37" s="229">
        <v>-1.49E-2</v>
      </c>
      <c r="CE37" s="230">
        <v>4446000</v>
      </c>
      <c r="CF37" s="230">
        <v>3486500</v>
      </c>
      <c r="CG37" s="230">
        <v>959500</v>
      </c>
      <c r="CH37" s="229">
        <v>0.2752</v>
      </c>
      <c r="CI37" s="230">
        <v>226100</v>
      </c>
      <c r="CJ37" s="230">
        <v>197600</v>
      </c>
      <c r="CK37" s="230">
        <v>28500</v>
      </c>
      <c r="CL37" s="229">
        <v>0.14419999999999999</v>
      </c>
      <c r="CM37" s="230">
        <v>21635300</v>
      </c>
      <c r="CN37" s="230">
        <v>21703700</v>
      </c>
      <c r="CO37" s="230">
        <v>-68400</v>
      </c>
      <c r="CP37" s="229">
        <v>-3.2000000000000002E-3</v>
      </c>
      <c r="CQ37" s="230">
        <v>11248000</v>
      </c>
      <c r="CR37" s="230">
        <v>10888900</v>
      </c>
      <c r="CS37" s="230">
        <v>359100</v>
      </c>
      <c r="CT37" s="229">
        <v>3.3000000000000002E-2</v>
      </c>
      <c r="CU37" s="230">
        <v>107494400</v>
      </c>
      <c r="CV37" s="230">
        <v>107272100</v>
      </c>
      <c r="CW37" s="230">
        <v>222300</v>
      </c>
      <c r="CX37" s="229">
        <v>2.0999999999999999E-3</v>
      </c>
      <c r="CY37" s="228">
        <v>18.079999999999998</v>
      </c>
      <c r="CZ37" s="228">
        <v>18.72</v>
      </c>
      <c r="DA37" s="228">
        <v>-0.64</v>
      </c>
      <c r="DB37" s="228">
        <v>-0.64</v>
      </c>
      <c r="DC37" s="228">
        <v>30.58</v>
      </c>
      <c r="DD37" s="228">
        <v>30.65</v>
      </c>
      <c r="DE37" s="228">
        <v>-12.5</v>
      </c>
      <c r="DF37" s="228">
        <v>-7.0000000000000007E-2</v>
      </c>
      <c r="DG37" s="228">
        <v>18.3</v>
      </c>
      <c r="DH37" s="228">
        <v>18.899999999999999</v>
      </c>
      <c r="DI37" s="228">
        <v>-0.6</v>
      </c>
      <c r="DJ37" s="228">
        <v>-0.6</v>
      </c>
      <c r="DK37" s="228">
        <v>17.510000000000002</v>
      </c>
      <c r="DL37" s="228">
        <v>18.309999999999999</v>
      </c>
      <c r="DM37" s="228">
        <v>-0.8</v>
      </c>
      <c r="DN37" s="228">
        <v>-0.8</v>
      </c>
      <c r="DO37" s="228">
        <v>0.52</v>
      </c>
      <c r="DP37" s="228">
        <v>0.5</v>
      </c>
      <c r="DQ37" s="228">
        <v>0.02</v>
      </c>
      <c r="DR37" s="229">
        <v>0.04</v>
      </c>
      <c r="DS37" s="228">
        <v>300</v>
      </c>
      <c r="DT37" s="228">
        <v>280</v>
      </c>
      <c r="DU37" s="228">
        <v>0.38</v>
      </c>
      <c r="DV37" s="228">
        <v>0.45</v>
      </c>
      <c r="DW37" s="228">
        <v>-7.0000000000000007E-2</v>
      </c>
      <c r="DX37" s="229">
        <v>-0.15559999999999999</v>
      </c>
      <c r="DY37" s="229">
        <v>6.2600000000000003E-2</v>
      </c>
      <c r="DZ37" s="230">
        <v>3684100</v>
      </c>
      <c r="EA37" s="229">
        <v>5.8999999999999999E-3</v>
      </c>
      <c r="EB37" s="229">
        <v>6.2600000000000003E-2</v>
      </c>
      <c r="EC37" s="228">
        <v>1.95</v>
      </c>
      <c r="ED37" s="229">
        <v>6.7999999999999996E-3</v>
      </c>
      <c r="EE37" s="230">
        <v>1812195</v>
      </c>
      <c r="EF37" s="230">
        <v>5560406</v>
      </c>
      <c r="EG37" s="229">
        <v>-0.67410000000000003</v>
      </c>
      <c r="EH37" s="229">
        <v>0.56469999999999998</v>
      </c>
      <c r="EI37" s="231">
        <v>32273.65</v>
      </c>
      <c r="EJ37" s="231">
        <v>12032.14</v>
      </c>
      <c r="EK37" s="231">
        <v>15534.39</v>
      </c>
      <c r="EL37" s="228">
        <v>0</v>
      </c>
      <c r="EM37" s="231">
        <v>59840.18</v>
      </c>
      <c r="EN37" s="231">
        <v>73801.98</v>
      </c>
      <c r="EO37" s="231">
        <v>-13961.8</v>
      </c>
      <c r="EP37" s="229">
        <v>-0.18920000000000001</v>
      </c>
      <c r="EQ37" s="231">
        <v>64821</v>
      </c>
      <c r="ER37" s="231">
        <v>32634</v>
      </c>
      <c r="ES37" s="231">
        <v>215410</v>
      </c>
      <c r="ET37" s="231">
        <v>905143907</v>
      </c>
      <c r="EU37" s="231">
        <v>312865</v>
      </c>
      <c r="EV37" s="231">
        <v>312154</v>
      </c>
      <c r="EW37" s="228">
        <v>711</v>
      </c>
      <c r="EX37" s="229">
        <v>2.3E-3</v>
      </c>
      <c r="EY37" s="229">
        <v>0.1188</v>
      </c>
    </row>
    <row r="38" spans="1:155" ht="17.25" thickBot="1" x14ac:dyDescent="0.3">
      <c r="A38" s="226">
        <v>45889</v>
      </c>
      <c r="B38" s="227" t="s">
        <v>193</v>
      </c>
      <c r="C38" s="227" t="s">
        <v>281</v>
      </c>
      <c r="D38" s="231">
        <v>1415.5</v>
      </c>
      <c r="E38" s="231">
        <v>1421.2</v>
      </c>
      <c r="F38" s="228">
        <v>-5.7</v>
      </c>
      <c r="G38" s="229">
        <v>-4.0000000000000001E-3</v>
      </c>
      <c r="H38" s="231">
        <v>1413</v>
      </c>
      <c r="I38" s="231">
        <v>1420.1</v>
      </c>
      <c r="J38" s="228">
        <v>-7.1</v>
      </c>
      <c r="K38" s="229">
        <v>-5.0000000000000001E-3</v>
      </c>
      <c r="L38" s="231">
        <v>1415.5</v>
      </c>
      <c r="M38" s="231">
        <v>1421.2</v>
      </c>
      <c r="N38" s="228">
        <v>-5.7</v>
      </c>
      <c r="O38" s="229">
        <v>-4.0000000000000001E-3</v>
      </c>
      <c r="P38" s="231">
        <v>1423.9</v>
      </c>
      <c r="Q38" s="231">
        <v>1429.5</v>
      </c>
      <c r="R38" s="228">
        <v>-5.6</v>
      </c>
      <c r="S38" s="229">
        <v>-3.8999999999999998E-3</v>
      </c>
      <c r="T38" s="231">
        <v>1430.4</v>
      </c>
      <c r="U38" s="231">
        <v>1436.5</v>
      </c>
      <c r="V38" s="228">
        <v>-6.1</v>
      </c>
      <c r="W38" s="229">
        <v>-4.1999999999999997E-3</v>
      </c>
      <c r="X38" s="228">
        <v>2.5</v>
      </c>
      <c r="Y38" s="228">
        <v>1.1000000000000001</v>
      </c>
      <c r="Z38" s="228">
        <v>1.4</v>
      </c>
      <c r="AA38" s="229">
        <v>1.8E-3</v>
      </c>
      <c r="AB38" s="228">
        <v>2.5</v>
      </c>
      <c r="AC38" s="228">
        <v>1.1000000000000001</v>
      </c>
      <c r="AD38" s="228">
        <v>1.4</v>
      </c>
      <c r="AE38" s="229">
        <v>1.8E-3</v>
      </c>
      <c r="AF38" s="228">
        <v>10.9</v>
      </c>
      <c r="AG38" s="228">
        <v>9.4</v>
      </c>
      <c r="AH38" s="228">
        <v>1.5</v>
      </c>
      <c r="AI38" s="229">
        <v>7.7000000000000002E-3</v>
      </c>
      <c r="AJ38" s="228">
        <v>17.399999999999999</v>
      </c>
      <c r="AK38" s="228">
        <v>16.399999999999999</v>
      </c>
      <c r="AL38" s="228">
        <v>1</v>
      </c>
      <c r="AM38" s="229">
        <v>1.23E-2</v>
      </c>
      <c r="AN38" s="231">
        <v>1418.82</v>
      </c>
      <c r="AO38" s="231">
        <v>1426.83</v>
      </c>
      <c r="AP38" s="228">
        <v>0</v>
      </c>
      <c r="AQ38" s="230">
        <v>30630</v>
      </c>
      <c r="AR38" s="230">
        <v>51971</v>
      </c>
      <c r="AS38" s="230">
        <v>-21341</v>
      </c>
      <c r="AT38" s="229">
        <v>-0.41060000000000002</v>
      </c>
      <c r="AU38" s="230">
        <v>23356</v>
      </c>
      <c r="AV38" s="230">
        <v>43327</v>
      </c>
      <c r="AW38" s="230">
        <v>-19971</v>
      </c>
      <c r="AX38" s="229">
        <v>-0.46089999999999998</v>
      </c>
      <c r="AY38" s="230">
        <v>6641</v>
      </c>
      <c r="AZ38" s="230">
        <v>7829</v>
      </c>
      <c r="BA38" s="230">
        <v>-1188</v>
      </c>
      <c r="BB38" s="229">
        <v>-0.1517</v>
      </c>
      <c r="BC38" s="228">
        <v>633</v>
      </c>
      <c r="BD38" s="228">
        <v>815</v>
      </c>
      <c r="BE38" s="228">
        <v>-182</v>
      </c>
      <c r="BF38" s="229">
        <v>-0.2233</v>
      </c>
      <c r="BG38" s="230">
        <v>195183</v>
      </c>
      <c r="BH38" s="230">
        <v>398577</v>
      </c>
      <c r="BI38" s="230">
        <v>-203394</v>
      </c>
      <c r="BJ38" s="229">
        <v>-0.51029999999999998</v>
      </c>
      <c r="BK38" s="230">
        <v>97940</v>
      </c>
      <c r="BL38" s="230">
        <v>192194</v>
      </c>
      <c r="BM38" s="230">
        <v>-94254</v>
      </c>
      <c r="BN38" s="229">
        <v>-0.4904</v>
      </c>
      <c r="BO38" s="230">
        <v>323753</v>
      </c>
      <c r="BP38" s="230">
        <v>642742</v>
      </c>
      <c r="BQ38" s="230">
        <v>-318989</v>
      </c>
      <c r="BR38" s="229">
        <v>-0.49630000000000002</v>
      </c>
      <c r="BS38" s="230">
        <v>9155528</v>
      </c>
      <c r="BT38" s="230">
        <v>15703164</v>
      </c>
      <c r="BU38" s="230">
        <v>-6547636</v>
      </c>
      <c r="BV38" s="229">
        <v>-0.41699999999999998</v>
      </c>
      <c r="BW38" s="230">
        <v>122806500</v>
      </c>
      <c r="BX38" s="230">
        <v>123791500</v>
      </c>
      <c r="BY38" s="230">
        <v>-985000</v>
      </c>
      <c r="BZ38" s="229">
        <v>-8.0000000000000002E-3</v>
      </c>
      <c r="CA38" s="230">
        <v>96165500</v>
      </c>
      <c r="CB38" s="230">
        <v>99588000</v>
      </c>
      <c r="CC38" s="230">
        <v>-3422500</v>
      </c>
      <c r="CD38" s="229">
        <v>-3.44E-2</v>
      </c>
      <c r="CE38" s="230">
        <v>21631500</v>
      </c>
      <c r="CF38" s="230">
        <v>19371500</v>
      </c>
      <c r="CG38" s="230">
        <v>2260000</v>
      </c>
      <c r="CH38" s="229">
        <v>0.1167</v>
      </c>
      <c r="CI38" s="230">
        <v>5009500</v>
      </c>
      <c r="CJ38" s="230">
        <v>4832000</v>
      </c>
      <c r="CK38" s="230">
        <v>177500</v>
      </c>
      <c r="CL38" s="229">
        <v>3.6700000000000003E-2</v>
      </c>
      <c r="CM38" s="230">
        <v>62328500</v>
      </c>
      <c r="CN38" s="230">
        <v>57564000</v>
      </c>
      <c r="CO38" s="230">
        <v>4764500</v>
      </c>
      <c r="CP38" s="229">
        <v>8.2799999999999999E-2</v>
      </c>
      <c r="CQ38" s="230">
        <v>39536000</v>
      </c>
      <c r="CR38" s="230">
        <v>40346000</v>
      </c>
      <c r="CS38" s="230">
        <v>-810000</v>
      </c>
      <c r="CT38" s="229">
        <v>-2.01E-2</v>
      </c>
      <c r="CU38" s="230">
        <v>224671000</v>
      </c>
      <c r="CV38" s="230">
        <v>221701500</v>
      </c>
      <c r="CW38" s="230">
        <v>2969500</v>
      </c>
      <c r="CX38" s="229">
        <v>1.34E-2</v>
      </c>
      <c r="CY38" s="228">
        <v>20.45</v>
      </c>
      <c r="CZ38" s="228">
        <v>20.49</v>
      </c>
      <c r="DA38" s="228">
        <v>-0.04</v>
      </c>
      <c r="DB38" s="228">
        <v>-0.04</v>
      </c>
      <c r="DC38" s="228">
        <v>25.8</v>
      </c>
      <c r="DD38" s="228">
        <v>25.85</v>
      </c>
      <c r="DE38" s="228">
        <v>-5.35</v>
      </c>
      <c r="DF38" s="228">
        <v>-0.05</v>
      </c>
      <c r="DG38" s="228">
        <v>20.63</v>
      </c>
      <c r="DH38" s="228">
        <v>20.13</v>
      </c>
      <c r="DI38" s="228">
        <v>0.5</v>
      </c>
      <c r="DJ38" s="228">
        <v>0.5</v>
      </c>
      <c r="DK38" s="228">
        <v>20.09</v>
      </c>
      <c r="DL38" s="228">
        <v>21.23</v>
      </c>
      <c r="DM38" s="228">
        <v>-1.1399999999999999</v>
      </c>
      <c r="DN38" s="228">
        <v>-1.1399999999999999</v>
      </c>
      <c r="DO38" s="228">
        <v>0.63</v>
      </c>
      <c r="DP38" s="228">
        <v>0.7</v>
      </c>
      <c r="DQ38" s="228">
        <v>-7.0000000000000007E-2</v>
      </c>
      <c r="DR38" s="229">
        <v>-0.1</v>
      </c>
      <c r="DS38" s="231">
        <v>1500</v>
      </c>
      <c r="DT38" s="231">
        <v>1400</v>
      </c>
      <c r="DU38" s="228">
        <v>0.5</v>
      </c>
      <c r="DV38" s="228">
        <v>0.48</v>
      </c>
      <c r="DW38" s="228">
        <v>0.02</v>
      </c>
      <c r="DX38" s="229">
        <v>4.1700000000000001E-2</v>
      </c>
      <c r="DY38" s="229">
        <v>0.21690000000000001</v>
      </c>
      <c r="DZ38" s="230">
        <v>24203500</v>
      </c>
      <c r="EA38" s="229">
        <v>5.8999999999999999E-3</v>
      </c>
      <c r="EB38" s="229">
        <v>0.21690000000000001</v>
      </c>
      <c r="EC38" s="228">
        <v>8.01</v>
      </c>
      <c r="ED38" s="229">
        <v>5.5999999999999999E-3</v>
      </c>
      <c r="EE38" s="230">
        <v>5842309</v>
      </c>
      <c r="EF38" s="230">
        <v>8448070</v>
      </c>
      <c r="EG38" s="229">
        <v>-0.30840000000000001</v>
      </c>
      <c r="EH38" s="229">
        <v>0.6381</v>
      </c>
      <c r="EI38" s="231">
        <v>1423076.48</v>
      </c>
      <c r="EJ38" s="231">
        <v>687909.53</v>
      </c>
      <c r="EK38" s="231">
        <v>217604.44</v>
      </c>
      <c r="EL38" s="228">
        <v>0</v>
      </c>
      <c r="EM38" s="231">
        <v>2328590.4500000002</v>
      </c>
      <c r="EN38" s="231">
        <v>4593605.22</v>
      </c>
      <c r="EO38" s="231">
        <v>-2265014.77</v>
      </c>
      <c r="EP38" s="229">
        <v>-0.49309999999999998</v>
      </c>
      <c r="EQ38" s="231">
        <v>908658</v>
      </c>
      <c r="ER38" s="231">
        <v>548468</v>
      </c>
      <c r="ES38" s="231">
        <v>1740889</v>
      </c>
      <c r="ET38" s="231">
        <v>1325402121</v>
      </c>
      <c r="EU38" s="231">
        <v>3198015</v>
      </c>
      <c r="EV38" s="231">
        <v>3159858</v>
      </c>
      <c r="EW38" s="231">
        <v>38157</v>
      </c>
      <c r="EX38" s="229">
        <v>1.21E-2</v>
      </c>
      <c r="EY38" s="229">
        <v>0.16950000000000001</v>
      </c>
    </row>
    <row r="39" spans="1:155" ht="17.25" thickBot="1" x14ac:dyDescent="0.3">
      <c r="A39" s="226">
        <v>45889</v>
      </c>
      <c r="B39" s="227" t="s">
        <v>175</v>
      </c>
      <c r="C39" s="227" t="s">
        <v>462</v>
      </c>
      <c r="D39" s="231">
        <v>1861.7</v>
      </c>
      <c r="E39" s="231">
        <v>1858.4</v>
      </c>
      <c r="F39" s="228">
        <v>3.3</v>
      </c>
      <c r="G39" s="229">
        <v>1.8E-3</v>
      </c>
      <c r="H39" s="231">
        <v>1858.5</v>
      </c>
      <c r="I39" s="231">
        <v>1854.1</v>
      </c>
      <c r="J39" s="228">
        <v>4.4000000000000004</v>
      </c>
      <c r="K39" s="229">
        <v>2.3999999999999998E-3</v>
      </c>
      <c r="L39" s="231">
        <v>1861.7</v>
      </c>
      <c r="M39" s="231">
        <v>1858.4</v>
      </c>
      <c r="N39" s="228">
        <v>3.3</v>
      </c>
      <c r="O39" s="229">
        <v>1.8E-3</v>
      </c>
      <c r="P39" s="231">
        <v>1872.3</v>
      </c>
      <c r="Q39" s="231">
        <v>1869</v>
      </c>
      <c r="R39" s="228">
        <v>3.3</v>
      </c>
      <c r="S39" s="229">
        <v>1.8E-3</v>
      </c>
      <c r="T39" s="231">
        <v>1872.7</v>
      </c>
      <c r="U39" s="231">
        <v>1880</v>
      </c>
      <c r="V39" s="228">
        <v>-7.3</v>
      </c>
      <c r="W39" s="229">
        <v>-3.8999999999999998E-3</v>
      </c>
      <c r="X39" s="228">
        <v>3.2</v>
      </c>
      <c r="Y39" s="228">
        <v>4.3</v>
      </c>
      <c r="Z39" s="228">
        <v>-1.1000000000000001</v>
      </c>
      <c r="AA39" s="229">
        <v>1.6999999999999999E-3</v>
      </c>
      <c r="AB39" s="228">
        <v>3.2</v>
      </c>
      <c r="AC39" s="228">
        <v>4.3</v>
      </c>
      <c r="AD39" s="228">
        <v>-1.1000000000000001</v>
      </c>
      <c r="AE39" s="229">
        <v>1.6999999999999999E-3</v>
      </c>
      <c r="AF39" s="228">
        <v>13.8</v>
      </c>
      <c r="AG39" s="228">
        <v>14.9</v>
      </c>
      <c r="AH39" s="228">
        <v>-1.1000000000000001</v>
      </c>
      <c r="AI39" s="229">
        <v>7.4000000000000003E-3</v>
      </c>
      <c r="AJ39" s="228">
        <v>14.2</v>
      </c>
      <c r="AK39" s="228">
        <v>25.9</v>
      </c>
      <c r="AL39" s="228">
        <v>-11.7</v>
      </c>
      <c r="AM39" s="229">
        <v>7.6E-3</v>
      </c>
      <c r="AN39" s="231">
        <v>1856.1</v>
      </c>
      <c r="AO39" s="231">
        <v>1866.02</v>
      </c>
      <c r="AP39" s="228">
        <v>0</v>
      </c>
      <c r="AQ39" s="230">
        <v>1992</v>
      </c>
      <c r="AR39" s="230">
        <v>2955</v>
      </c>
      <c r="AS39" s="228">
        <v>-963</v>
      </c>
      <c r="AT39" s="229">
        <v>-0.32590000000000002</v>
      </c>
      <c r="AU39" s="230">
        <v>1647</v>
      </c>
      <c r="AV39" s="230">
        <v>2543</v>
      </c>
      <c r="AW39" s="228">
        <v>-896</v>
      </c>
      <c r="AX39" s="229">
        <v>-0.3523</v>
      </c>
      <c r="AY39" s="228">
        <v>343</v>
      </c>
      <c r="AZ39" s="228">
        <v>394</v>
      </c>
      <c r="BA39" s="228">
        <v>-51</v>
      </c>
      <c r="BB39" s="229">
        <v>-0.12939999999999999</v>
      </c>
      <c r="BC39" s="228">
        <v>2</v>
      </c>
      <c r="BD39" s="228">
        <v>18</v>
      </c>
      <c r="BE39" s="228">
        <v>-16</v>
      </c>
      <c r="BF39" s="229">
        <v>-0.88890000000000002</v>
      </c>
      <c r="BG39" s="230">
        <v>7969</v>
      </c>
      <c r="BH39" s="230">
        <v>11677</v>
      </c>
      <c r="BI39" s="230">
        <v>-3708</v>
      </c>
      <c r="BJ39" s="229">
        <v>-0.3175</v>
      </c>
      <c r="BK39" s="230">
        <v>5905</v>
      </c>
      <c r="BL39" s="230">
        <v>7369</v>
      </c>
      <c r="BM39" s="230">
        <v>-1464</v>
      </c>
      <c r="BN39" s="229">
        <v>-0.19869999999999999</v>
      </c>
      <c r="BO39" s="230">
        <v>15866</v>
      </c>
      <c r="BP39" s="230">
        <v>22001</v>
      </c>
      <c r="BQ39" s="230">
        <v>-6135</v>
      </c>
      <c r="BR39" s="229">
        <v>-0.27889999999999998</v>
      </c>
      <c r="BS39" s="230">
        <v>452539</v>
      </c>
      <c r="BT39" s="230">
        <v>636877</v>
      </c>
      <c r="BU39" s="230">
        <v>-184338</v>
      </c>
      <c r="BV39" s="229">
        <v>-0.28939999999999999</v>
      </c>
      <c r="BW39" s="230">
        <v>7407750</v>
      </c>
      <c r="BX39" s="230">
        <v>7426125</v>
      </c>
      <c r="BY39" s="230">
        <v>-18375</v>
      </c>
      <c r="BZ39" s="229">
        <v>-2.5000000000000001E-3</v>
      </c>
      <c r="CA39" s="230">
        <v>6974625</v>
      </c>
      <c r="CB39" s="230">
        <v>7055250</v>
      </c>
      <c r="CC39" s="230">
        <v>-80625</v>
      </c>
      <c r="CD39" s="229">
        <v>-1.14E-2</v>
      </c>
      <c r="CE39" s="230">
        <v>414000</v>
      </c>
      <c r="CF39" s="230">
        <v>351375</v>
      </c>
      <c r="CG39" s="230">
        <v>62625</v>
      </c>
      <c r="CH39" s="229">
        <v>0.1782</v>
      </c>
      <c r="CI39" s="230">
        <v>19125</v>
      </c>
      <c r="CJ39" s="230">
        <v>19500</v>
      </c>
      <c r="CK39" s="228">
        <v>-375</v>
      </c>
      <c r="CL39" s="229">
        <v>-1.9199999999999998E-2</v>
      </c>
      <c r="CM39" s="230">
        <v>3457500</v>
      </c>
      <c r="CN39" s="230">
        <v>3273750</v>
      </c>
      <c r="CO39" s="230">
        <v>183750</v>
      </c>
      <c r="CP39" s="229">
        <v>5.6099999999999997E-2</v>
      </c>
      <c r="CQ39" s="230">
        <v>1489875</v>
      </c>
      <c r="CR39" s="230">
        <v>1389375</v>
      </c>
      <c r="CS39" s="230">
        <v>100500</v>
      </c>
      <c r="CT39" s="229">
        <v>7.2300000000000003E-2</v>
      </c>
      <c r="CU39" s="230">
        <v>12355125</v>
      </c>
      <c r="CV39" s="230">
        <v>12089250</v>
      </c>
      <c r="CW39" s="230">
        <v>265875</v>
      </c>
      <c r="CX39" s="229">
        <v>2.1999999999999999E-2</v>
      </c>
      <c r="CY39" s="228">
        <v>23.72</v>
      </c>
      <c r="CZ39" s="228">
        <v>21.18</v>
      </c>
      <c r="DA39" s="228">
        <v>2.54</v>
      </c>
      <c r="DB39" s="228">
        <v>2.54</v>
      </c>
      <c r="DC39" s="228">
        <v>27.08</v>
      </c>
      <c r="DD39" s="228">
        <v>27.14</v>
      </c>
      <c r="DE39" s="228">
        <v>-3.36</v>
      </c>
      <c r="DF39" s="228">
        <v>-0.06</v>
      </c>
      <c r="DG39" s="228">
        <v>21.89</v>
      </c>
      <c r="DH39" s="228">
        <v>20.65</v>
      </c>
      <c r="DI39" s="228">
        <v>1.24</v>
      </c>
      <c r="DJ39" s="228">
        <v>1.24</v>
      </c>
      <c r="DK39" s="228">
        <v>26.18</v>
      </c>
      <c r="DL39" s="228">
        <v>22.03</v>
      </c>
      <c r="DM39" s="228">
        <v>4.1500000000000004</v>
      </c>
      <c r="DN39" s="228">
        <v>4.1500000000000004</v>
      </c>
      <c r="DO39" s="228">
        <v>0.43</v>
      </c>
      <c r="DP39" s="228">
        <v>0.42</v>
      </c>
      <c r="DQ39" s="228">
        <v>0.01</v>
      </c>
      <c r="DR39" s="229">
        <v>2.3800000000000002E-2</v>
      </c>
      <c r="DS39" s="231">
        <v>1900</v>
      </c>
      <c r="DT39" s="231">
        <v>1800</v>
      </c>
      <c r="DU39" s="228">
        <v>0.74</v>
      </c>
      <c r="DV39" s="228">
        <v>0.63</v>
      </c>
      <c r="DW39" s="228">
        <v>0.11</v>
      </c>
      <c r="DX39" s="229">
        <v>0.17460000000000001</v>
      </c>
      <c r="DY39" s="229">
        <v>5.8500000000000003E-2</v>
      </c>
      <c r="DZ39" s="230">
        <v>370875</v>
      </c>
      <c r="EA39" s="229">
        <v>5.7000000000000002E-3</v>
      </c>
      <c r="EB39" s="229">
        <v>5.8500000000000003E-2</v>
      </c>
      <c r="EC39" s="228">
        <v>9.92</v>
      </c>
      <c r="ED39" s="229">
        <v>5.3E-3</v>
      </c>
      <c r="EE39" s="230">
        <v>310329</v>
      </c>
      <c r="EF39" s="230">
        <v>377220</v>
      </c>
      <c r="EG39" s="229">
        <v>-0.17730000000000001</v>
      </c>
      <c r="EH39" s="229">
        <v>0.68579999999999997</v>
      </c>
      <c r="EI39" s="231">
        <v>57792.01</v>
      </c>
      <c r="EJ39" s="231">
        <v>39023.15</v>
      </c>
      <c r="EK39" s="231">
        <v>13877.97</v>
      </c>
      <c r="EL39" s="228">
        <v>0</v>
      </c>
      <c r="EM39" s="231">
        <v>110693.13</v>
      </c>
      <c r="EN39" s="231">
        <v>154788.41</v>
      </c>
      <c r="EO39" s="231">
        <v>-44095.28</v>
      </c>
      <c r="EP39" s="229">
        <v>-0.28489999999999999</v>
      </c>
      <c r="EQ39" s="231">
        <v>65666</v>
      </c>
      <c r="ER39" s="231">
        <v>26750</v>
      </c>
      <c r="ES39" s="231">
        <v>137956</v>
      </c>
      <c r="ET39" s="231">
        <v>89470264</v>
      </c>
      <c r="EU39" s="231">
        <v>230372</v>
      </c>
      <c r="EV39" s="231">
        <v>225094</v>
      </c>
      <c r="EW39" s="231">
        <v>5278</v>
      </c>
      <c r="EX39" s="229">
        <v>2.3400000000000001E-2</v>
      </c>
      <c r="EY39" s="229">
        <v>0.1381</v>
      </c>
    </row>
    <row r="40" spans="1:155" ht="17.25" thickBot="1" x14ac:dyDescent="0.3">
      <c r="A40" s="226">
        <v>45889</v>
      </c>
      <c r="B40" s="227" t="s">
        <v>172</v>
      </c>
      <c r="C40" s="227" t="s">
        <v>283</v>
      </c>
      <c r="D40" s="228">
        <v>829.2</v>
      </c>
      <c r="E40" s="228">
        <v>831.05</v>
      </c>
      <c r="F40" s="228">
        <v>-1.85</v>
      </c>
      <c r="G40" s="229">
        <v>-2.2000000000000001E-3</v>
      </c>
      <c r="H40" s="228">
        <v>828.95</v>
      </c>
      <c r="I40" s="228">
        <v>830.4</v>
      </c>
      <c r="J40" s="228">
        <v>-1.45</v>
      </c>
      <c r="K40" s="229">
        <v>-1.6999999999999999E-3</v>
      </c>
      <c r="L40" s="228">
        <v>829.2</v>
      </c>
      <c r="M40" s="228">
        <v>831.05</v>
      </c>
      <c r="N40" s="228">
        <v>-1.85</v>
      </c>
      <c r="O40" s="229">
        <v>-2.2000000000000001E-3</v>
      </c>
      <c r="P40" s="228">
        <v>833.95</v>
      </c>
      <c r="Q40" s="228">
        <v>835.9</v>
      </c>
      <c r="R40" s="228">
        <v>-1.95</v>
      </c>
      <c r="S40" s="229">
        <v>-2.3E-3</v>
      </c>
      <c r="T40" s="228">
        <v>838.1</v>
      </c>
      <c r="U40" s="228">
        <v>840.05</v>
      </c>
      <c r="V40" s="228">
        <v>-1.95</v>
      </c>
      <c r="W40" s="229">
        <v>-2.3E-3</v>
      </c>
      <c r="X40" s="228">
        <v>0.25</v>
      </c>
      <c r="Y40" s="228">
        <v>0.65</v>
      </c>
      <c r="Z40" s="228">
        <v>-0.4</v>
      </c>
      <c r="AA40" s="229">
        <v>2.9999999999999997E-4</v>
      </c>
      <c r="AB40" s="228">
        <v>0.25</v>
      </c>
      <c r="AC40" s="228">
        <v>0.65</v>
      </c>
      <c r="AD40" s="228">
        <v>-0.4</v>
      </c>
      <c r="AE40" s="229">
        <v>2.9999999999999997E-4</v>
      </c>
      <c r="AF40" s="228">
        <v>5</v>
      </c>
      <c r="AG40" s="228">
        <v>5.5</v>
      </c>
      <c r="AH40" s="228">
        <v>-0.5</v>
      </c>
      <c r="AI40" s="229">
        <v>6.0000000000000001E-3</v>
      </c>
      <c r="AJ40" s="228">
        <v>9.15</v>
      </c>
      <c r="AK40" s="228">
        <v>9.65</v>
      </c>
      <c r="AL40" s="228">
        <v>-0.5</v>
      </c>
      <c r="AM40" s="229">
        <v>1.0999999999999999E-2</v>
      </c>
      <c r="AN40" s="228">
        <v>830.2</v>
      </c>
      <c r="AO40" s="228">
        <v>834.78</v>
      </c>
      <c r="AP40" s="228">
        <v>0</v>
      </c>
      <c r="AQ40" s="230">
        <v>15053</v>
      </c>
      <c r="AR40" s="230">
        <v>14962</v>
      </c>
      <c r="AS40" s="228">
        <v>91</v>
      </c>
      <c r="AT40" s="229">
        <v>6.1000000000000004E-3</v>
      </c>
      <c r="AU40" s="230">
        <v>11609</v>
      </c>
      <c r="AV40" s="230">
        <v>12217</v>
      </c>
      <c r="AW40" s="228">
        <v>-608</v>
      </c>
      <c r="AX40" s="229">
        <v>-4.9799999999999997E-2</v>
      </c>
      <c r="AY40" s="230">
        <v>3282</v>
      </c>
      <c r="AZ40" s="230">
        <v>1856</v>
      </c>
      <c r="BA40" s="230">
        <v>1426</v>
      </c>
      <c r="BB40" s="229">
        <v>0.76829999999999998</v>
      </c>
      <c r="BC40" s="228">
        <v>162</v>
      </c>
      <c r="BD40" s="228">
        <v>889</v>
      </c>
      <c r="BE40" s="228">
        <v>-727</v>
      </c>
      <c r="BF40" s="229">
        <v>-0.81779999999999997</v>
      </c>
      <c r="BG40" s="230">
        <v>70231</v>
      </c>
      <c r="BH40" s="230">
        <v>65373</v>
      </c>
      <c r="BI40" s="230">
        <v>4858</v>
      </c>
      <c r="BJ40" s="229">
        <v>7.4300000000000005E-2</v>
      </c>
      <c r="BK40" s="230">
        <v>51096</v>
      </c>
      <c r="BL40" s="230">
        <v>34833</v>
      </c>
      <c r="BM40" s="230">
        <v>16263</v>
      </c>
      <c r="BN40" s="229">
        <v>0.46689999999999998</v>
      </c>
      <c r="BO40" s="230">
        <v>136380</v>
      </c>
      <c r="BP40" s="230">
        <v>115168</v>
      </c>
      <c r="BQ40" s="230">
        <v>21212</v>
      </c>
      <c r="BR40" s="229">
        <v>0.1842</v>
      </c>
      <c r="BS40" s="230">
        <v>4650328</v>
      </c>
      <c r="BT40" s="230">
        <v>5366355</v>
      </c>
      <c r="BU40" s="230">
        <v>-716027</v>
      </c>
      <c r="BV40" s="229">
        <v>-0.13339999999999999</v>
      </c>
      <c r="BW40" s="230">
        <v>107418750</v>
      </c>
      <c r="BX40" s="230">
        <v>107429250</v>
      </c>
      <c r="BY40" s="230">
        <v>-10500</v>
      </c>
      <c r="BZ40" s="229">
        <v>-1E-4</v>
      </c>
      <c r="CA40" s="230">
        <v>95117250</v>
      </c>
      <c r="CB40" s="230">
        <v>97005750</v>
      </c>
      <c r="CC40" s="230">
        <v>-1888500</v>
      </c>
      <c r="CD40" s="229">
        <v>-1.95E-2</v>
      </c>
      <c r="CE40" s="230">
        <v>8736000</v>
      </c>
      <c r="CF40" s="230">
        <v>6904500</v>
      </c>
      <c r="CG40" s="230">
        <v>1831500</v>
      </c>
      <c r="CH40" s="229">
        <v>0.26529999999999998</v>
      </c>
      <c r="CI40" s="230">
        <v>3565500</v>
      </c>
      <c r="CJ40" s="230">
        <v>3519000</v>
      </c>
      <c r="CK40" s="230">
        <v>46500</v>
      </c>
      <c r="CL40" s="229">
        <v>1.32E-2</v>
      </c>
      <c r="CM40" s="230">
        <v>56173500</v>
      </c>
      <c r="CN40" s="230">
        <v>56048250</v>
      </c>
      <c r="CO40" s="230">
        <v>125250</v>
      </c>
      <c r="CP40" s="229">
        <v>2.2000000000000001E-3</v>
      </c>
      <c r="CQ40" s="230">
        <v>42828000</v>
      </c>
      <c r="CR40" s="230">
        <v>44729250</v>
      </c>
      <c r="CS40" s="230">
        <v>-1901250</v>
      </c>
      <c r="CT40" s="229">
        <v>-4.2500000000000003E-2</v>
      </c>
      <c r="CU40" s="230">
        <v>206420250</v>
      </c>
      <c r="CV40" s="230">
        <v>208206750</v>
      </c>
      <c r="CW40" s="230">
        <v>-1786500</v>
      </c>
      <c r="CX40" s="229">
        <v>-8.6E-3</v>
      </c>
      <c r="CY40" s="228">
        <v>16.68</v>
      </c>
      <c r="CZ40" s="228">
        <v>17.21</v>
      </c>
      <c r="DA40" s="228">
        <v>-0.53</v>
      </c>
      <c r="DB40" s="228">
        <v>-0.53</v>
      </c>
      <c r="DC40" s="228">
        <v>27.72</v>
      </c>
      <c r="DD40" s="228">
        <v>27.79</v>
      </c>
      <c r="DE40" s="228">
        <v>-11.04</v>
      </c>
      <c r="DF40" s="228">
        <v>-7.0000000000000007E-2</v>
      </c>
      <c r="DG40" s="228">
        <v>16.23</v>
      </c>
      <c r="DH40" s="228">
        <v>16.62</v>
      </c>
      <c r="DI40" s="228">
        <v>-0.39</v>
      </c>
      <c r="DJ40" s="228">
        <v>-0.39</v>
      </c>
      <c r="DK40" s="228">
        <v>17.29</v>
      </c>
      <c r="DL40" s="228">
        <v>18.32</v>
      </c>
      <c r="DM40" s="228">
        <v>-1.03</v>
      </c>
      <c r="DN40" s="228">
        <v>-1.03</v>
      </c>
      <c r="DO40" s="228">
        <v>0.76</v>
      </c>
      <c r="DP40" s="228">
        <v>0.8</v>
      </c>
      <c r="DQ40" s="228">
        <v>-0.04</v>
      </c>
      <c r="DR40" s="229">
        <v>-0.05</v>
      </c>
      <c r="DS40" s="228">
        <v>830</v>
      </c>
      <c r="DT40" s="228">
        <v>800</v>
      </c>
      <c r="DU40" s="228">
        <v>0.73</v>
      </c>
      <c r="DV40" s="228">
        <v>0.53</v>
      </c>
      <c r="DW40" s="228">
        <v>0.2</v>
      </c>
      <c r="DX40" s="229">
        <v>0.37740000000000001</v>
      </c>
      <c r="DY40" s="229">
        <v>0.1145</v>
      </c>
      <c r="DZ40" s="230">
        <v>10423500</v>
      </c>
      <c r="EA40" s="229">
        <v>5.7000000000000002E-3</v>
      </c>
      <c r="EB40" s="229">
        <v>0.1145</v>
      </c>
      <c r="EC40" s="228">
        <v>4.58</v>
      </c>
      <c r="ED40" s="229">
        <v>5.4999999999999997E-3</v>
      </c>
      <c r="EE40" s="230">
        <v>2796986</v>
      </c>
      <c r="EF40" s="230">
        <v>3234052</v>
      </c>
      <c r="EG40" s="229">
        <v>-0.1351</v>
      </c>
      <c r="EH40" s="229">
        <v>0.60150000000000003</v>
      </c>
      <c r="EI40" s="231">
        <v>446896.91</v>
      </c>
      <c r="EJ40" s="231">
        <v>313810.52</v>
      </c>
      <c r="EK40" s="231">
        <v>93851.11</v>
      </c>
      <c r="EL40" s="228">
        <v>0</v>
      </c>
      <c r="EM40" s="231">
        <v>854558.54</v>
      </c>
      <c r="EN40" s="231">
        <v>723735.37</v>
      </c>
      <c r="EO40" s="231">
        <v>130823.17</v>
      </c>
      <c r="EP40" s="229">
        <v>0.18079999999999999</v>
      </c>
      <c r="EQ40" s="231">
        <v>474464</v>
      </c>
      <c r="ER40" s="231">
        <v>344160</v>
      </c>
      <c r="ES40" s="231">
        <v>891449</v>
      </c>
      <c r="ET40" s="231">
        <v>814614425</v>
      </c>
      <c r="EU40" s="231">
        <v>1710072</v>
      </c>
      <c r="EV40" s="231">
        <v>1726037</v>
      </c>
      <c r="EW40" s="231">
        <v>-15965</v>
      </c>
      <c r="EX40" s="229">
        <v>-9.1999999999999998E-3</v>
      </c>
      <c r="EY40" s="229">
        <v>0.25340000000000001</v>
      </c>
    </row>
    <row r="41" spans="1:155" ht="17.25" thickBot="1" x14ac:dyDescent="0.3">
      <c r="A41" s="226">
        <v>45889</v>
      </c>
      <c r="B41" s="227" t="s">
        <v>175</v>
      </c>
      <c r="C41" s="227" t="s">
        <v>562</v>
      </c>
      <c r="D41" s="228">
        <v>618.20000000000005</v>
      </c>
      <c r="E41" s="228">
        <v>626.9</v>
      </c>
      <c r="F41" s="228">
        <v>-8.6999999999999993</v>
      </c>
      <c r="G41" s="229">
        <v>-1.3899999999999999E-2</v>
      </c>
      <c r="H41" s="228">
        <v>616.29999999999995</v>
      </c>
      <c r="I41" s="228">
        <v>626.35</v>
      </c>
      <c r="J41" s="228">
        <v>-10.050000000000001</v>
      </c>
      <c r="K41" s="229">
        <v>-1.6E-2</v>
      </c>
      <c r="L41" s="228">
        <v>618.20000000000005</v>
      </c>
      <c r="M41" s="228">
        <v>626.9</v>
      </c>
      <c r="N41" s="228">
        <v>-8.6999999999999993</v>
      </c>
      <c r="O41" s="229">
        <v>-1.3899999999999999E-2</v>
      </c>
      <c r="P41" s="228">
        <v>621.4</v>
      </c>
      <c r="Q41" s="228">
        <v>630.04999999999995</v>
      </c>
      <c r="R41" s="228">
        <v>-8.65</v>
      </c>
      <c r="S41" s="229">
        <v>-1.37E-2</v>
      </c>
      <c r="T41" s="228">
        <v>624.54999999999995</v>
      </c>
      <c r="U41" s="228">
        <v>632.9</v>
      </c>
      <c r="V41" s="228">
        <v>-8.35</v>
      </c>
      <c r="W41" s="229">
        <v>-1.32E-2</v>
      </c>
      <c r="X41" s="228">
        <v>1.9</v>
      </c>
      <c r="Y41" s="228">
        <v>0.55000000000000004</v>
      </c>
      <c r="Z41" s="228">
        <v>1.35</v>
      </c>
      <c r="AA41" s="229">
        <v>3.0999999999999999E-3</v>
      </c>
      <c r="AB41" s="228">
        <v>1.9</v>
      </c>
      <c r="AC41" s="228">
        <v>0.55000000000000004</v>
      </c>
      <c r="AD41" s="228">
        <v>1.35</v>
      </c>
      <c r="AE41" s="229">
        <v>3.0999999999999999E-3</v>
      </c>
      <c r="AF41" s="228">
        <v>5.0999999999999996</v>
      </c>
      <c r="AG41" s="228">
        <v>3.7</v>
      </c>
      <c r="AH41" s="228">
        <v>1.4</v>
      </c>
      <c r="AI41" s="229">
        <v>8.3000000000000001E-3</v>
      </c>
      <c r="AJ41" s="228">
        <v>8.25</v>
      </c>
      <c r="AK41" s="228">
        <v>6.55</v>
      </c>
      <c r="AL41" s="228">
        <v>1.7</v>
      </c>
      <c r="AM41" s="229">
        <v>1.34E-2</v>
      </c>
      <c r="AN41" s="228">
        <v>617.96</v>
      </c>
      <c r="AO41" s="228">
        <v>621.47</v>
      </c>
      <c r="AP41" s="228">
        <v>0</v>
      </c>
      <c r="AQ41" s="230">
        <v>7613</v>
      </c>
      <c r="AR41" s="230">
        <v>6265</v>
      </c>
      <c r="AS41" s="230">
        <v>1348</v>
      </c>
      <c r="AT41" s="229">
        <v>0.2152</v>
      </c>
      <c r="AU41" s="230">
        <v>5721</v>
      </c>
      <c r="AV41" s="230">
        <v>5087</v>
      </c>
      <c r="AW41" s="228">
        <v>634</v>
      </c>
      <c r="AX41" s="229">
        <v>0.1246</v>
      </c>
      <c r="AY41" s="230">
        <v>1756</v>
      </c>
      <c r="AZ41" s="230">
        <v>1127</v>
      </c>
      <c r="BA41" s="228">
        <v>629</v>
      </c>
      <c r="BB41" s="229">
        <v>0.55810000000000004</v>
      </c>
      <c r="BC41" s="228">
        <v>136</v>
      </c>
      <c r="BD41" s="228">
        <v>51</v>
      </c>
      <c r="BE41" s="228">
        <v>85</v>
      </c>
      <c r="BF41" s="229">
        <v>1.6667000000000001</v>
      </c>
      <c r="BG41" s="230">
        <v>14014</v>
      </c>
      <c r="BH41" s="230">
        <v>13577</v>
      </c>
      <c r="BI41" s="228">
        <v>437</v>
      </c>
      <c r="BJ41" s="229">
        <v>3.2199999999999999E-2</v>
      </c>
      <c r="BK41" s="230">
        <v>7384</v>
      </c>
      <c r="BL41" s="230">
        <v>7497</v>
      </c>
      <c r="BM41" s="228">
        <v>-113</v>
      </c>
      <c r="BN41" s="229">
        <v>-1.5100000000000001E-2</v>
      </c>
      <c r="BO41" s="230">
        <v>29011</v>
      </c>
      <c r="BP41" s="230">
        <v>27339</v>
      </c>
      <c r="BQ41" s="230">
        <v>1672</v>
      </c>
      <c r="BR41" s="229">
        <v>6.1199999999999997E-2</v>
      </c>
      <c r="BS41" s="230">
        <v>6028040</v>
      </c>
      <c r="BT41" s="230">
        <v>4953388</v>
      </c>
      <c r="BU41" s="230">
        <v>1074652</v>
      </c>
      <c r="BV41" s="229">
        <v>0.217</v>
      </c>
      <c r="BW41" s="230">
        <v>39582675</v>
      </c>
      <c r="BX41" s="230">
        <v>38447475</v>
      </c>
      <c r="BY41" s="230">
        <v>1135200</v>
      </c>
      <c r="BZ41" s="229">
        <v>2.9499999999999998E-2</v>
      </c>
      <c r="CA41" s="230">
        <v>35777775</v>
      </c>
      <c r="CB41" s="230">
        <v>35613600</v>
      </c>
      <c r="CC41" s="230">
        <v>164175</v>
      </c>
      <c r="CD41" s="229">
        <v>4.5999999999999999E-3</v>
      </c>
      <c r="CE41" s="230">
        <v>3592875</v>
      </c>
      <c r="CF41" s="230">
        <v>2685375</v>
      </c>
      <c r="CG41" s="230">
        <v>907500</v>
      </c>
      <c r="CH41" s="229">
        <v>0.33789999999999998</v>
      </c>
      <c r="CI41" s="230">
        <v>212025</v>
      </c>
      <c r="CJ41" s="230">
        <v>148500</v>
      </c>
      <c r="CK41" s="230">
        <v>63525</v>
      </c>
      <c r="CL41" s="229">
        <v>0.42780000000000001</v>
      </c>
      <c r="CM41" s="230">
        <v>9774600</v>
      </c>
      <c r="CN41" s="230">
        <v>8628675</v>
      </c>
      <c r="CO41" s="230">
        <v>1145925</v>
      </c>
      <c r="CP41" s="229">
        <v>0.1328</v>
      </c>
      <c r="CQ41" s="230">
        <v>5945775</v>
      </c>
      <c r="CR41" s="230">
        <v>5666925</v>
      </c>
      <c r="CS41" s="230">
        <v>278850</v>
      </c>
      <c r="CT41" s="229">
        <v>4.9200000000000001E-2</v>
      </c>
      <c r="CU41" s="230">
        <v>55303050</v>
      </c>
      <c r="CV41" s="230">
        <v>52743075</v>
      </c>
      <c r="CW41" s="230">
        <v>2559975</v>
      </c>
      <c r="CX41" s="229">
        <v>4.8500000000000001E-2</v>
      </c>
      <c r="CY41" s="228">
        <v>31.62</v>
      </c>
      <c r="CZ41" s="228">
        <v>31.09</v>
      </c>
      <c r="DA41" s="228">
        <v>0.53</v>
      </c>
      <c r="DB41" s="228">
        <v>0.53</v>
      </c>
      <c r="DC41" s="228">
        <v>42.21</v>
      </c>
      <c r="DD41" s="228">
        <v>42.26</v>
      </c>
      <c r="DE41" s="228">
        <v>-10.59</v>
      </c>
      <c r="DF41" s="228">
        <v>-0.05</v>
      </c>
      <c r="DG41" s="228">
        <v>32.29</v>
      </c>
      <c r="DH41" s="228">
        <v>31.17</v>
      </c>
      <c r="DI41" s="228">
        <v>1.1200000000000001</v>
      </c>
      <c r="DJ41" s="228">
        <v>1.1200000000000001</v>
      </c>
      <c r="DK41" s="228">
        <v>30.34</v>
      </c>
      <c r="DL41" s="228">
        <v>30.93</v>
      </c>
      <c r="DM41" s="228">
        <v>-0.59</v>
      </c>
      <c r="DN41" s="228">
        <v>-0.59</v>
      </c>
      <c r="DO41" s="228">
        <v>0.61</v>
      </c>
      <c r="DP41" s="228">
        <v>0.66</v>
      </c>
      <c r="DQ41" s="228">
        <v>-0.05</v>
      </c>
      <c r="DR41" s="229">
        <v>-7.5800000000000006E-2</v>
      </c>
      <c r="DS41" s="228">
        <v>700</v>
      </c>
      <c r="DT41" s="228">
        <v>620</v>
      </c>
      <c r="DU41" s="228">
        <v>0.53</v>
      </c>
      <c r="DV41" s="228">
        <v>0.55000000000000004</v>
      </c>
      <c r="DW41" s="228">
        <v>-0.02</v>
      </c>
      <c r="DX41" s="229">
        <v>-3.6400000000000002E-2</v>
      </c>
      <c r="DY41" s="229">
        <v>9.6100000000000005E-2</v>
      </c>
      <c r="DZ41" s="230">
        <v>2833875</v>
      </c>
      <c r="EA41" s="229">
        <v>5.1999999999999998E-3</v>
      </c>
      <c r="EB41" s="229">
        <v>9.6100000000000005E-2</v>
      </c>
      <c r="EC41" s="228">
        <v>3.51</v>
      </c>
      <c r="ED41" s="229">
        <v>5.7000000000000002E-3</v>
      </c>
      <c r="EE41" s="230">
        <v>3748969</v>
      </c>
      <c r="EF41" s="230">
        <v>2833662</v>
      </c>
      <c r="EG41" s="229">
        <v>0.32300000000000001</v>
      </c>
      <c r="EH41" s="229">
        <v>0.62190000000000001</v>
      </c>
      <c r="EI41" s="231">
        <v>74784.240000000005</v>
      </c>
      <c r="EJ41" s="231">
        <v>37690.79</v>
      </c>
      <c r="EK41" s="231">
        <v>38870.589999999997</v>
      </c>
      <c r="EL41" s="228">
        <v>0</v>
      </c>
      <c r="EM41" s="231">
        <v>151345.62</v>
      </c>
      <c r="EN41" s="231">
        <v>143789.15</v>
      </c>
      <c r="EO41" s="231">
        <v>7556.47</v>
      </c>
      <c r="EP41" s="229">
        <v>5.2600000000000001E-2</v>
      </c>
      <c r="EQ41" s="231">
        <v>64395</v>
      </c>
      <c r="ER41" s="231">
        <v>36132</v>
      </c>
      <c r="ES41" s="231">
        <v>244829</v>
      </c>
      <c r="ET41" s="231">
        <v>280612368</v>
      </c>
      <c r="EU41" s="231">
        <v>345355</v>
      </c>
      <c r="EV41" s="231">
        <v>332995</v>
      </c>
      <c r="EW41" s="231">
        <v>12360</v>
      </c>
      <c r="EX41" s="229">
        <v>3.7100000000000001E-2</v>
      </c>
      <c r="EY41" s="229">
        <v>0.1971</v>
      </c>
    </row>
    <row r="42" spans="1:155" ht="17.25" thickBot="1" x14ac:dyDescent="0.3">
      <c r="A42" s="226">
        <v>45889</v>
      </c>
      <c r="B42" s="227" t="s">
        <v>170</v>
      </c>
      <c r="C42" s="227" t="s">
        <v>288</v>
      </c>
      <c r="D42" s="231">
        <v>1633</v>
      </c>
      <c r="E42" s="231">
        <v>1633.5</v>
      </c>
      <c r="F42" s="228">
        <v>-0.5</v>
      </c>
      <c r="G42" s="229">
        <v>-2.9999999999999997E-4</v>
      </c>
      <c r="H42" s="231">
        <v>1633.1</v>
      </c>
      <c r="I42" s="231">
        <v>1626.6</v>
      </c>
      <c r="J42" s="228">
        <v>6.5</v>
      </c>
      <c r="K42" s="229">
        <v>4.0000000000000001E-3</v>
      </c>
      <c r="L42" s="231">
        <v>1633</v>
      </c>
      <c r="M42" s="231">
        <v>1633.5</v>
      </c>
      <c r="N42" s="228">
        <v>-0.5</v>
      </c>
      <c r="O42" s="229">
        <v>-2.9999999999999997E-4</v>
      </c>
      <c r="P42" s="231">
        <v>1642.5</v>
      </c>
      <c r="Q42" s="231">
        <v>1642.5</v>
      </c>
      <c r="R42" s="228">
        <v>0</v>
      </c>
      <c r="S42" s="229">
        <v>0</v>
      </c>
      <c r="T42" s="231">
        <v>1650.7</v>
      </c>
      <c r="U42" s="231">
        <v>1652.8</v>
      </c>
      <c r="V42" s="228">
        <v>-2.1</v>
      </c>
      <c r="W42" s="229">
        <v>-1.2999999999999999E-3</v>
      </c>
      <c r="X42" s="228">
        <v>-0.1</v>
      </c>
      <c r="Y42" s="228">
        <v>6.9</v>
      </c>
      <c r="Z42" s="228">
        <v>-7</v>
      </c>
      <c r="AA42" s="229">
        <v>-1E-4</v>
      </c>
      <c r="AB42" s="228">
        <v>-0.1</v>
      </c>
      <c r="AC42" s="228">
        <v>6.9</v>
      </c>
      <c r="AD42" s="228">
        <v>-7</v>
      </c>
      <c r="AE42" s="229">
        <v>-1E-4</v>
      </c>
      <c r="AF42" s="228">
        <v>9.4</v>
      </c>
      <c r="AG42" s="228">
        <v>15.9</v>
      </c>
      <c r="AH42" s="228">
        <v>-6.5</v>
      </c>
      <c r="AI42" s="229">
        <v>5.7999999999999996E-3</v>
      </c>
      <c r="AJ42" s="228">
        <v>17.600000000000001</v>
      </c>
      <c r="AK42" s="228">
        <v>26.2</v>
      </c>
      <c r="AL42" s="228">
        <v>-8.6</v>
      </c>
      <c r="AM42" s="229">
        <v>1.0800000000000001E-2</v>
      </c>
      <c r="AN42" s="231">
        <v>1628.61</v>
      </c>
      <c r="AO42" s="231">
        <v>1637.04</v>
      </c>
      <c r="AP42" s="228">
        <v>0</v>
      </c>
      <c r="AQ42" s="230">
        <v>5935</v>
      </c>
      <c r="AR42" s="230">
        <v>5829</v>
      </c>
      <c r="AS42" s="228">
        <v>106</v>
      </c>
      <c r="AT42" s="229">
        <v>1.8200000000000001E-2</v>
      </c>
      <c r="AU42" s="230">
        <v>4769</v>
      </c>
      <c r="AV42" s="230">
        <v>4639</v>
      </c>
      <c r="AW42" s="228">
        <v>130</v>
      </c>
      <c r="AX42" s="229">
        <v>2.8000000000000001E-2</v>
      </c>
      <c r="AY42" s="230">
        <v>1125</v>
      </c>
      <c r="AZ42" s="230">
        <v>1097</v>
      </c>
      <c r="BA42" s="228">
        <v>28</v>
      </c>
      <c r="BB42" s="229">
        <v>2.5499999999999998E-2</v>
      </c>
      <c r="BC42" s="228">
        <v>41</v>
      </c>
      <c r="BD42" s="228">
        <v>93</v>
      </c>
      <c r="BE42" s="228">
        <v>-52</v>
      </c>
      <c r="BF42" s="229">
        <v>-0.55910000000000004</v>
      </c>
      <c r="BG42" s="230">
        <v>17409</v>
      </c>
      <c r="BH42" s="230">
        <v>16022</v>
      </c>
      <c r="BI42" s="230">
        <v>1387</v>
      </c>
      <c r="BJ42" s="229">
        <v>8.6599999999999996E-2</v>
      </c>
      <c r="BK42" s="230">
        <v>14007</v>
      </c>
      <c r="BL42" s="230">
        <v>11376</v>
      </c>
      <c r="BM42" s="230">
        <v>2631</v>
      </c>
      <c r="BN42" s="229">
        <v>0.23130000000000001</v>
      </c>
      <c r="BO42" s="230">
        <v>37351</v>
      </c>
      <c r="BP42" s="230">
        <v>33227</v>
      </c>
      <c r="BQ42" s="230">
        <v>4124</v>
      </c>
      <c r="BR42" s="229">
        <v>0.1241</v>
      </c>
      <c r="BS42" s="230">
        <v>1905243</v>
      </c>
      <c r="BT42" s="230">
        <v>2731860</v>
      </c>
      <c r="BU42" s="230">
        <v>-826617</v>
      </c>
      <c r="BV42" s="229">
        <v>-0.30259999999999998</v>
      </c>
      <c r="BW42" s="230">
        <v>16738400</v>
      </c>
      <c r="BX42" s="230">
        <v>17038350</v>
      </c>
      <c r="BY42" s="230">
        <v>-299950</v>
      </c>
      <c r="BZ42" s="229">
        <v>-1.7600000000000001E-2</v>
      </c>
      <c r="CA42" s="230">
        <v>14760900</v>
      </c>
      <c r="CB42" s="230">
        <v>15282400</v>
      </c>
      <c r="CC42" s="230">
        <v>-521500</v>
      </c>
      <c r="CD42" s="229">
        <v>-3.4099999999999998E-2</v>
      </c>
      <c r="CE42" s="230">
        <v>1048950</v>
      </c>
      <c r="CF42" s="230">
        <v>831600</v>
      </c>
      <c r="CG42" s="230">
        <v>217350</v>
      </c>
      <c r="CH42" s="229">
        <v>0.26140000000000002</v>
      </c>
      <c r="CI42" s="230">
        <v>928550</v>
      </c>
      <c r="CJ42" s="230">
        <v>924350</v>
      </c>
      <c r="CK42" s="230">
        <v>4200</v>
      </c>
      <c r="CL42" s="229">
        <v>4.4999999999999997E-3</v>
      </c>
      <c r="CM42" s="230">
        <v>6765500</v>
      </c>
      <c r="CN42" s="230">
        <v>6961500</v>
      </c>
      <c r="CO42" s="230">
        <v>-196000</v>
      </c>
      <c r="CP42" s="229">
        <v>-2.8199999999999999E-2</v>
      </c>
      <c r="CQ42" s="230">
        <v>4372900</v>
      </c>
      <c r="CR42" s="230">
        <v>4554900</v>
      </c>
      <c r="CS42" s="230">
        <v>-182000</v>
      </c>
      <c r="CT42" s="229">
        <v>-0.04</v>
      </c>
      <c r="CU42" s="230">
        <v>27876800</v>
      </c>
      <c r="CV42" s="230">
        <v>28554750</v>
      </c>
      <c r="CW42" s="230">
        <v>-677950</v>
      </c>
      <c r="CX42" s="229">
        <v>-2.3699999999999999E-2</v>
      </c>
      <c r="CY42" s="228">
        <v>21.42</v>
      </c>
      <c r="CZ42" s="228">
        <v>21.76</v>
      </c>
      <c r="DA42" s="228">
        <v>-0.34</v>
      </c>
      <c r="DB42" s="228">
        <v>-0.34</v>
      </c>
      <c r="DC42" s="228">
        <v>24.47</v>
      </c>
      <c r="DD42" s="228">
        <v>24.53</v>
      </c>
      <c r="DE42" s="228">
        <v>-3.05</v>
      </c>
      <c r="DF42" s="228">
        <v>-0.06</v>
      </c>
      <c r="DG42" s="228">
        <v>21.08</v>
      </c>
      <c r="DH42" s="228">
        <v>21.39</v>
      </c>
      <c r="DI42" s="228">
        <v>-0.31</v>
      </c>
      <c r="DJ42" s="228">
        <v>-0.31</v>
      </c>
      <c r="DK42" s="228">
        <v>21.85</v>
      </c>
      <c r="DL42" s="228">
        <v>22.29</v>
      </c>
      <c r="DM42" s="228">
        <v>-0.44</v>
      </c>
      <c r="DN42" s="228">
        <v>-0.44</v>
      </c>
      <c r="DO42" s="228">
        <v>0.65</v>
      </c>
      <c r="DP42" s="228">
        <v>0.65</v>
      </c>
      <c r="DQ42" s="228">
        <v>0</v>
      </c>
      <c r="DR42" s="229">
        <v>0</v>
      </c>
      <c r="DS42" s="231">
        <v>1700</v>
      </c>
      <c r="DT42" s="231">
        <v>1500</v>
      </c>
      <c r="DU42" s="228">
        <v>0.8</v>
      </c>
      <c r="DV42" s="228">
        <v>0.71</v>
      </c>
      <c r="DW42" s="228">
        <v>0.09</v>
      </c>
      <c r="DX42" s="229">
        <v>0.1268</v>
      </c>
      <c r="DY42" s="229">
        <v>0.1181</v>
      </c>
      <c r="DZ42" s="230">
        <v>1755950</v>
      </c>
      <c r="EA42" s="229">
        <v>5.7999999999999996E-3</v>
      </c>
      <c r="EB42" s="229">
        <v>0.1181</v>
      </c>
      <c r="EC42" s="228">
        <v>8.43</v>
      </c>
      <c r="ED42" s="229">
        <v>5.1999999999999998E-3</v>
      </c>
      <c r="EE42" s="230">
        <v>1359717</v>
      </c>
      <c r="EF42" s="230">
        <v>2091816</v>
      </c>
      <c r="EG42" s="229">
        <v>-0.35</v>
      </c>
      <c r="EH42" s="229">
        <v>0.7137</v>
      </c>
      <c r="EI42" s="231">
        <v>102618.81</v>
      </c>
      <c r="EJ42" s="231">
        <v>78234.490000000005</v>
      </c>
      <c r="EK42" s="231">
        <v>33865.980000000003</v>
      </c>
      <c r="EL42" s="228">
        <v>0</v>
      </c>
      <c r="EM42" s="231">
        <v>214719.28</v>
      </c>
      <c r="EN42" s="231">
        <v>191133.45</v>
      </c>
      <c r="EO42" s="231">
        <v>23585.83</v>
      </c>
      <c r="EP42" s="229">
        <v>0.1234</v>
      </c>
      <c r="EQ42" s="231">
        <v>116535</v>
      </c>
      <c r="ER42" s="231">
        <v>68105</v>
      </c>
      <c r="ES42" s="231">
        <v>273602</v>
      </c>
      <c r="ET42" s="231">
        <v>218440087</v>
      </c>
      <c r="EU42" s="231">
        <v>458242</v>
      </c>
      <c r="EV42" s="231">
        <v>469372</v>
      </c>
      <c r="EW42" s="231">
        <v>-11130</v>
      </c>
      <c r="EX42" s="229">
        <v>-2.3699999999999999E-2</v>
      </c>
      <c r="EY42" s="229">
        <v>0.12759999999999999</v>
      </c>
    </row>
    <row r="43" spans="1:155" ht="17.25" thickBot="1" x14ac:dyDescent="0.3">
      <c r="A43" s="226">
        <v>45889</v>
      </c>
      <c r="B43" s="227" t="s">
        <v>168</v>
      </c>
      <c r="C43" s="227" t="s">
        <v>291</v>
      </c>
      <c r="D43" s="231">
        <v>1105.8</v>
      </c>
      <c r="E43" s="231">
        <v>1090.9000000000001</v>
      </c>
      <c r="F43" s="228">
        <v>14.9</v>
      </c>
      <c r="G43" s="229">
        <v>1.37E-2</v>
      </c>
      <c r="H43" s="231">
        <v>1105.3</v>
      </c>
      <c r="I43" s="231">
        <v>1085.8</v>
      </c>
      <c r="J43" s="228">
        <v>19.5</v>
      </c>
      <c r="K43" s="229">
        <v>1.7999999999999999E-2</v>
      </c>
      <c r="L43" s="231">
        <v>1105.8</v>
      </c>
      <c r="M43" s="231">
        <v>1090.9000000000001</v>
      </c>
      <c r="N43" s="228">
        <v>14.9</v>
      </c>
      <c r="O43" s="229">
        <v>1.37E-2</v>
      </c>
      <c r="P43" s="231">
        <v>1111.7</v>
      </c>
      <c r="Q43" s="231">
        <v>1098.3</v>
      </c>
      <c r="R43" s="228">
        <v>13.4</v>
      </c>
      <c r="S43" s="229">
        <v>1.2200000000000001E-2</v>
      </c>
      <c r="T43" s="231">
        <v>1117.7</v>
      </c>
      <c r="U43" s="231">
        <v>1104</v>
      </c>
      <c r="V43" s="228">
        <v>13.7</v>
      </c>
      <c r="W43" s="229">
        <v>1.24E-2</v>
      </c>
      <c r="X43" s="228">
        <v>0.5</v>
      </c>
      <c r="Y43" s="228">
        <v>5.0999999999999996</v>
      </c>
      <c r="Z43" s="228">
        <v>-4.5999999999999996</v>
      </c>
      <c r="AA43" s="229">
        <v>5.0000000000000001E-4</v>
      </c>
      <c r="AB43" s="228">
        <v>0.5</v>
      </c>
      <c r="AC43" s="228">
        <v>5.0999999999999996</v>
      </c>
      <c r="AD43" s="228">
        <v>-4.5999999999999996</v>
      </c>
      <c r="AE43" s="229">
        <v>5.0000000000000001E-4</v>
      </c>
      <c r="AF43" s="228">
        <v>6.4</v>
      </c>
      <c r="AG43" s="228">
        <v>12.5</v>
      </c>
      <c r="AH43" s="228">
        <v>-6.1</v>
      </c>
      <c r="AI43" s="229">
        <v>5.7999999999999996E-3</v>
      </c>
      <c r="AJ43" s="228">
        <v>12.4</v>
      </c>
      <c r="AK43" s="228">
        <v>18.2</v>
      </c>
      <c r="AL43" s="228">
        <v>-5.8</v>
      </c>
      <c r="AM43" s="229">
        <v>1.12E-2</v>
      </c>
      <c r="AN43" s="231">
        <v>1097.0899999999999</v>
      </c>
      <c r="AO43" s="231">
        <v>1103</v>
      </c>
      <c r="AP43" s="228">
        <v>0</v>
      </c>
      <c r="AQ43" s="230">
        <v>5715</v>
      </c>
      <c r="AR43" s="230">
        <v>2719</v>
      </c>
      <c r="AS43" s="230">
        <v>2996</v>
      </c>
      <c r="AT43" s="229">
        <v>1.1019000000000001</v>
      </c>
      <c r="AU43" s="230">
        <v>4755</v>
      </c>
      <c r="AV43" s="230">
        <v>2346</v>
      </c>
      <c r="AW43" s="230">
        <v>2409</v>
      </c>
      <c r="AX43" s="229">
        <v>1.0268999999999999</v>
      </c>
      <c r="AY43" s="228">
        <v>919</v>
      </c>
      <c r="AZ43" s="228">
        <v>359</v>
      </c>
      <c r="BA43" s="228">
        <v>560</v>
      </c>
      <c r="BB43" s="229">
        <v>1.5599000000000001</v>
      </c>
      <c r="BC43" s="228">
        <v>41</v>
      </c>
      <c r="BD43" s="228">
        <v>14</v>
      </c>
      <c r="BE43" s="228">
        <v>27</v>
      </c>
      <c r="BF43" s="229">
        <v>1.9286000000000001</v>
      </c>
      <c r="BG43" s="230">
        <v>28705</v>
      </c>
      <c r="BH43" s="230">
        <v>11638</v>
      </c>
      <c r="BI43" s="230">
        <v>17067</v>
      </c>
      <c r="BJ43" s="229">
        <v>1.4664999999999999</v>
      </c>
      <c r="BK43" s="230">
        <v>7652</v>
      </c>
      <c r="BL43" s="230">
        <v>5290</v>
      </c>
      <c r="BM43" s="230">
        <v>2362</v>
      </c>
      <c r="BN43" s="229">
        <v>0.44650000000000001</v>
      </c>
      <c r="BO43" s="230">
        <v>42072</v>
      </c>
      <c r="BP43" s="230">
        <v>19647</v>
      </c>
      <c r="BQ43" s="230">
        <v>22425</v>
      </c>
      <c r="BR43" s="229">
        <v>1.1414</v>
      </c>
      <c r="BS43" s="230">
        <v>918487</v>
      </c>
      <c r="BT43" s="230">
        <v>723408</v>
      </c>
      <c r="BU43" s="230">
        <v>195079</v>
      </c>
      <c r="BV43" s="229">
        <v>0.2697</v>
      </c>
      <c r="BW43" s="230">
        <v>14294500</v>
      </c>
      <c r="BX43" s="230">
        <v>14769150</v>
      </c>
      <c r="BY43" s="230">
        <v>-474650</v>
      </c>
      <c r="BZ43" s="229">
        <v>-3.2099999999999997E-2</v>
      </c>
      <c r="CA43" s="230">
        <v>13726350</v>
      </c>
      <c r="CB43" s="230">
        <v>14347300</v>
      </c>
      <c r="CC43" s="230">
        <v>-620950</v>
      </c>
      <c r="CD43" s="229">
        <v>-4.3299999999999998E-2</v>
      </c>
      <c r="CE43" s="230">
        <v>543950</v>
      </c>
      <c r="CF43" s="230">
        <v>404800</v>
      </c>
      <c r="CG43" s="230">
        <v>139150</v>
      </c>
      <c r="CH43" s="229">
        <v>0.34379999999999999</v>
      </c>
      <c r="CI43" s="230">
        <v>24200</v>
      </c>
      <c r="CJ43" s="230">
        <v>17050</v>
      </c>
      <c r="CK43" s="230">
        <v>7150</v>
      </c>
      <c r="CL43" s="229">
        <v>0.4194</v>
      </c>
      <c r="CM43" s="230">
        <v>3912150</v>
      </c>
      <c r="CN43" s="230">
        <v>3758700</v>
      </c>
      <c r="CO43" s="230">
        <v>153450</v>
      </c>
      <c r="CP43" s="229">
        <v>4.0800000000000003E-2</v>
      </c>
      <c r="CQ43" s="230">
        <v>2868250</v>
      </c>
      <c r="CR43" s="230">
        <v>2558600</v>
      </c>
      <c r="CS43" s="230">
        <v>309650</v>
      </c>
      <c r="CT43" s="229">
        <v>0.121</v>
      </c>
      <c r="CU43" s="230">
        <v>21074900</v>
      </c>
      <c r="CV43" s="230">
        <v>21086450</v>
      </c>
      <c r="CW43" s="230">
        <v>-11550</v>
      </c>
      <c r="CX43" s="229">
        <v>-5.0000000000000001E-4</v>
      </c>
      <c r="CY43" s="228">
        <v>21.78</v>
      </c>
      <c r="CZ43" s="228">
        <v>20.56</v>
      </c>
      <c r="DA43" s="228">
        <v>1.22</v>
      </c>
      <c r="DB43" s="228">
        <v>1.22</v>
      </c>
      <c r="DC43" s="228">
        <v>27.54</v>
      </c>
      <c r="DD43" s="228">
        <v>27.51</v>
      </c>
      <c r="DE43" s="228">
        <v>-5.76</v>
      </c>
      <c r="DF43" s="228">
        <v>0.03</v>
      </c>
      <c r="DG43" s="228">
        <v>21.73</v>
      </c>
      <c r="DH43" s="228">
        <v>20.18</v>
      </c>
      <c r="DI43" s="228">
        <v>1.55</v>
      </c>
      <c r="DJ43" s="228">
        <v>1.55</v>
      </c>
      <c r="DK43" s="228">
        <v>21.96</v>
      </c>
      <c r="DL43" s="228">
        <v>21.39</v>
      </c>
      <c r="DM43" s="228">
        <v>0.56999999999999995</v>
      </c>
      <c r="DN43" s="228">
        <v>0.56999999999999995</v>
      </c>
      <c r="DO43" s="228">
        <v>0.73</v>
      </c>
      <c r="DP43" s="228">
        <v>0.68</v>
      </c>
      <c r="DQ43" s="228">
        <v>0.05</v>
      </c>
      <c r="DR43" s="229">
        <v>7.3499999999999996E-2</v>
      </c>
      <c r="DS43" s="231">
        <v>1100</v>
      </c>
      <c r="DT43" s="231">
        <v>1050</v>
      </c>
      <c r="DU43" s="228">
        <v>0.27</v>
      </c>
      <c r="DV43" s="228">
        <v>0.45</v>
      </c>
      <c r="DW43" s="228">
        <v>-0.18</v>
      </c>
      <c r="DX43" s="229">
        <v>-0.4</v>
      </c>
      <c r="DY43" s="229">
        <v>3.9699999999999999E-2</v>
      </c>
      <c r="DZ43" s="230">
        <v>421850</v>
      </c>
      <c r="EA43" s="229">
        <v>5.3E-3</v>
      </c>
      <c r="EB43" s="229">
        <v>3.9699999999999999E-2</v>
      </c>
      <c r="EC43" s="228">
        <v>5.91</v>
      </c>
      <c r="ED43" s="229">
        <v>5.4000000000000003E-3</v>
      </c>
      <c r="EE43" s="230">
        <v>429736</v>
      </c>
      <c r="EF43" s="230">
        <v>344080</v>
      </c>
      <c r="EG43" s="229">
        <v>0.24890000000000001</v>
      </c>
      <c r="EH43" s="229">
        <v>0.46789999999999998</v>
      </c>
      <c r="EI43" s="231">
        <v>176972.02</v>
      </c>
      <c r="EJ43" s="231">
        <v>45401.5</v>
      </c>
      <c r="EK43" s="231">
        <v>34516.36</v>
      </c>
      <c r="EL43" s="228">
        <v>0</v>
      </c>
      <c r="EM43" s="231">
        <v>256889.88</v>
      </c>
      <c r="EN43" s="231">
        <v>117653.65</v>
      </c>
      <c r="EO43" s="231">
        <v>139236.23000000001</v>
      </c>
      <c r="EP43" s="229">
        <v>1.1834</v>
      </c>
      <c r="EQ43" s="231">
        <v>44286</v>
      </c>
      <c r="ER43" s="231">
        <v>29749</v>
      </c>
      <c r="ES43" s="231">
        <v>158104</v>
      </c>
      <c r="ET43" s="231">
        <v>130943056</v>
      </c>
      <c r="EU43" s="231">
        <v>232139</v>
      </c>
      <c r="EV43" s="231">
        <v>229661</v>
      </c>
      <c r="EW43" s="231">
        <v>2478</v>
      </c>
      <c r="EX43" s="229">
        <v>1.0800000000000001E-2</v>
      </c>
      <c r="EY43" s="229">
        <v>0.16089999999999999</v>
      </c>
    </row>
    <row r="44" spans="1:155" ht="17.25" thickBot="1" x14ac:dyDescent="0.3">
      <c r="A44" s="226">
        <v>45889</v>
      </c>
      <c r="B44" s="227" t="s">
        <v>162</v>
      </c>
      <c r="C44" s="227" t="s">
        <v>292</v>
      </c>
      <c r="D44" s="228">
        <v>691.25</v>
      </c>
      <c r="E44" s="228">
        <v>702.35</v>
      </c>
      <c r="F44" s="228">
        <v>-11.1</v>
      </c>
      <c r="G44" s="229">
        <v>-1.5800000000000002E-2</v>
      </c>
      <c r="H44" s="228">
        <v>689.6</v>
      </c>
      <c r="I44" s="228">
        <v>700.25</v>
      </c>
      <c r="J44" s="228">
        <v>-10.65</v>
      </c>
      <c r="K44" s="229">
        <v>-1.52E-2</v>
      </c>
      <c r="L44" s="228">
        <v>691.25</v>
      </c>
      <c r="M44" s="228">
        <v>702.35</v>
      </c>
      <c r="N44" s="228">
        <v>-11.1</v>
      </c>
      <c r="O44" s="229">
        <v>-1.5800000000000002E-2</v>
      </c>
      <c r="P44" s="228">
        <v>695.2</v>
      </c>
      <c r="Q44" s="228">
        <v>706.25</v>
      </c>
      <c r="R44" s="228">
        <v>-11.05</v>
      </c>
      <c r="S44" s="229">
        <v>-1.5599999999999999E-2</v>
      </c>
      <c r="T44" s="228">
        <v>697.4</v>
      </c>
      <c r="U44" s="228">
        <v>707.6</v>
      </c>
      <c r="V44" s="228">
        <v>-10.199999999999999</v>
      </c>
      <c r="W44" s="229">
        <v>-1.44E-2</v>
      </c>
      <c r="X44" s="228">
        <v>1.65</v>
      </c>
      <c r="Y44" s="228">
        <v>2.1</v>
      </c>
      <c r="Z44" s="228">
        <v>-0.45</v>
      </c>
      <c r="AA44" s="229">
        <v>2.3999999999999998E-3</v>
      </c>
      <c r="AB44" s="228">
        <v>1.65</v>
      </c>
      <c r="AC44" s="228">
        <v>2.1</v>
      </c>
      <c r="AD44" s="228">
        <v>-0.45</v>
      </c>
      <c r="AE44" s="229">
        <v>2.3999999999999998E-3</v>
      </c>
      <c r="AF44" s="228">
        <v>5.6</v>
      </c>
      <c r="AG44" s="228">
        <v>6</v>
      </c>
      <c r="AH44" s="228">
        <v>-0.4</v>
      </c>
      <c r="AI44" s="229">
        <v>8.0999999999999996E-3</v>
      </c>
      <c r="AJ44" s="228">
        <v>7.8</v>
      </c>
      <c r="AK44" s="228">
        <v>7.35</v>
      </c>
      <c r="AL44" s="228">
        <v>0.45</v>
      </c>
      <c r="AM44" s="229">
        <v>1.1299999999999999E-2</v>
      </c>
      <c r="AN44" s="228">
        <v>693.78</v>
      </c>
      <c r="AO44" s="228">
        <v>697.46</v>
      </c>
      <c r="AP44" s="228">
        <v>0</v>
      </c>
      <c r="AQ44" s="230">
        <v>18352</v>
      </c>
      <c r="AR44" s="230">
        <v>35616</v>
      </c>
      <c r="AS44" s="230">
        <v>-17264</v>
      </c>
      <c r="AT44" s="229">
        <v>-0.48470000000000002</v>
      </c>
      <c r="AU44" s="230">
        <v>12145</v>
      </c>
      <c r="AV44" s="230">
        <v>28186</v>
      </c>
      <c r="AW44" s="230">
        <v>-16041</v>
      </c>
      <c r="AX44" s="229">
        <v>-0.56910000000000005</v>
      </c>
      <c r="AY44" s="230">
        <v>5632</v>
      </c>
      <c r="AZ44" s="230">
        <v>6733</v>
      </c>
      <c r="BA44" s="230">
        <v>-1101</v>
      </c>
      <c r="BB44" s="229">
        <v>-0.16350000000000001</v>
      </c>
      <c r="BC44" s="228">
        <v>575</v>
      </c>
      <c r="BD44" s="228">
        <v>697</v>
      </c>
      <c r="BE44" s="228">
        <v>-122</v>
      </c>
      <c r="BF44" s="229">
        <v>-0.17499999999999999</v>
      </c>
      <c r="BG44" s="230">
        <v>88677</v>
      </c>
      <c r="BH44" s="230">
        <v>306354</v>
      </c>
      <c r="BI44" s="230">
        <v>-217677</v>
      </c>
      <c r="BJ44" s="229">
        <v>-0.71050000000000002</v>
      </c>
      <c r="BK44" s="230">
        <v>58215</v>
      </c>
      <c r="BL44" s="230">
        <v>140934</v>
      </c>
      <c r="BM44" s="230">
        <v>-82719</v>
      </c>
      <c r="BN44" s="229">
        <v>-0.58689999999999998</v>
      </c>
      <c r="BO44" s="230">
        <v>165244</v>
      </c>
      <c r="BP44" s="230">
        <v>482904</v>
      </c>
      <c r="BQ44" s="230">
        <v>-317660</v>
      </c>
      <c r="BR44" s="229">
        <v>-0.65780000000000005</v>
      </c>
      <c r="BS44" s="230">
        <v>10552827</v>
      </c>
      <c r="BT44" s="230">
        <v>21412632</v>
      </c>
      <c r="BU44" s="230">
        <v>-10859805</v>
      </c>
      <c r="BV44" s="229">
        <v>-0.50719999999999998</v>
      </c>
      <c r="BW44" s="230">
        <v>81580000</v>
      </c>
      <c r="BX44" s="230">
        <v>80373600</v>
      </c>
      <c r="BY44" s="230">
        <v>1206400</v>
      </c>
      <c r="BZ44" s="229">
        <v>1.4999999999999999E-2</v>
      </c>
      <c r="CA44" s="230">
        <v>69048000</v>
      </c>
      <c r="CB44" s="230">
        <v>70764800</v>
      </c>
      <c r="CC44" s="230">
        <v>-1716800</v>
      </c>
      <c r="CD44" s="229">
        <v>-2.4299999999999999E-2</v>
      </c>
      <c r="CE44" s="230">
        <v>11571200</v>
      </c>
      <c r="CF44" s="230">
        <v>8845600</v>
      </c>
      <c r="CG44" s="230">
        <v>2725600</v>
      </c>
      <c r="CH44" s="229">
        <v>0.30809999999999998</v>
      </c>
      <c r="CI44" s="230">
        <v>960800</v>
      </c>
      <c r="CJ44" s="230">
        <v>763200</v>
      </c>
      <c r="CK44" s="230">
        <v>197600</v>
      </c>
      <c r="CL44" s="229">
        <v>0.25890000000000002</v>
      </c>
      <c r="CM44" s="230">
        <v>44988000</v>
      </c>
      <c r="CN44" s="230">
        <v>41160000</v>
      </c>
      <c r="CO44" s="230">
        <v>3828000</v>
      </c>
      <c r="CP44" s="229">
        <v>9.2999999999999999E-2</v>
      </c>
      <c r="CQ44" s="230">
        <v>36494400</v>
      </c>
      <c r="CR44" s="230">
        <v>39915200</v>
      </c>
      <c r="CS44" s="230">
        <v>-3420800</v>
      </c>
      <c r="CT44" s="229">
        <v>-8.5699999999999998E-2</v>
      </c>
      <c r="CU44" s="230">
        <v>163062400</v>
      </c>
      <c r="CV44" s="230">
        <v>161448800</v>
      </c>
      <c r="CW44" s="230">
        <v>1613600</v>
      </c>
      <c r="CX44" s="229">
        <v>0.01</v>
      </c>
      <c r="CY44" s="228">
        <v>28.75</v>
      </c>
      <c r="CZ44" s="228">
        <v>29.62</v>
      </c>
      <c r="DA44" s="228">
        <v>-0.87</v>
      </c>
      <c r="DB44" s="228">
        <v>-0.87</v>
      </c>
      <c r="DC44" s="228">
        <v>36.42</v>
      </c>
      <c r="DD44" s="228">
        <v>36.44</v>
      </c>
      <c r="DE44" s="228">
        <v>-7.67</v>
      </c>
      <c r="DF44" s="228">
        <v>-0.02</v>
      </c>
      <c r="DG44" s="228">
        <v>28.71</v>
      </c>
      <c r="DH44" s="228">
        <v>28.36</v>
      </c>
      <c r="DI44" s="228">
        <v>0.35</v>
      </c>
      <c r="DJ44" s="228">
        <v>0.35</v>
      </c>
      <c r="DK44" s="228">
        <v>28.81</v>
      </c>
      <c r="DL44" s="228">
        <v>32.35</v>
      </c>
      <c r="DM44" s="228">
        <v>-3.54</v>
      </c>
      <c r="DN44" s="228">
        <v>-3.54</v>
      </c>
      <c r="DO44" s="228">
        <v>0.81</v>
      </c>
      <c r="DP44" s="228">
        <v>0.97</v>
      </c>
      <c r="DQ44" s="228">
        <v>-0.16</v>
      </c>
      <c r="DR44" s="229">
        <v>-0.16489999999999999</v>
      </c>
      <c r="DS44" s="228">
        <v>700</v>
      </c>
      <c r="DT44" s="228">
        <v>700</v>
      </c>
      <c r="DU44" s="228">
        <v>0.66</v>
      </c>
      <c r="DV44" s="228">
        <v>0.46</v>
      </c>
      <c r="DW44" s="228">
        <v>0.2</v>
      </c>
      <c r="DX44" s="229">
        <v>0.43480000000000002</v>
      </c>
      <c r="DY44" s="229">
        <v>0.15359999999999999</v>
      </c>
      <c r="DZ44" s="230">
        <v>9608800</v>
      </c>
      <c r="EA44" s="229">
        <v>5.7000000000000002E-3</v>
      </c>
      <c r="EB44" s="229">
        <v>0.15359999999999999</v>
      </c>
      <c r="EC44" s="228">
        <v>3.68</v>
      </c>
      <c r="ED44" s="229">
        <v>5.3E-3</v>
      </c>
      <c r="EE44" s="230">
        <v>5530415</v>
      </c>
      <c r="EF44" s="230">
        <v>7138374</v>
      </c>
      <c r="EG44" s="229">
        <v>-0.2253</v>
      </c>
      <c r="EH44" s="229">
        <v>0.52410000000000001</v>
      </c>
      <c r="EI44" s="231">
        <v>514695.63</v>
      </c>
      <c r="EJ44" s="231">
        <v>318879.65000000002</v>
      </c>
      <c r="EK44" s="231">
        <v>102050.43</v>
      </c>
      <c r="EL44" s="228">
        <v>0</v>
      </c>
      <c r="EM44" s="231">
        <v>935625.71</v>
      </c>
      <c r="EN44" s="231">
        <v>2736075.95</v>
      </c>
      <c r="EO44" s="231">
        <v>-1800450.24</v>
      </c>
      <c r="EP44" s="229">
        <v>-0.65800000000000003</v>
      </c>
      <c r="EQ44" s="231">
        <v>323280</v>
      </c>
      <c r="ER44" s="231">
        <v>242026</v>
      </c>
      <c r="ES44" s="231">
        <v>564438</v>
      </c>
      <c r="ET44" s="231">
        <v>422818502</v>
      </c>
      <c r="EU44" s="231">
        <v>1129743</v>
      </c>
      <c r="EV44" s="231">
        <v>1125845</v>
      </c>
      <c r="EW44" s="231">
        <v>3898</v>
      </c>
      <c r="EX44" s="229">
        <v>3.5000000000000001E-3</v>
      </c>
      <c r="EY44" s="229">
        <v>0.38569999999999999</v>
      </c>
    </row>
    <row r="45" spans="1:155" ht="17.25" thickBot="1" x14ac:dyDescent="0.3">
      <c r="A45" s="226">
        <v>45889</v>
      </c>
      <c r="B45" s="227" t="s">
        <v>227</v>
      </c>
      <c r="C45" s="227" t="s">
        <v>294</v>
      </c>
      <c r="D45" s="228">
        <v>162.43</v>
      </c>
      <c r="E45" s="228">
        <v>159.43</v>
      </c>
      <c r="F45" s="228">
        <v>3</v>
      </c>
      <c r="G45" s="229">
        <v>1.8800000000000001E-2</v>
      </c>
      <c r="H45" s="228">
        <v>161.91999999999999</v>
      </c>
      <c r="I45" s="228">
        <v>159.22999999999999</v>
      </c>
      <c r="J45" s="228">
        <v>2.69</v>
      </c>
      <c r="K45" s="229">
        <v>1.6899999999999998E-2</v>
      </c>
      <c r="L45" s="228">
        <v>162.43</v>
      </c>
      <c r="M45" s="228">
        <v>159.43</v>
      </c>
      <c r="N45" s="228">
        <v>3</v>
      </c>
      <c r="O45" s="229">
        <v>1.8800000000000001E-2</v>
      </c>
      <c r="P45" s="228">
        <v>163.27000000000001</v>
      </c>
      <c r="Q45" s="228">
        <v>160.32</v>
      </c>
      <c r="R45" s="228">
        <v>2.95</v>
      </c>
      <c r="S45" s="229">
        <v>1.84E-2</v>
      </c>
      <c r="T45" s="228">
        <v>164.09</v>
      </c>
      <c r="U45" s="228">
        <v>161.13</v>
      </c>
      <c r="V45" s="228">
        <v>2.96</v>
      </c>
      <c r="W45" s="229">
        <v>1.84E-2</v>
      </c>
      <c r="X45" s="228">
        <v>0.51</v>
      </c>
      <c r="Y45" s="228">
        <v>0.2</v>
      </c>
      <c r="Z45" s="228">
        <v>0.31</v>
      </c>
      <c r="AA45" s="229">
        <v>3.0999999999999999E-3</v>
      </c>
      <c r="AB45" s="228">
        <v>0.51</v>
      </c>
      <c r="AC45" s="228">
        <v>0.2</v>
      </c>
      <c r="AD45" s="228">
        <v>0.31</v>
      </c>
      <c r="AE45" s="229">
        <v>3.0999999999999999E-3</v>
      </c>
      <c r="AF45" s="228">
        <v>1.35</v>
      </c>
      <c r="AG45" s="228">
        <v>1.0900000000000001</v>
      </c>
      <c r="AH45" s="228">
        <v>0.26</v>
      </c>
      <c r="AI45" s="229">
        <v>8.3000000000000001E-3</v>
      </c>
      <c r="AJ45" s="228">
        <v>2.17</v>
      </c>
      <c r="AK45" s="228">
        <v>1.9</v>
      </c>
      <c r="AL45" s="228">
        <v>0.27</v>
      </c>
      <c r="AM45" s="229">
        <v>1.34E-2</v>
      </c>
      <c r="AN45" s="228">
        <v>161.41</v>
      </c>
      <c r="AO45" s="228">
        <v>162.38</v>
      </c>
      <c r="AP45" s="228">
        <v>0</v>
      </c>
      <c r="AQ45" s="230">
        <v>11265</v>
      </c>
      <c r="AR45" s="230">
        <v>5324</v>
      </c>
      <c r="AS45" s="230">
        <v>5941</v>
      </c>
      <c r="AT45" s="229">
        <v>1.1158999999999999</v>
      </c>
      <c r="AU45" s="230">
        <v>8695</v>
      </c>
      <c r="AV45" s="230">
        <v>4503</v>
      </c>
      <c r="AW45" s="230">
        <v>4192</v>
      </c>
      <c r="AX45" s="229">
        <v>0.93089999999999995</v>
      </c>
      <c r="AY45" s="230">
        <v>2339</v>
      </c>
      <c r="AZ45" s="228">
        <v>740</v>
      </c>
      <c r="BA45" s="230">
        <v>1599</v>
      </c>
      <c r="BB45" s="229">
        <v>2.1608000000000001</v>
      </c>
      <c r="BC45" s="228">
        <v>231</v>
      </c>
      <c r="BD45" s="228">
        <v>81</v>
      </c>
      <c r="BE45" s="228">
        <v>150</v>
      </c>
      <c r="BF45" s="229">
        <v>1.8519000000000001</v>
      </c>
      <c r="BG45" s="230">
        <v>54176</v>
      </c>
      <c r="BH45" s="230">
        <v>20248</v>
      </c>
      <c r="BI45" s="230">
        <v>33928</v>
      </c>
      <c r="BJ45" s="229">
        <v>1.6756</v>
      </c>
      <c r="BK45" s="230">
        <v>31487</v>
      </c>
      <c r="BL45" s="230">
        <v>10872</v>
      </c>
      <c r="BM45" s="230">
        <v>20615</v>
      </c>
      <c r="BN45" s="229">
        <v>1.8962000000000001</v>
      </c>
      <c r="BO45" s="230">
        <v>96928</v>
      </c>
      <c r="BP45" s="230">
        <v>36444</v>
      </c>
      <c r="BQ45" s="230">
        <v>60484</v>
      </c>
      <c r="BR45" s="229">
        <v>1.6596</v>
      </c>
      <c r="BS45" s="230">
        <v>29516252</v>
      </c>
      <c r="BT45" s="230">
        <v>21771659</v>
      </c>
      <c r="BU45" s="230">
        <v>7744593</v>
      </c>
      <c r="BV45" s="229">
        <v>0.35570000000000002</v>
      </c>
      <c r="BW45" s="230">
        <v>191746500</v>
      </c>
      <c r="BX45" s="230">
        <v>187687500</v>
      </c>
      <c r="BY45" s="230">
        <v>4059000</v>
      </c>
      <c r="BZ45" s="229">
        <v>2.1600000000000001E-2</v>
      </c>
      <c r="CA45" s="230">
        <v>168668500</v>
      </c>
      <c r="CB45" s="230">
        <v>169746500</v>
      </c>
      <c r="CC45" s="230">
        <v>-1078000</v>
      </c>
      <c r="CD45" s="229">
        <v>-6.4000000000000003E-3</v>
      </c>
      <c r="CE45" s="230">
        <v>18568000</v>
      </c>
      <c r="CF45" s="230">
        <v>13717000</v>
      </c>
      <c r="CG45" s="230">
        <v>4851000</v>
      </c>
      <c r="CH45" s="229">
        <v>0.35360000000000003</v>
      </c>
      <c r="CI45" s="230">
        <v>4510000</v>
      </c>
      <c r="CJ45" s="230">
        <v>4224000</v>
      </c>
      <c r="CK45" s="230">
        <v>286000</v>
      </c>
      <c r="CL45" s="229">
        <v>6.7699999999999996E-2</v>
      </c>
      <c r="CM45" s="230">
        <v>113690500</v>
      </c>
      <c r="CN45" s="230">
        <v>125471500</v>
      </c>
      <c r="CO45" s="230">
        <v>-11781000</v>
      </c>
      <c r="CP45" s="229">
        <v>-9.3899999999999997E-2</v>
      </c>
      <c r="CQ45" s="230">
        <v>72638500</v>
      </c>
      <c r="CR45" s="230">
        <v>67683000</v>
      </c>
      <c r="CS45" s="230">
        <v>4955500</v>
      </c>
      <c r="CT45" s="229">
        <v>7.3200000000000001E-2</v>
      </c>
      <c r="CU45" s="230">
        <v>378075500</v>
      </c>
      <c r="CV45" s="230">
        <v>380842000</v>
      </c>
      <c r="CW45" s="230">
        <v>-2766500</v>
      </c>
      <c r="CX45" s="229">
        <v>-7.3000000000000001E-3</v>
      </c>
      <c r="CY45" s="228">
        <v>24.94</v>
      </c>
      <c r="CZ45" s="228">
        <v>24.96</v>
      </c>
      <c r="DA45" s="228">
        <v>-0.02</v>
      </c>
      <c r="DB45" s="228">
        <v>-0.02</v>
      </c>
      <c r="DC45" s="228">
        <v>35.119999999999997</v>
      </c>
      <c r="DD45" s="228">
        <v>35.119999999999997</v>
      </c>
      <c r="DE45" s="228">
        <v>-10.18</v>
      </c>
      <c r="DF45" s="228">
        <v>0</v>
      </c>
      <c r="DG45" s="228">
        <v>24.65</v>
      </c>
      <c r="DH45" s="228">
        <v>24.78</v>
      </c>
      <c r="DI45" s="228">
        <v>-0.13</v>
      </c>
      <c r="DJ45" s="228">
        <v>-0.13</v>
      </c>
      <c r="DK45" s="228">
        <v>25.43</v>
      </c>
      <c r="DL45" s="228">
        <v>25.3</v>
      </c>
      <c r="DM45" s="228">
        <v>0.13</v>
      </c>
      <c r="DN45" s="228">
        <v>0.13</v>
      </c>
      <c r="DO45" s="228">
        <v>0.64</v>
      </c>
      <c r="DP45" s="228">
        <v>0.54</v>
      </c>
      <c r="DQ45" s="228">
        <v>0.1</v>
      </c>
      <c r="DR45" s="229">
        <v>0.1852</v>
      </c>
      <c r="DS45" s="228">
        <v>165</v>
      </c>
      <c r="DT45" s="228">
        <v>160</v>
      </c>
      <c r="DU45" s="228">
        <v>0.57999999999999996</v>
      </c>
      <c r="DV45" s="228">
        <v>0.54</v>
      </c>
      <c r="DW45" s="228">
        <v>0.04</v>
      </c>
      <c r="DX45" s="229">
        <v>7.4099999999999999E-2</v>
      </c>
      <c r="DY45" s="229">
        <v>0.12039999999999999</v>
      </c>
      <c r="DZ45" s="230">
        <v>17941000</v>
      </c>
      <c r="EA45" s="229">
        <v>5.1999999999999998E-3</v>
      </c>
      <c r="EB45" s="229">
        <v>0.12039999999999999</v>
      </c>
      <c r="EC45" s="228">
        <v>0.97</v>
      </c>
      <c r="ED45" s="229">
        <v>6.0000000000000001E-3</v>
      </c>
      <c r="EE45" s="230">
        <v>14161426</v>
      </c>
      <c r="EF45" s="230">
        <v>11081974</v>
      </c>
      <c r="EG45" s="229">
        <v>0.27789999999999998</v>
      </c>
      <c r="EH45" s="229">
        <v>0.4798</v>
      </c>
      <c r="EI45" s="231">
        <v>497051.56</v>
      </c>
      <c r="EJ45" s="231">
        <v>276361.90999999997</v>
      </c>
      <c r="EK45" s="231">
        <v>100155.36</v>
      </c>
      <c r="EL45" s="228">
        <v>0</v>
      </c>
      <c r="EM45" s="231">
        <v>873568.83</v>
      </c>
      <c r="EN45" s="231">
        <v>323350.67</v>
      </c>
      <c r="EO45" s="231">
        <v>550218.16</v>
      </c>
      <c r="EP45" s="229">
        <v>1.7016</v>
      </c>
      <c r="EQ45" s="231">
        <v>190700</v>
      </c>
      <c r="ER45" s="231">
        <v>111780</v>
      </c>
      <c r="ES45" s="231">
        <v>311685</v>
      </c>
      <c r="ET45" s="231">
        <v>1667975279</v>
      </c>
      <c r="EU45" s="231">
        <v>614165</v>
      </c>
      <c r="EV45" s="231">
        <v>612893</v>
      </c>
      <c r="EW45" s="231">
        <v>1272</v>
      </c>
      <c r="EX45" s="229">
        <v>2.0999999999999999E-3</v>
      </c>
      <c r="EY45" s="229">
        <v>0.22670000000000001</v>
      </c>
    </row>
    <row r="46" spans="1:155" ht="17.25" thickBot="1" x14ac:dyDescent="0.3">
      <c r="A46" s="226">
        <v>45889</v>
      </c>
      <c r="B46" s="227" t="s">
        <v>221</v>
      </c>
      <c r="C46" s="227" t="s">
        <v>295</v>
      </c>
      <c r="D46" s="231">
        <v>3098.8</v>
      </c>
      <c r="E46" s="231">
        <v>3023.1</v>
      </c>
      <c r="F46" s="228">
        <v>75.7</v>
      </c>
      <c r="G46" s="229">
        <v>2.5000000000000001E-2</v>
      </c>
      <c r="H46" s="231">
        <v>3098.6</v>
      </c>
      <c r="I46" s="231">
        <v>3016.2</v>
      </c>
      <c r="J46" s="228">
        <v>82.4</v>
      </c>
      <c r="K46" s="229">
        <v>2.7300000000000001E-2</v>
      </c>
      <c r="L46" s="231">
        <v>3098.8</v>
      </c>
      <c r="M46" s="231">
        <v>3023.1</v>
      </c>
      <c r="N46" s="228">
        <v>75.7</v>
      </c>
      <c r="O46" s="229">
        <v>2.5000000000000001E-2</v>
      </c>
      <c r="P46" s="231">
        <v>3116</v>
      </c>
      <c r="Q46" s="231">
        <v>3041.1</v>
      </c>
      <c r="R46" s="228">
        <v>74.900000000000006</v>
      </c>
      <c r="S46" s="229">
        <v>2.46E-2</v>
      </c>
      <c r="T46" s="231">
        <v>3119.9</v>
      </c>
      <c r="U46" s="231">
        <v>3045.5</v>
      </c>
      <c r="V46" s="228">
        <v>74.400000000000006</v>
      </c>
      <c r="W46" s="229">
        <v>2.4400000000000002E-2</v>
      </c>
      <c r="X46" s="228">
        <v>0.2</v>
      </c>
      <c r="Y46" s="228">
        <v>6.9</v>
      </c>
      <c r="Z46" s="228">
        <v>-6.7</v>
      </c>
      <c r="AA46" s="229">
        <v>1E-4</v>
      </c>
      <c r="AB46" s="228">
        <v>0.2</v>
      </c>
      <c r="AC46" s="228">
        <v>6.9</v>
      </c>
      <c r="AD46" s="228">
        <v>-6.7</v>
      </c>
      <c r="AE46" s="229">
        <v>1E-4</v>
      </c>
      <c r="AF46" s="228">
        <v>17.399999999999999</v>
      </c>
      <c r="AG46" s="228">
        <v>24.9</v>
      </c>
      <c r="AH46" s="228">
        <v>-7.5</v>
      </c>
      <c r="AI46" s="229">
        <v>5.5999999999999999E-3</v>
      </c>
      <c r="AJ46" s="228">
        <v>21.3</v>
      </c>
      <c r="AK46" s="228">
        <v>29.3</v>
      </c>
      <c r="AL46" s="228">
        <v>-8</v>
      </c>
      <c r="AM46" s="229">
        <v>6.8999999999999999E-3</v>
      </c>
      <c r="AN46" s="231">
        <v>3073.19</v>
      </c>
      <c r="AO46" s="231">
        <v>3091.39</v>
      </c>
      <c r="AP46" s="228">
        <v>0</v>
      </c>
      <c r="AQ46" s="230">
        <v>50460</v>
      </c>
      <c r="AR46" s="230">
        <v>15334</v>
      </c>
      <c r="AS46" s="230">
        <v>35126</v>
      </c>
      <c r="AT46" s="229">
        <v>2.2907000000000002</v>
      </c>
      <c r="AU46" s="230">
        <v>39544</v>
      </c>
      <c r="AV46" s="230">
        <v>11086</v>
      </c>
      <c r="AW46" s="230">
        <v>28458</v>
      </c>
      <c r="AX46" s="229">
        <v>2.5670000000000002</v>
      </c>
      <c r="AY46" s="230">
        <v>9507</v>
      </c>
      <c r="AZ46" s="230">
        <v>3637</v>
      </c>
      <c r="BA46" s="230">
        <v>5870</v>
      </c>
      <c r="BB46" s="229">
        <v>1.6140000000000001</v>
      </c>
      <c r="BC46" s="230">
        <v>1409</v>
      </c>
      <c r="BD46" s="228">
        <v>611</v>
      </c>
      <c r="BE46" s="228">
        <v>798</v>
      </c>
      <c r="BF46" s="229">
        <v>1.3061</v>
      </c>
      <c r="BG46" s="230">
        <v>344507</v>
      </c>
      <c r="BH46" s="230">
        <v>84889</v>
      </c>
      <c r="BI46" s="230">
        <v>259618</v>
      </c>
      <c r="BJ46" s="229">
        <v>3.0583</v>
      </c>
      <c r="BK46" s="230">
        <v>145608</v>
      </c>
      <c r="BL46" s="230">
        <v>35863</v>
      </c>
      <c r="BM46" s="230">
        <v>109745</v>
      </c>
      <c r="BN46" s="229">
        <v>3.0600999999999998</v>
      </c>
      <c r="BO46" s="230">
        <v>540575</v>
      </c>
      <c r="BP46" s="230">
        <v>136086</v>
      </c>
      <c r="BQ46" s="230">
        <v>404489</v>
      </c>
      <c r="BR46" s="229">
        <v>2.9723000000000002</v>
      </c>
      <c r="BS46" s="230">
        <v>5055457</v>
      </c>
      <c r="BT46" s="230">
        <v>2816967</v>
      </c>
      <c r="BU46" s="230">
        <v>2238490</v>
      </c>
      <c r="BV46" s="229">
        <v>0.79459999999999997</v>
      </c>
      <c r="BW46" s="230">
        <v>31838975</v>
      </c>
      <c r="BX46" s="230">
        <v>32657975</v>
      </c>
      <c r="BY46" s="230">
        <v>-819000</v>
      </c>
      <c r="BZ46" s="229">
        <v>-2.5100000000000001E-2</v>
      </c>
      <c r="CA46" s="230">
        <v>26557475</v>
      </c>
      <c r="CB46" s="230">
        <v>27984425</v>
      </c>
      <c r="CC46" s="230">
        <v>-1426950</v>
      </c>
      <c r="CD46" s="229">
        <v>-5.0999999999999997E-2</v>
      </c>
      <c r="CE46" s="230">
        <v>4666550</v>
      </c>
      <c r="CF46" s="230">
        <v>4112500</v>
      </c>
      <c r="CG46" s="230">
        <v>554050</v>
      </c>
      <c r="CH46" s="229">
        <v>0.13469999999999999</v>
      </c>
      <c r="CI46" s="230">
        <v>614950</v>
      </c>
      <c r="CJ46" s="230">
        <v>561050</v>
      </c>
      <c r="CK46" s="230">
        <v>53900</v>
      </c>
      <c r="CL46" s="229">
        <v>9.6100000000000005E-2</v>
      </c>
      <c r="CM46" s="230">
        <v>18658500</v>
      </c>
      <c r="CN46" s="230">
        <v>22326150</v>
      </c>
      <c r="CO46" s="230">
        <v>-3667650</v>
      </c>
      <c r="CP46" s="229">
        <v>-0.1643</v>
      </c>
      <c r="CQ46" s="230">
        <v>12940550</v>
      </c>
      <c r="CR46" s="230">
        <v>13721925</v>
      </c>
      <c r="CS46" s="230">
        <v>-781375</v>
      </c>
      <c r="CT46" s="229">
        <v>-5.6899999999999999E-2</v>
      </c>
      <c r="CU46" s="230">
        <v>63438025</v>
      </c>
      <c r="CV46" s="230">
        <v>68706050</v>
      </c>
      <c r="CW46" s="230">
        <v>-5268025</v>
      </c>
      <c r="CX46" s="229">
        <v>-7.6700000000000004E-2</v>
      </c>
      <c r="CY46" s="228">
        <v>20.39</v>
      </c>
      <c r="CZ46" s="228">
        <v>22.06</v>
      </c>
      <c r="DA46" s="228">
        <v>-1.67</v>
      </c>
      <c r="DB46" s="228">
        <v>-1.67</v>
      </c>
      <c r="DC46" s="228">
        <v>24.43</v>
      </c>
      <c r="DD46" s="228">
        <v>24.22</v>
      </c>
      <c r="DE46" s="228">
        <v>-4.04</v>
      </c>
      <c r="DF46" s="228">
        <v>0.21</v>
      </c>
      <c r="DG46" s="228">
        <v>20.32</v>
      </c>
      <c r="DH46" s="228">
        <v>22.23</v>
      </c>
      <c r="DI46" s="228">
        <v>-1.91</v>
      </c>
      <c r="DJ46" s="228">
        <v>-1.91</v>
      </c>
      <c r="DK46" s="228">
        <v>20.56</v>
      </c>
      <c r="DL46" s="228">
        <v>21.66</v>
      </c>
      <c r="DM46" s="228">
        <v>-1.1000000000000001</v>
      </c>
      <c r="DN46" s="228">
        <v>-1.1000000000000001</v>
      </c>
      <c r="DO46" s="228">
        <v>0.69</v>
      </c>
      <c r="DP46" s="228">
        <v>0.61</v>
      </c>
      <c r="DQ46" s="228">
        <v>0.08</v>
      </c>
      <c r="DR46" s="229">
        <v>0.13109999999999999</v>
      </c>
      <c r="DS46" s="231">
        <v>3300</v>
      </c>
      <c r="DT46" s="231">
        <v>3000</v>
      </c>
      <c r="DU46" s="228">
        <v>0.42</v>
      </c>
      <c r="DV46" s="228">
        <v>0.42</v>
      </c>
      <c r="DW46" s="228">
        <v>0</v>
      </c>
      <c r="DX46" s="229">
        <v>0</v>
      </c>
      <c r="DY46" s="229">
        <v>0.16589999999999999</v>
      </c>
      <c r="DZ46" s="230">
        <v>4673550</v>
      </c>
      <c r="EA46" s="229">
        <v>5.5999999999999999E-3</v>
      </c>
      <c r="EB46" s="229">
        <v>0.16589999999999999</v>
      </c>
      <c r="EC46" s="228">
        <v>18.2</v>
      </c>
      <c r="ED46" s="229">
        <v>5.8999999999999999E-3</v>
      </c>
      <c r="EE46" s="230">
        <v>3260033</v>
      </c>
      <c r="EF46" s="230">
        <v>2117724</v>
      </c>
      <c r="EG46" s="229">
        <v>0.53939999999999999</v>
      </c>
      <c r="EH46" s="229">
        <v>0.64490000000000003</v>
      </c>
      <c r="EI46" s="231">
        <v>1907959.48</v>
      </c>
      <c r="EJ46" s="231">
        <v>771791.61</v>
      </c>
      <c r="EK46" s="231">
        <v>271724.2</v>
      </c>
      <c r="EL46" s="228">
        <v>0</v>
      </c>
      <c r="EM46" s="231">
        <v>2951475.29</v>
      </c>
      <c r="EN46" s="231">
        <v>736019.92</v>
      </c>
      <c r="EO46" s="231">
        <v>2215455.37</v>
      </c>
      <c r="EP46" s="229">
        <v>3.01</v>
      </c>
      <c r="EQ46" s="231">
        <v>600889</v>
      </c>
      <c r="ER46" s="231">
        <v>395787</v>
      </c>
      <c r="ES46" s="231">
        <v>987559</v>
      </c>
      <c r="ET46" s="231">
        <v>204305778</v>
      </c>
      <c r="EU46" s="231">
        <v>1984235</v>
      </c>
      <c r="EV46" s="231">
        <v>2120463</v>
      </c>
      <c r="EW46" s="231">
        <v>-136228</v>
      </c>
      <c r="EX46" s="229">
        <v>-6.4199999999999993E-2</v>
      </c>
      <c r="EY46" s="229">
        <v>0.3105</v>
      </c>
    </row>
    <row r="47" spans="1:155" ht="17.25" thickBot="1" x14ac:dyDescent="0.3">
      <c r="A47" s="226">
        <v>45889</v>
      </c>
      <c r="B47" s="227" t="s">
        <v>221</v>
      </c>
      <c r="C47" s="227" t="s">
        <v>296</v>
      </c>
      <c r="D47" s="231">
        <v>1525.1</v>
      </c>
      <c r="E47" s="231">
        <v>1499.2</v>
      </c>
      <c r="F47" s="228">
        <v>25.9</v>
      </c>
      <c r="G47" s="229">
        <v>1.7299999999999999E-2</v>
      </c>
      <c r="H47" s="231">
        <v>1524.1</v>
      </c>
      <c r="I47" s="231">
        <v>1496.7</v>
      </c>
      <c r="J47" s="228">
        <v>27.4</v>
      </c>
      <c r="K47" s="229">
        <v>1.83E-2</v>
      </c>
      <c r="L47" s="231">
        <v>1525.1</v>
      </c>
      <c r="M47" s="231">
        <v>1499.2</v>
      </c>
      <c r="N47" s="228">
        <v>25.9</v>
      </c>
      <c r="O47" s="229">
        <v>1.7299999999999999E-2</v>
      </c>
      <c r="P47" s="231">
        <v>1533.4</v>
      </c>
      <c r="Q47" s="231">
        <v>1508.4</v>
      </c>
      <c r="R47" s="228">
        <v>25</v>
      </c>
      <c r="S47" s="229">
        <v>1.66E-2</v>
      </c>
      <c r="T47" s="231">
        <v>1535.5</v>
      </c>
      <c r="U47" s="231">
        <v>1512</v>
      </c>
      <c r="V47" s="228">
        <v>23.5</v>
      </c>
      <c r="W47" s="229">
        <v>1.55E-2</v>
      </c>
      <c r="X47" s="228">
        <v>1</v>
      </c>
      <c r="Y47" s="228">
        <v>2.5</v>
      </c>
      <c r="Z47" s="228">
        <v>-1.5</v>
      </c>
      <c r="AA47" s="229">
        <v>6.9999999999999999E-4</v>
      </c>
      <c r="AB47" s="228">
        <v>1</v>
      </c>
      <c r="AC47" s="228">
        <v>2.5</v>
      </c>
      <c r="AD47" s="228">
        <v>-1.5</v>
      </c>
      <c r="AE47" s="229">
        <v>6.9999999999999999E-4</v>
      </c>
      <c r="AF47" s="228">
        <v>9.3000000000000007</v>
      </c>
      <c r="AG47" s="228">
        <v>11.7</v>
      </c>
      <c r="AH47" s="228">
        <v>-2.4</v>
      </c>
      <c r="AI47" s="229">
        <v>6.1000000000000004E-3</v>
      </c>
      <c r="AJ47" s="228">
        <v>11.4</v>
      </c>
      <c r="AK47" s="228">
        <v>15.3</v>
      </c>
      <c r="AL47" s="228">
        <v>-3.9</v>
      </c>
      <c r="AM47" s="229">
        <v>7.4999999999999997E-3</v>
      </c>
      <c r="AN47" s="231">
        <v>1517.22</v>
      </c>
      <c r="AO47" s="231">
        <v>1525.19</v>
      </c>
      <c r="AP47" s="228">
        <v>0</v>
      </c>
      <c r="AQ47" s="230">
        <v>6801</v>
      </c>
      <c r="AR47" s="230">
        <v>4328</v>
      </c>
      <c r="AS47" s="230">
        <v>2473</v>
      </c>
      <c r="AT47" s="229">
        <v>0.57140000000000002</v>
      </c>
      <c r="AU47" s="230">
        <v>5535</v>
      </c>
      <c r="AV47" s="230">
        <v>3704</v>
      </c>
      <c r="AW47" s="230">
        <v>1831</v>
      </c>
      <c r="AX47" s="229">
        <v>0.49430000000000002</v>
      </c>
      <c r="AY47" s="230">
        <v>1243</v>
      </c>
      <c r="AZ47" s="228">
        <v>604</v>
      </c>
      <c r="BA47" s="228">
        <v>639</v>
      </c>
      <c r="BB47" s="229">
        <v>1.0579000000000001</v>
      </c>
      <c r="BC47" s="228">
        <v>23</v>
      </c>
      <c r="BD47" s="228">
        <v>20</v>
      </c>
      <c r="BE47" s="228">
        <v>3</v>
      </c>
      <c r="BF47" s="229">
        <v>0.15</v>
      </c>
      <c r="BG47" s="230">
        <v>25947</v>
      </c>
      <c r="BH47" s="230">
        <v>12995</v>
      </c>
      <c r="BI47" s="230">
        <v>12952</v>
      </c>
      <c r="BJ47" s="229">
        <v>0.99670000000000003</v>
      </c>
      <c r="BK47" s="230">
        <v>12827</v>
      </c>
      <c r="BL47" s="230">
        <v>6779</v>
      </c>
      <c r="BM47" s="230">
        <v>6048</v>
      </c>
      <c r="BN47" s="229">
        <v>0.89219999999999999</v>
      </c>
      <c r="BO47" s="230">
        <v>45575</v>
      </c>
      <c r="BP47" s="230">
        <v>24102</v>
      </c>
      <c r="BQ47" s="230">
        <v>21473</v>
      </c>
      <c r="BR47" s="229">
        <v>0.89090000000000003</v>
      </c>
      <c r="BS47" s="230">
        <v>2356964</v>
      </c>
      <c r="BT47" s="230">
        <v>1833208</v>
      </c>
      <c r="BU47" s="230">
        <v>523756</v>
      </c>
      <c r="BV47" s="229">
        <v>0.28570000000000001</v>
      </c>
      <c r="BW47" s="230">
        <v>15979200</v>
      </c>
      <c r="BX47" s="230">
        <v>16588800</v>
      </c>
      <c r="BY47" s="230">
        <v>-609600</v>
      </c>
      <c r="BZ47" s="229">
        <v>-3.6700000000000003E-2</v>
      </c>
      <c r="CA47" s="230">
        <v>14605200</v>
      </c>
      <c r="CB47" s="230">
        <v>15311400</v>
      </c>
      <c r="CC47" s="230">
        <v>-706200</v>
      </c>
      <c r="CD47" s="229">
        <v>-4.6100000000000002E-2</v>
      </c>
      <c r="CE47" s="230">
        <v>1333800</v>
      </c>
      <c r="CF47" s="230">
        <v>1237200</v>
      </c>
      <c r="CG47" s="230">
        <v>96600</v>
      </c>
      <c r="CH47" s="229">
        <v>7.8100000000000003E-2</v>
      </c>
      <c r="CI47" s="230">
        <v>40200</v>
      </c>
      <c r="CJ47" s="230">
        <v>40200</v>
      </c>
      <c r="CK47" s="228">
        <v>0</v>
      </c>
      <c r="CL47" s="229">
        <v>0</v>
      </c>
      <c r="CM47" s="230">
        <v>6244800</v>
      </c>
      <c r="CN47" s="230">
        <v>6412800</v>
      </c>
      <c r="CO47" s="230">
        <v>-168000</v>
      </c>
      <c r="CP47" s="229">
        <v>-2.6200000000000001E-2</v>
      </c>
      <c r="CQ47" s="230">
        <v>5643600</v>
      </c>
      <c r="CR47" s="230">
        <v>5358600</v>
      </c>
      <c r="CS47" s="230">
        <v>285000</v>
      </c>
      <c r="CT47" s="229">
        <v>5.3199999999999997E-2</v>
      </c>
      <c r="CU47" s="230">
        <v>27867600</v>
      </c>
      <c r="CV47" s="230">
        <v>28360200</v>
      </c>
      <c r="CW47" s="230">
        <v>-492600</v>
      </c>
      <c r="CX47" s="229">
        <v>-1.7399999999999999E-2</v>
      </c>
      <c r="CY47" s="228">
        <v>23.54</v>
      </c>
      <c r="CZ47" s="228">
        <v>23.87</v>
      </c>
      <c r="DA47" s="228">
        <v>-0.33</v>
      </c>
      <c r="DB47" s="228">
        <v>-0.33</v>
      </c>
      <c r="DC47" s="228">
        <v>31</v>
      </c>
      <c r="DD47" s="228">
        <v>30.98</v>
      </c>
      <c r="DE47" s="228">
        <v>-7.46</v>
      </c>
      <c r="DF47" s="228">
        <v>0.02</v>
      </c>
      <c r="DG47" s="228">
        <v>23</v>
      </c>
      <c r="DH47" s="228">
        <v>23.65</v>
      </c>
      <c r="DI47" s="228">
        <v>-0.65</v>
      </c>
      <c r="DJ47" s="228">
        <v>-0.65</v>
      </c>
      <c r="DK47" s="228">
        <v>24.63</v>
      </c>
      <c r="DL47" s="228">
        <v>24.31</v>
      </c>
      <c r="DM47" s="228">
        <v>0.32</v>
      </c>
      <c r="DN47" s="228">
        <v>0.32</v>
      </c>
      <c r="DO47" s="228">
        <v>0.9</v>
      </c>
      <c r="DP47" s="228">
        <v>0.84</v>
      </c>
      <c r="DQ47" s="228">
        <v>0.06</v>
      </c>
      <c r="DR47" s="229">
        <v>7.1400000000000005E-2</v>
      </c>
      <c r="DS47" s="231">
        <v>1600</v>
      </c>
      <c r="DT47" s="231">
        <v>1500</v>
      </c>
      <c r="DU47" s="228">
        <v>0.49</v>
      </c>
      <c r="DV47" s="228">
        <v>0.52</v>
      </c>
      <c r="DW47" s="228">
        <v>-0.03</v>
      </c>
      <c r="DX47" s="229">
        <v>-5.7700000000000001E-2</v>
      </c>
      <c r="DY47" s="229">
        <v>8.5999999999999993E-2</v>
      </c>
      <c r="DZ47" s="230">
        <v>1277400</v>
      </c>
      <c r="EA47" s="229">
        <v>5.4000000000000003E-3</v>
      </c>
      <c r="EB47" s="229">
        <v>8.5999999999999993E-2</v>
      </c>
      <c r="EC47" s="228">
        <v>7.97</v>
      </c>
      <c r="ED47" s="229">
        <v>5.3E-3</v>
      </c>
      <c r="EE47" s="230">
        <v>1490412</v>
      </c>
      <c r="EF47" s="230">
        <v>1202445</v>
      </c>
      <c r="EG47" s="229">
        <v>0.23949999999999999</v>
      </c>
      <c r="EH47" s="229">
        <v>0.63229999999999997</v>
      </c>
      <c r="EI47" s="231">
        <v>241414.69</v>
      </c>
      <c r="EJ47" s="231">
        <v>115010.73</v>
      </c>
      <c r="EK47" s="231">
        <v>61973.2</v>
      </c>
      <c r="EL47" s="228">
        <v>0</v>
      </c>
      <c r="EM47" s="231">
        <v>418398.62</v>
      </c>
      <c r="EN47" s="231">
        <v>217955.33</v>
      </c>
      <c r="EO47" s="231">
        <v>200443.29</v>
      </c>
      <c r="EP47" s="229">
        <v>0.91969999999999996</v>
      </c>
      <c r="EQ47" s="231">
        <v>98130</v>
      </c>
      <c r="ER47" s="231">
        <v>81784</v>
      </c>
      <c r="ES47" s="231">
        <v>243814</v>
      </c>
      <c r="ET47" s="231">
        <v>127301710</v>
      </c>
      <c r="EU47" s="231">
        <v>423727</v>
      </c>
      <c r="EV47" s="231">
        <v>426644</v>
      </c>
      <c r="EW47" s="231">
        <v>-2917</v>
      </c>
      <c r="EX47" s="229">
        <v>-6.7999999999999996E-3</v>
      </c>
      <c r="EY47" s="229">
        <v>0.21890000000000001</v>
      </c>
    </row>
    <row r="48" spans="1:155" ht="17.25" thickBot="1" x14ac:dyDescent="0.3">
      <c r="A48" s="226">
        <v>45889</v>
      </c>
      <c r="B48" s="227" t="s">
        <v>168</v>
      </c>
      <c r="C48" s="227" t="s">
        <v>297</v>
      </c>
      <c r="D48" s="231">
        <v>3603.7</v>
      </c>
      <c r="E48" s="231">
        <v>3573.8</v>
      </c>
      <c r="F48" s="228">
        <v>29.9</v>
      </c>
      <c r="G48" s="229">
        <v>8.3999999999999995E-3</v>
      </c>
      <c r="H48" s="231">
        <v>3595</v>
      </c>
      <c r="I48" s="231">
        <v>3568.1</v>
      </c>
      <c r="J48" s="228">
        <v>26.9</v>
      </c>
      <c r="K48" s="229">
        <v>7.4999999999999997E-3</v>
      </c>
      <c r="L48" s="231">
        <v>3603.7</v>
      </c>
      <c r="M48" s="231">
        <v>3573.8</v>
      </c>
      <c r="N48" s="228">
        <v>29.9</v>
      </c>
      <c r="O48" s="229">
        <v>8.3999999999999995E-3</v>
      </c>
      <c r="P48" s="231">
        <v>3624.6</v>
      </c>
      <c r="Q48" s="231">
        <v>3594.3</v>
      </c>
      <c r="R48" s="228">
        <v>30.3</v>
      </c>
      <c r="S48" s="229">
        <v>8.3999999999999995E-3</v>
      </c>
      <c r="T48" s="231">
        <v>3640.7</v>
      </c>
      <c r="U48" s="231">
        <v>3613.3</v>
      </c>
      <c r="V48" s="228">
        <v>27.4</v>
      </c>
      <c r="W48" s="229">
        <v>7.6E-3</v>
      </c>
      <c r="X48" s="228">
        <v>8.6999999999999993</v>
      </c>
      <c r="Y48" s="228">
        <v>5.7</v>
      </c>
      <c r="Z48" s="228">
        <v>3</v>
      </c>
      <c r="AA48" s="229">
        <v>2.3999999999999998E-3</v>
      </c>
      <c r="AB48" s="228">
        <v>8.6999999999999993</v>
      </c>
      <c r="AC48" s="228">
        <v>5.7</v>
      </c>
      <c r="AD48" s="228">
        <v>3</v>
      </c>
      <c r="AE48" s="229">
        <v>2.3999999999999998E-3</v>
      </c>
      <c r="AF48" s="228">
        <v>29.6</v>
      </c>
      <c r="AG48" s="228">
        <v>26.2</v>
      </c>
      <c r="AH48" s="228">
        <v>3.4</v>
      </c>
      <c r="AI48" s="229">
        <v>8.2000000000000007E-3</v>
      </c>
      <c r="AJ48" s="228">
        <v>45.7</v>
      </c>
      <c r="AK48" s="228">
        <v>45.2</v>
      </c>
      <c r="AL48" s="228">
        <v>0.5</v>
      </c>
      <c r="AM48" s="229">
        <v>1.2699999999999999E-2</v>
      </c>
      <c r="AN48" s="231">
        <v>3591.45</v>
      </c>
      <c r="AO48" s="231">
        <v>3616.89</v>
      </c>
      <c r="AP48" s="228">
        <v>0</v>
      </c>
      <c r="AQ48" s="230">
        <v>7697</v>
      </c>
      <c r="AR48" s="230">
        <v>5401</v>
      </c>
      <c r="AS48" s="230">
        <v>2296</v>
      </c>
      <c r="AT48" s="229">
        <v>0.42509999999999998</v>
      </c>
      <c r="AU48" s="230">
        <v>5862</v>
      </c>
      <c r="AV48" s="230">
        <v>4691</v>
      </c>
      <c r="AW48" s="230">
        <v>1171</v>
      </c>
      <c r="AX48" s="229">
        <v>0.24959999999999999</v>
      </c>
      <c r="AY48" s="230">
        <v>1800</v>
      </c>
      <c r="AZ48" s="228">
        <v>678</v>
      </c>
      <c r="BA48" s="230">
        <v>1122</v>
      </c>
      <c r="BB48" s="229">
        <v>1.6549</v>
      </c>
      <c r="BC48" s="228">
        <v>35</v>
      </c>
      <c r="BD48" s="228">
        <v>32</v>
      </c>
      <c r="BE48" s="228">
        <v>3</v>
      </c>
      <c r="BF48" s="229">
        <v>9.3799999999999994E-2</v>
      </c>
      <c r="BG48" s="230">
        <v>38650</v>
      </c>
      <c r="BH48" s="230">
        <v>27763</v>
      </c>
      <c r="BI48" s="230">
        <v>10887</v>
      </c>
      <c r="BJ48" s="229">
        <v>0.3921</v>
      </c>
      <c r="BK48" s="230">
        <v>17661</v>
      </c>
      <c r="BL48" s="230">
        <v>15393</v>
      </c>
      <c r="BM48" s="230">
        <v>2268</v>
      </c>
      <c r="BN48" s="229">
        <v>0.14729999999999999</v>
      </c>
      <c r="BO48" s="230">
        <v>64008</v>
      </c>
      <c r="BP48" s="230">
        <v>48557</v>
      </c>
      <c r="BQ48" s="230">
        <v>15451</v>
      </c>
      <c r="BR48" s="229">
        <v>0.31819999999999998</v>
      </c>
      <c r="BS48" s="230">
        <v>546617</v>
      </c>
      <c r="BT48" s="230">
        <v>551821</v>
      </c>
      <c r="BU48" s="230">
        <v>-5204</v>
      </c>
      <c r="BV48" s="229">
        <v>-9.4000000000000004E-3</v>
      </c>
      <c r="BW48" s="230">
        <v>10059525</v>
      </c>
      <c r="BX48" s="230">
        <v>9938600</v>
      </c>
      <c r="BY48" s="230">
        <v>120925</v>
      </c>
      <c r="BZ48" s="229">
        <v>1.2200000000000001E-2</v>
      </c>
      <c r="CA48" s="230">
        <v>9280425</v>
      </c>
      <c r="CB48" s="230">
        <v>9335025</v>
      </c>
      <c r="CC48" s="230">
        <v>-54600</v>
      </c>
      <c r="CD48" s="229">
        <v>-5.7999999999999996E-3</v>
      </c>
      <c r="CE48" s="230">
        <v>758800</v>
      </c>
      <c r="CF48" s="230">
        <v>584150</v>
      </c>
      <c r="CG48" s="230">
        <v>174650</v>
      </c>
      <c r="CH48" s="229">
        <v>0.29899999999999999</v>
      </c>
      <c r="CI48" s="230">
        <v>20300</v>
      </c>
      <c r="CJ48" s="230">
        <v>19425</v>
      </c>
      <c r="CK48" s="228">
        <v>875</v>
      </c>
      <c r="CL48" s="229">
        <v>4.4999999999999998E-2</v>
      </c>
      <c r="CM48" s="230">
        <v>2452450</v>
      </c>
      <c r="CN48" s="230">
        <v>2676800</v>
      </c>
      <c r="CO48" s="230">
        <v>-224350</v>
      </c>
      <c r="CP48" s="229">
        <v>-8.3799999999999999E-2</v>
      </c>
      <c r="CQ48" s="230">
        <v>2399775</v>
      </c>
      <c r="CR48" s="230">
        <v>2135000</v>
      </c>
      <c r="CS48" s="230">
        <v>264775</v>
      </c>
      <c r="CT48" s="229">
        <v>0.124</v>
      </c>
      <c r="CU48" s="230">
        <v>14911750</v>
      </c>
      <c r="CV48" s="230">
        <v>14750400</v>
      </c>
      <c r="CW48" s="230">
        <v>161350</v>
      </c>
      <c r="CX48" s="229">
        <v>1.09E-2</v>
      </c>
      <c r="CY48" s="228">
        <v>17.350000000000001</v>
      </c>
      <c r="CZ48" s="228">
        <v>17.27</v>
      </c>
      <c r="DA48" s="228">
        <v>0.08</v>
      </c>
      <c r="DB48" s="228">
        <v>0.08</v>
      </c>
      <c r="DC48" s="228">
        <v>26.8</v>
      </c>
      <c r="DD48" s="228">
        <v>26.84</v>
      </c>
      <c r="DE48" s="228">
        <v>-9.4499999999999993</v>
      </c>
      <c r="DF48" s="228">
        <v>-0.04</v>
      </c>
      <c r="DG48" s="228">
        <v>16.489999999999998</v>
      </c>
      <c r="DH48" s="228">
        <v>16.670000000000002</v>
      </c>
      <c r="DI48" s="228">
        <v>-0.18</v>
      </c>
      <c r="DJ48" s="228">
        <v>-0.18</v>
      </c>
      <c r="DK48" s="228">
        <v>19.23</v>
      </c>
      <c r="DL48" s="228">
        <v>18.350000000000001</v>
      </c>
      <c r="DM48" s="228">
        <v>0.88</v>
      </c>
      <c r="DN48" s="228">
        <v>0.88</v>
      </c>
      <c r="DO48" s="228">
        <v>0.98</v>
      </c>
      <c r="DP48" s="228">
        <v>0.8</v>
      </c>
      <c r="DQ48" s="228">
        <v>0.18</v>
      </c>
      <c r="DR48" s="229">
        <v>0.22500000000000001</v>
      </c>
      <c r="DS48" s="231">
        <v>3600</v>
      </c>
      <c r="DT48" s="231">
        <v>3500</v>
      </c>
      <c r="DU48" s="228">
        <v>0.46</v>
      </c>
      <c r="DV48" s="228">
        <v>0.55000000000000004</v>
      </c>
      <c r="DW48" s="228">
        <v>-0.09</v>
      </c>
      <c r="DX48" s="229">
        <v>-0.1636</v>
      </c>
      <c r="DY48" s="229">
        <v>7.7399999999999997E-2</v>
      </c>
      <c r="DZ48" s="230">
        <v>603575</v>
      </c>
      <c r="EA48" s="229">
        <v>5.7999999999999996E-3</v>
      </c>
      <c r="EB48" s="229">
        <v>7.7399999999999997E-2</v>
      </c>
      <c r="EC48" s="228">
        <v>25.44</v>
      </c>
      <c r="ED48" s="229">
        <v>7.1000000000000004E-3</v>
      </c>
      <c r="EE48" s="230">
        <v>326264</v>
      </c>
      <c r="EF48" s="230">
        <v>294508</v>
      </c>
      <c r="EG48" s="229">
        <v>0.10780000000000001</v>
      </c>
      <c r="EH48" s="229">
        <v>0.59689999999999999</v>
      </c>
      <c r="EI48" s="231">
        <v>247189.62</v>
      </c>
      <c r="EJ48" s="231">
        <v>108634.4</v>
      </c>
      <c r="EK48" s="231">
        <v>48458.31</v>
      </c>
      <c r="EL48" s="228">
        <v>0</v>
      </c>
      <c r="EM48" s="231">
        <v>404282.33</v>
      </c>
      <c r="EN48" s="231">
        <v>304671.59000000003</v>
      </c>
      <c r="EO48" s="231">
        <v>99610.74</v>
      </c>
      <c r="EP48" s="229">
        <v>0.32690000000000002</v>
      </c>
      <c r="EQ48" s="231">
        <v>88585</v>
      </c>
      <c r="ER48" s="231">
        <v>81689</v>
      </c>
      <c r="ES48" s="231">
        <v>362681</v>
      </c>
      <c r="ET48" s="231">
        <v>83488668</v>
      </c>
      <c r="EU48" s="231">
        <v>532955</v>
      </c>
      <c r="EV48" s="231">
        <v>524043</v>
      </c>
      <c r="EW48" s="231">
        <v>8912</v>
      </c>
      <c r="EX48" s="229">
        <v>1.7000000000000001E-2</v>
      </c>
      <c r="EY48" s="229">
        <v>0.17860000000000001</v>
      </c>
    </row>
    <row r="49" spans="1:155" ht="17.25" thickBot="1" x14ac:dyDescent="0.3">
      <c r="A49" s="226">
        <v>45889</v>
      </c>
      <c r="B49" s="227" t="s">
        <v>197</v>
      </c>
      <c r="C49" s="227" t="s">
        <v>482</v>
      </c>
      <c r="D49" s="231">
        <v>5468</v>
      </c>
      <c r="E49" s="231">
        <v>5514.5</v>
      </c>
      <c r="F49" s="228">
        <v>-46.5</v>
      </c>
      <c r="G49" s="229">
        <v>-8.3999999999999995E-3</v>
      </c>
      <c r="H49" s="231">
        <v>5453</v>
      </c>
      <c r="I49" s="231">
        <v>5496</v>
      </c>
      <c r="J49" s="228">
        <v>-43</v>
      </c>
      <c r="K49" s="229">
        <v>-7.7999999999999996E-3</v>
      </c>
      <c r="L49" s="231">
        <v>5468</v>
      </c>
      <c r="M49" s="231">
        <v>5514.5</v>
      </c>
      <c r="N49" s="228">
        <v>-46.5</v>
      </c>
      <c r="O49" s="229">
        <v>-8.3999999999999995E-3</v>
      </c>
      <c r="P49" s="231">
        <v>5497</v>
      </c>
      <c r="Q49" s="231">
        <v>5543.5</v>
      </c>
      <c r="R49" s="228">
        <v>-46.5</v>
      </c>
      <c r="S49" s="229">
        <v>-8.3999999999999995E-3</v>
      </c>
      <c r="T49" s="231">
        <v>5528.5</v>
      </c>
      <c r="U49" s="231">
        <v>5572</v>
      </c>
      <c r="V49" s="228">
        <v>-43.5</v>
      </c>
      <c r="W49" s="229">
        <v>-7.7999999999999996E-3</v>
      </c>
      <c r="X49" s="228">
        <v>15</v>
      </c>
      <c r="Y49" s="228">
        <v>18.5</v>
      </c>
      <c r="Z49" s="228">
        <v>-3.5</v>
      </c>
      <c r="AA49" s="229">
        <v>2.8E-3</v>
      </c>
      <c r="AB49" s="228">
        <v>15</v>
      </c>
      <c r="AC49" s="228">
        <v>18.5</v>
      </c>
      <c r="AD49" s="228">
        <v>-3.5</v>
      </c>
      <c r="AE49" s="229">
        <v>2.8E-3</v>
      </c>
      <c r="AF49" s="228">
        <v>44</v>
      </c>
      <c r="AG49" s="228">
        <v>47.5</v>
      </c>
      <c r="AH49" s="228">
        <v>-3.5</v>
      </c>
      <c r="AI49" s="229">
        <v>8.0999999999999996E-3</v>
      </c>
      <c r="AJ49" s="228">
        <v>75.5</v>
      </c>
      <c r="AK49" s="228">
        <v>76</v>
      </c>
      <c r="AL49" s="228">
        <v>-0.5</v>
      </c>
      <c r="AM49" s="229">
        <v>1.38E-2</v>
      </c>
      <c r="AN49" s="231">
        <v>5467</v>
      </c>
      <c r="AO49" s="231">
        <v>5494.82</v>
      </c>
      <c r="AP49" s="228">
        <v>0</v>
      </c>
      <c r="AQ49" s="230">
        <v>7803</v>
      </c>
      <c r="AR49" s="230">
        <v>7319</v>
      </c>
      <c r="AS49" s="228">
        <v>484</v>
      </c>
      <c r="AT49" s="229">
        <v>6.6100000000000006E-2</v>
      </c>
      <c r="AU49" s="230">
        <v>4848</v>
      </c>
      <c r="AV49" s="230">
        <v>6030</v>
      </c>
      <c r="AW49" s="230">
        <v>-1182</v>
      </c>
      <c r="AX49" s="229">
        <v>-0.19600000000000001</v>
      </c>
      <c r="AY49" s="230">
        <v>2839</v>
      </c>
      <c r="AZ49" s="230">
        <v>1171</v>
      </c>
      <c r="BA49" s="230">
        <v>1668</v>
      </c>
      <c r="BB49" s="229">
        <v>1.4244000000000001</v>
      </c>
      <c r="BC49" s="228">
        <v>116</v>
      </c>
      <c r="BD49" s="228">
        <v>118</v>
      </c>
      <c r="BE49" s="228">
        <v>-2</v>
      </c>
      <c r="BF49" s="229">
        <v>-1.6899999999999998E-2</v>
      </c>
      <c r="BG49" s="230">
        <v>40533</v>
      </c>
      <c r="BH49" s="230">
        <v>47962</v>
      </c>
      <c r="BI49" s="230">
        <v>-7429</v>
      </c>
      <c r="BJ49" s="229">
        <v>-0.15490000000000001</v>
      </c>
      <c r="BK49" s="230">
        <v>22173</v>
      </c>
      <c r="BL49" s="230">
        <v>24086</v>
      </c>
      <c r="BM49" s="230">
        <v>-1913</v>
      </c>
      <c r="BN49" s="229">
        <v>-7.9399999999999998E-2</v>
      </c>
      <c r="BO49" s="230">
        <v>70509</v>
      </c>
      <c r="BP49" s="230">
        <v>79367</v>
      </c>
      <c r="BQ49" s="230">
        <v>-8858</v>
      </c>
      <c r="BR49" s="229">
        <v>-0.1116</v>
      </c>
      <c r="BS49" s="230">
        <v>659757</v>
      </c>
      <c r="BT49" s="230">
        <v>580581</v>
      </c>
      <c r="BU49" s="230">
        <v>79176</v>
      </c>
      <c r="BV49" s="229">
        <v>0.13639999999999999</v>
      </c>
      <c r="BW49" s="230">
        <v>6372000</v>
      </c>
      <c r="BX49" s="230">
        <v>6232000</v>
      </c>
      <c r="BY49" s="230">
        <v>140000</v>
      </c>
      <c r="BZ49" s="229">
        <v>2.2499999999999999E-2</v>
      </c>
      <c r="CA49" s="230">
        <v>5820300</v>
      </c>
      <c r="CB49" s="230">
        <v>5874800</v>
      </c>
      <c r="CC49" s="230">
        <v>-54500</v>
      </c>
      <c r="CD49" s="229">
        <v>-9.2999999999999992E-3</v>
      </c>
      <c r="CE49" s="230">
        <v>517700</v>
      </c>
      <c r="CF49" s="230">
        <v>329200</v>
      </c>
      <c r="CG49" s="230">
        <v>188500</v>
      </c>
      <c r="CH49" s="229">
        <v>0.5726</v>
      </c>
      <c r="CI49" s="230">
        <v>34000</v>
      </c>
      <c r="CJ49" s="230">
        <v>28000</v>
      </c>
      <c r="CK49" s="230">
        <v>6000</v>
      </c>
      <c r="CL49" s="229">
        <v>0.21429999999999999</v>
      </c>
      <c r="CM49" s="230">
        <v>3066200</v>
      </c>
      <c r="CN49" s="230">
        <v>2907500</v>
      </c>
      <c r="CO49" s="230">
        <v>158700</v>
      </c>
      <c r="CP49" s="229">
        <v>5.4600000000000003E-2</v>
      </c>
      <c r="CQ49" s="230">
        <v>1665500</v>
      </c>
      <c r="CR49" s="230">
        <v>1655300</v>
      </c>
      <c r="CS49" s="230">
        <v>10200</v>
      </c>
      <c r="CT49" s="229">
        <v>6.1999999999999998E-3</v>
      </c>
      <c r="CU49" s="230">
        <v>11103700</v>
      </c>
      <c r="CV49" s="230">
        <v>10794800</v>
      </c>
      <c r="CW49" s="230">
        <v>308900</v>
      </c>
      <c r="CX49" s="229">
        <v>2.86E-2</v>
      </c>
      <c r="CY49" s="228">
        <v>30.98</v>
      </c>
      <c r="CZ49" s="228">
        <v>29.6</v>
      </c>
      <c r="DA49" s="228">
        <v>1.38</v>
      </c>
      <c r="DB49" s="228">
        <v>1.38</v>
      </c>
      <c r="DC49" s="228">
        <v>47.83</v>
      </c>
      <c r="DD49" s="228">
        <v>47.94</v>
      </c>
      <c r="DE49" s="228">
        <v>-16.850000000000001</v>
      </c>
      <c r="DF49" s="228">
        <v>-0.11</v>
      </c>
      <c r="DG49" s="228">
        <v>31.01</v>
      </c>
      <c r="DH49" s="228">
        <v>29.81</v>
      </c>
      <c r="DI49" s="228">
        <v>1.2</v>
      </c>
      <c r="DJ49" s="228">
        <v>1.2</v>
      </c>
      <c r="DK49" s="228">
        <v>30.91</v>
      </c>
      <c r="DL49" s="228">
        <v>29.18</v>
      </c>
      <c r="DM49" s="228">
        <v>1.73</v>
      </c>
      <c r="DN49" s="228">
        <v>1.73</v>
      </c>
      <c r="DO49" s="228">
        <v>0.54</v>
      </c>
      <c r="DP49" s="228">
        <v>0.56999999999999995</v>
      </c>
      <c r="DQ49" s="228">
        <v>-0.03</v>
      </c>
      <c r="DR49" s="229">
        <v>-5.2600000000000001E-2</v>
      </c>
      <c r="DS49" s="231">
        <v>6000</v>
      </c>
      <c r="DT49" s="231">
        <v>5000</v>
      </c>
      <c r="DU49" s="228">
        <v>0.55000000000000004</v>
      </c>
      <c r="DV49" s="228">
        <v>0.5</v>
      </c>
      <c r="DW49" s="228">
        <v>0.05</v>
      </c>
      <c r="DX49" s="229">
        <v>0.1</v>
      </c>
      <c r="DY49" s="229">
        <v>8.6599999999999996E-2</v>
      </c>
      <c r="DZ49" s="230">
        <v>357200</v>
      </c>
      <c r="EA49" s="229">
        <v>5.3E-3</v>
      </c>
      <c r="EB49" s="229">
        <v>8.6599999999999996E-2</v>
      </c>
      <c r="EC49" s="228">
        <v>27.82</v>
      </c>
      <c r="ED49" s="229">
        <v>5.1000000000000004E-3</v>
      </c>
      <c r="EE49" s="230">
        <v>400861</v>
      </c>
      <c r="EF49" s="230">
        <v>239166</v>
      </c>
      <c r="EG49" s="229">
        <v>0.67610000000000003</v>
      </c>
      <c r="EH49" s="229">
        <v>0.60760000000000003</v>
      </c>
      <c r="EI49" s="231">
        <v>232999.05</v>
      </c>
      <c r="EJ49" s="231">
        <v>119296.2</v>
      </c>
      <c r="EK49" s="231">
        <v>42744.72</v>
      </c>
      <c r="EL49" s="228">
        <v>0</v>
      </c>
      <c r="EM49" s="231">
        <v>395039.97</v>
      </c>
      <c r="EN49" s="231">
        <v>447900.7</v>
      </c>
      <c r="EO49" s="231">
        <v>-52860.73</v>
      </c>
      <c r="EP49" s="229">
        <v>-0.11799999999999999</v>
      </c>
      <c r="EQ49" s="231">
        <v>174513</v>
      </c>
      <c r="ER49" s="231">
        <v>86663</v>
      </c>
      <c r="ES49" s="231">
        <v>348592</v>
      </c>
      <c r="ET49" s="231">
        <v>44787316</v>
      </c>
      <c r="EU49" s="231">
        <v>609768</v>
      </c>
      <c r="EV49" s="231">
        <v>595528</v>
      </c>
      <c r="EW49" s="231">
        <v>14240</v>
      </c>
      <c r="EX49" s="229">
        <v>2.3900000000000001E-2</v>
      </c>
      <c r="EY49" s="229">
        <v>0.24790000000000001</v>
      </c>
    </row>
    <row r="50" spans="1:155" ht="17.25" thickBot="1" x14ac:dyDescent="0.3">
      <c r="A50" s="226">
        <v>45889</v>
      </c>
      <c r="B50" s="227" t="s">
        <v>157</v>
      </c>
      <c r="C50" s="227" t="s">
        <v>302</v>
      </c>
      <c r="D50" s="231">
        <v>12904</v>
      </c>
      <c r="E50" s="231">
        <v>12870</v>
      </c>
      <c r="F50" s="228">
        <v>34</v>
      </c>
      <c r="G50" s="229">
        <v>2.5999999999999999E-3</v>
      </c>
      <c r="H50" s="231">
        <v>12874</v>
      </c>
      <c r="I50" s="231">
        <v>12863</v>
      </c>
      <c r="J50" s="228">
        <v>11</v>
      </c>
      <c r="K50" s="229">
        <v>8.9999999999999998E-4</v>
      </c>
      <c r="L50" s="231">
        <v>12904</v>
      </c>
      <c r="M50" s="231">
        <v>12870</v>
      </c>
      <c r="N50" s="228">
        <v>34</v>
      </c>
      <c r="O50" s="229">
        <v>2.5999999999999999E-3</v>
      </c>
      <c r="P50" s="231">
        <v>12980</v>
      </c>
      <c r="Q50" s="231">
        <v>12941</v>
      </c>
      <c r="R50" s="228">
        <v>39</v>
      </c>
      <c r="S50" s="229">
        <v>3.0000000000000001E-3</v>
      </c>
      <c r="T50" s="231">
        <v>13045</v>
      </c>
      <c r="U50" s="231">
        <v>13001</v>
      </c>
      <c r="V50" s="228">
        <v>44</v>
      </c>
      <c r="W50" s="229">
        <v>3.3999999999999998E-3</v>
      </c>
      <c r="X50" s="228">
        <v>30</v>
      </c>
      <c r="Y50" s="228">
        <v>7</v>
      </c>
      <c r="Z50" s="228">
        <v>23</v>
      </c>
      <c r="AA50" s="229">
        <v>2.3E-3</v>
      </c>
      <c r="AB50" s="228">
        <v>30</v>
      </c>
      <c r="AC50" s="228">
        <v>7</v>
      </c>
      <c r="AD50" s="228">
        <v>23</v>
      </c>
      <c r="AE50" s="229">
        <v>2.3E-3</v>
      </c>
      <c r="AF50" s="228">
        <v>106</v>
      </c>
      <c r="AG50" s="228">
        <v>78</v>
      </c>
      <c r="AH50" s="228">
        <v>28</v>
      </c>
      <c r="AI50" s="229">
        <v>8.2000000000000007E-3</v>
      </c>
      <c r="AJ50" s="228">
        <v>171</v>
      </c>
      <c r="AK50" s="228">
        <v>138</v>
      </c>
      <c r="AL50" s="228">
        <v>33</v>
      </c>
      <c r="AM50" s="229">
        <v>1.3299999999999999E-2</v>
      </c>
      <c r="AN50" s="231">
        <v>12891.98</v>
      </c>
      <c r="AO50" s="231">
        <v>12970.09</v>
      </c>
      <c r="AP50" s="228">
        <v>0</v>
      </c>
      <c r="AQ50" s="230">
        <v>5945</v>
      </c>
      <c r="AR50" s="230">
        <v>7125</v>
      </c>
      <c r="AS50" s="230">
        <v>-1180</v>
      </c>
      <c r="AT50" s="229">
        <v>-0.1656</v>
      </c>
      <c r="AU50" s="230">
        <v>4872</v>
      </c>
      <c r="AV50" s="230">
        <v>6764</v>
      </c>
      <c r="AW50" s="230">
        <v>-1892</v>
      </c>
      <c r="AX50" s="229">
        <v>-0.2797</v>
      </c>
      <c r="AY50" s="230">
        <v>1009</v>
      </c>
      <c r="AZ50" s="228">
        <v>311</v>
      </c>
      <c r="BA50" s="228">
        <v>698</v>
      </c>
      <c r="BB50" s="229">
        <v>2.2444000000000002</v>
      </c>
      <c r="BC50" s="228">
        <v>64</v>
      </c>
      <c r="BD50" s="228">
        <v>50</v>
      </c>
      <c r="BE50" s="228">
        <v>14</v>
      </c>
      <c r="BF50" s="229">
        <v>0.28000000000000003</v>
      </c>
      <c r="BG50" s="230">
        <v>38308</v>
      </c>
      <c r="BH50" s="230">
        <v>60595</v>
      </c>
      <c r="BI50" s="230">
        <v>-22287</v>
      </c>
      <c r="BJ50" s="229">
        <v>-0.36780000000000002</v>
      </c>
      <c r="BK50" s="230">
        <v>17604</v>
      </c>
      <c r="BL50" s="230">
        <v>27927</v>
      </c>
      <c r="BM50" s="230">
        <v>-10323</v>
      </c>
      <c r="BN50" s="229">
        <v>-0.36959999999999998</v>
      </c>
      <c r="BO50" s="230">
        <v>61857</v>
      </c>
      <c r="BP50" s="230">
        <v>95647</v>
      </c>
      <c r="BQ50" s="230">
        <v>-33790</v>
      </c>
      <c r="BR50" s="229">
        <v>-0.3533</v>
      </c>
      <c r="BS50" s="230">
        <v>293908</v>
      </c>
      <c r="BT50" s="230">
        <v>354332</v>
      </c>
      <c r="BU50" s="230">
        <v>-60424</v>
      </c>
      <c r="BV50" s="229">
        <v>-0.17050000000000001</v>
      </c>
      <c r="BW50" s="230">
        <v>2403750</v>
      </c>
      <c r="BX50" s="230">
        <v>2414300</v>
      </c>
      <c r="BY50" s="230">
        <v>-10550</v>
      </c>
      <c r="BZ50" s="229">
        <v>-4.4000000000000003E-3</v>
      </c>
      <c r="CA50" s="230">
        <v>2307300</v>
      </c>
      <c r="CB50" s="230">
        <v>2348900</v>
      </c>
      <c r="CC50" s="230">
        <v>-41600</v>
      </c>
      <c r="CD50" s="229">
        <v>-1.77E-2</v>
      </c>
      <c r="CE50" s="230">
        <v>75000</v>
      </c>
      <c r="CF50" s="230">
        <v>45750</v>
      </c>
      <c r="CG50" s="230">
        <v>29250</v>
      </c>
      <c r="CH50" s="229">
        <v>0.63929999999999998</v>
      </c>
      <c r="CI50" s="230">
        <v>21450</v>
      </c>
      <c r="CJ50" s="230">
        <v>19650</v>
      </c>
      <c r="CK50" s="230">
        <v>1800</v>
      </c>
      <c r="CL50" s="229">
        <v>9.1600000000000001E-2</v>
      </c>
      <c r="CM50" s="230">
        <v>803150</v>
      </c>
      <c r="CN50" s="230">
        <v>840900</v>
      </c>
      <c r="CO50" s="230">
        <v>-37750</v>
      </c>
      <c r="CP50" s="229">
        <v>-4.4900000000000002E-2</v>
      </c>
      <c r="CQ50" s="230">
        <v>540300</v>
      </c>
      <c r="CR50" s="230">
        <v>507000</v>
      </c>
      <c r="CS50" s="230">
        <v>33300</v>
      </c>
      <c r="CT50" s="229">
        <v>6.5699999999999995E-2</v>
      </c>
      <c r="CU50" s="230">
        <v>3747200</v>
      </c>
      <c r="CV50" s="230">
        <v>3762200</v>
      </c>
      <c r="CW50" s="230">
        <v>-15000</v>
      </c>
      <c r="CX50" s="229">
        <v>-4.0000000000000001E-3</v>
      </c>
      <c r="CY50" s="228">
        <v>18.93</v>
      </c>
      <c r="CZ50" s="228">
        <v>19.25</v>
      </c>
      <c r="DA50" s="228">
        <v>-0.32</v>
      </c>
      <c r="DB50" s="228">
        <v>-0.32</v>
      </c>
      <c r="DC50" s="228">
        <v>26.54</v>
      </c>
      <c r="DD50" s="228">
        <v>26.6</v>
      </c>
      <c r="DE50" s="228">
        <v>-7.61</v>
      </c>
      <c r="DF50" s="228">
        <v>-0.06</v>
      </c>
      <c r="DG50" s="228">
        <v>18.72</v>
      </c>
      <c r="DH50" s="228">
        <v>18.940000000000001</v>
      </c>
      <c r="DI50" s="228">
        <v>-0.22</v>
      </c>
      <c r="DJ50" s="228">
        <v>-0.22</v>
      </c>
      <c r="DK50" s="228">
        <v>19.39</v>
      </c>
      <c r="DL50" s="228">
        <v>19.899999999999999</v>
      </c>
      <c r="DM50" s="228">
        <v>-0.51</v>
      </c>
      <c r="DN50" s="228">
        <v>-0.51</v>
      </c>
      <c r="DO50" s="228">
        <v>0.67</v>
      </c>
      <c r="DP50" s="228">
        <v>0.6</v>
      </c>
      <c r="DQ50" s="228">
        <v>7.0000000000000007E-2</v>
      </c>
      <c r="DR50" s="229">
        <v>0.1167</v>
      </c>
      <c r="DS50" s="231">
        <v>13000</v>
      </c>
      <c r="DT50" s="231">
        <v>12800</v>
      </c>
      <c r="DU50" s="228">
        <v>0.46</v>
      </c>
      <c r="DV50" s="228">
        <v>0.46</v>
      </c>
      <c r="DW50" s="228">
        <v>0</v>
      </c>
      <c r="DX50" s="229">
        <v>0</v>
      </c>
      <c r="DY50" s="229">
        <v>4.0099999999999997E-2</v>
      </c>
      <c r="DZ50" s="230">
        <v>65400</v>
      </c>
      <c r="EA50" s="229">
        <v>5.8999999999999999E-3</v>
      </c>
      <c r="EB50" s="229">
        <v>4.0099999999999997E-2</v>
      </c>
      <c r="EC50" s="228">
        <v>78.11</v>
      </c>
      <c r="ED50" s="229">
        <v>6.1000000000000004E-3</v>
      </c>
      <c r="EE50" s="230">
        <v>205408</v>
      </c>
      <c r="EF50" s="230">
        <v>243155</v>
      </c>
      <c r="EG50" s="229">
        <v>-0.1552</v>
      </c>
      <c r="EH50" s="229">
        <v>0.69889999999999997</v>
      </c>
      <c r="EI50" s="231">
        <v>252023.71</v>
      </c>
      <c r="EJ50" s="231">
        <v>112081.59</v>
      </c>
      <c r="EK50" s="231">
        <v>38365.49</v>
      </c>
      <c r="EL50" s="228">
        <v>0</v>
      </c>
      <c r="EM50" s="231">
        <v>402470.79</v>
      </c>
      <c r="EN50" s="231">
        <v>617712.29</v>
      </c>
      <c r="EO50" s="231">
        <v>-215241.5</v>
      </c>
      <c r="EP50" s="229">
        <v>-0.34839999999999999</v>
      </c>
      <c r="EQ50" s="231">
        <v>104304</v>
      </c>
      <c r="ER50" s="231">
        <v>65938</v>
      </c>
      <c r="ES50" s="231">
        <v>310267</v>
      </c>
      <c r="ET50" s="231">
        <v>23924132</v>
      </c>
      <c r="EU50" s="231">
        <v>480509</v>
      </c>
      <c r="EV50" s="231">
        <v>481501</v>
      </c>
      <c r="EW50" s="228">
        <v>-992</v>
      </c>
      <c r="EX50" s="229">
        <v>-2.0999999999999999E-3</v>
      </c>
      <c r="EY50" s="229">
        <v>0.15659999999999999</v>
      </c>
    </row>
    <row r="51" spans="1:155" ht="17.25" thickBot="1" x14ac:dyDescent="0.3">
      <c r="A51" s="226">
        <v>45889</v>
      </c>
      <c r="B51" s="227" t="s">
        <v>221</v>
      </c>
      <c r="C51" s="227" t="s">
        <v>306</v>
      </c>
      <c r="D51" s="228">
        <v>250.69</v>
      </c>
      <c r="E51" s="228">
        <v>245.74</v>
      </c>
      <c r="F51" s="228">
        <v>4.95</v>
      </c>
      <c r="G51" s="229">
        <v>2.01E-2</v>
      </c>
      <c r="H51" s="228">
        <v>250.84</v>
      </c>
      <c r="I51" s="228">
        <v>246.96</v>
      </c>
      <c r="J51" s="228">
        <v>3.88</v>
      </c>
      <c r="K51" s="229">
        <v>1.5699999999999999E-2</v>
      </c>
      <c r="L51" s="228">
        <v>250.69</v>
      </c>
      <c r="M51" s="228">
        <v>245.74</v>
      </c>
      <c r="N51" s="228">
        <v>4.95</v>
      </c>
      <c r="O51" s="229">
        <v>2.01E-2</v>
      </c>
      <c r="P51" s="228">
        <v>250.12</v>
      </c>
      <c r="Q51" s="228">
        <v>245.17</v>
      </c>
      <c r="R51" s="228">
        <v>4.95</v>
      </c>
      <c r="S51" s="229">
        <v>2.0199999999999999E-2</v>
      </c>
      <c r="T51" s="228">
        <v>249.77</v>
      </c>
      <c r="U51" s="228">
        <v>244.85</v>
      </c>
      <c r="V51" s="228">
        <v>4.92</v>
      </c>
      <c r="W51" s="229">
        <v>2.01E-2</v>
      </c>
      <c r="X51" s="228">
        <v>-0.15</v>
      </c>
      <c r="Y51" s="228">
        <v>-1.22</v>
      </c>
      <c r="Z51" s="228">
        <v>1.07</v>
      </c>
      <c r="AA51" s="229">
        <v>-5.9999999999999995E-4</v>
      </c>
      <c r="AB51" s="228">
        <v>-0.15</v>
      </c>
      <c r="AC51" s="228">
        <v>-1.22</v>
      </c>
      <c r="AD51" s="228">
        <v>1.07</v>
      </c>
      <c r="AE51" s="229">
        <v>-5.9999999999999995E-4</v>
      </c>
      <c r="AF51" s="228">
        <v>-0.72</v>
      </c>
      <c r="AG51" s="228">
        <v>-1.79</v>
      </c>
      <c r="AH51" s="228">
        <v>1.07</v>
      </c>
      <c r="AI51" s="229">
        <v>-2.8999999999999998E-3</v>
      </c>
      <c r="AJ51" s="228">
        <v>-1.07</v>
      </c>
      <c r="AK51" s="228">
        <v>-2.11</v>
      </c>
      <c r="AL51" s="228">
        <v>1.04</v>
      </c>
      <c r="AM51" s="229">
        <v>-4.3E-3</v>
      </c>
      <c r="AN51" s="228">
        <v>249.48</v>
      </c>
      <c r="AO51" s="228">
        <v>249.15</v>
      </c>
      <c r="AP51" s="228">
        <v>0</v>
      </c>
      <c r="AQ51" s="230">
        <v>11122</v>
      </c>
      <c r="AR51" s="230">
        <v>4427</v>
      </c>
      <c r="AS51" s="230">
        <v>6695</v>
      </c>
      <c r="AT51" s="229">
        <v>1.5123</v>
      </c>
      <c r="AU51" s="230">
        <v>7293</v>
      </c>
      <c r="AV51" s="230">
        <v>2928</v>
      </c>
      <c r="AW51" s="230">
        <v>4365</v>
      </c>
      <c r="AX51" s="229">
        <v>1.4907999999999999</v>
      </c>
      <c r="AY51" s="230">
        <v>3563</v>
      </c>
      <c r="AZ51" s="230">
        <v>1417</v>
      </c>
      <c r="BA51" s="230">
        <v>2146</v>
      </c>
      <c r="BB51" s="229">
        <v>1.5145</v>
      </c>
      <c r="BC51" s="228">
        <v>266</v>
      </c>
      <c r="BD51" s="228">
        <v>82</v>
      </c>
      <c r="BE51" s="228">
        <v>184</v>
      </c>
      <c r="BF51" s="229">
        <v>2.2439</v>
      </c>
      <c r="BG51" s="230">
        <v>40477</v>
      </c>
      <c r="BH51" s="230">
        <v>11433</v>
      </c>
      <c r="BI51" s="230">
        <v>29044</v>
      </c>
      <c r="BJ51" s="229">
        <v>2.5404</v>
      </c>
      <c r="BK51" s="230">
        <v>20968</v>
      </c>
      <c r="BL51" s="230">
        <v>5583</v>
      </c>
      <c r="BM51" s="230">
        <v>15385</v>
      </c>
      <c r="BN51" s="229">
        <v>2.7557</v>
      </c>
      <c r="BO51" s="230">
        <v>72567</v>
      </c>
      <c r="BP51" s="230">
        <v>21443</v>
      </c>
      <c r="BQ51" s="230">
        <v>51124</v>
      </c>
      <c r="BR51" s="229">
        <v>2.3841999999999999</v>
      </c>
      <c r="BS51" s="230">
        <v>10330335</v>
      </c>
      <c r="BT51" s="230">
        <v>4424029</v>
      </c>
      <c r="BU51" s="230">
        <v>5906306</v>
      </c>
      <c r="BV51" s="229">
        <v>1.3351</v>
      </c>
      <c r="BW51" s="230">
        <v>165426000</v>
      </c>
      <c r="BX51" s="230">
        <v>161115000</v>
      </c>
      <c r="BY51" s="230">
        <v>4311000</v>
      </c>
      <c r="BZ51" s="229">
        <v>2.6800000000000001E-2</v>
      </c>
      <c r="CA51" s="230">
        <v>136167000</v>
      </c>
      <c r="CB51" s="230">
        <v>136857000</v>
      </c>
      <c r="CC51" s="230">
        <v>-690000</v>
      </c>
      <c r="CD51" s="229">
        <v>-5.0000000000000001E-3</v>
      </c>
      <c r="CE51" s="230">
        <v>28068000</v>
      </c>
      <c r="CF51" s="230">
        <v>23133000</v>
      </c>
      <c r="CG51" s="230">
        <v>4935000</v>
      </c>
      <c r="CH51" s="229">
        <v>0.21329999999999999</v>
      </c>
      <c r="CI51" s="230">
        <v>1191000</v>
      </c>
      <c r="CJ51" s="230">
        <v>1125000</v>
      </c>
      <c r="CK51" s="230">
        <v>66000</v>
      </c>
      <c r="CL51" s="229">
        <v>5.8700000000000002E-2</v>
      </c>
      <c r="CM51" s="230">
        <v>58602000</v>
      </c>
      <c r="CN51" s="230">
        <v>64425000</v>
      </c>
      <c r="CO51" s="230">
        <v>-5823000</v>
      </c>
      <c r="CP51" s="229">
        <v>-9.0399999999999994E-2</v>
      </c>
      <c r="CQ51" s="230">
        <v>38136000</v>
      </c>
      <c r="CR51" s="230">
        <v>36261000</v>
      </c>
      <c r="CS51" s="230">
        <v>1875000</v>
      </c>
      <c r="CT51" s="229">
        <v>5.1700000000000003E-2</v>
      </c>
      <c r="CU51" s="230">
        <v>262164000</v>
      </c>
      <c r="CV51" s="230">
        <v>261801000</v>
      </c>
      <c r="CW51" s="230">
        <v>363000</v>
      </c>
      <c r="CX51" s="229">
        <v>1.4E-3</v>
      </c>
      <c r="CY51" s="228">
        <v>24.54</v>
      </c>
      <c r="CZ51" s="228">
        <v>26.52</v>
      </c>
      <c r="DA51" s="228">
        <v>-1.98</v>
      </c>
      <c r="DB51" s="228">
        <v>-1.98</v>
      </c>
      <c r="DC51" s="228">
        <v>31.88</v>
      </c>
      <c r="DD51" s="228">
        <v>31.89</v>
      </c>
      <c r="DE51" s="228">
        <v>-7.34</v>
      </c>
      <c r="DF51" s="228">
        <v>-0.01</v>
      </c>
      <c r="DG51" s="228">
        <v>23.97</v>
      </c>
      <c r="DH51" s="228">
        <v>27.04</v>
      </c>
      <c r="DI51" s="228">
        <v>-3.07</v>
      </c>
      <c r="DJ51" s="228">
        <v>-3.07</v>
      </c>
      <c r="DK51" s="228">
        <v>25.65</v>
      </c>
      <c r="DL51" s="228">
        <v>25.46</v>
      </c>
      <c r="DM51" s="228">
        <v>0.19</v>
      </c>
      <c r="DN51" s="228">
        <v>0.19</v>
      </c>
      <c r="DO51" s="228">
        <v>0.65</v>
      </c>
      <c r="DP51" s="228">
        <v>0.56000000000000005</v>
      </c>
      <c r="DQ51" s="228">
        <v>0.09</v>
      </c>
      <c r="DR51" s="229">
        <v>0.16070000000000001</v>
      </c>
      <c r="DS51" s="228">
        <v>260</v>
      </c>
      <c r="DT51" s="228">
        <v>250</v>
      </c>
      <c r="DU51" s="228">
        <v>0.52</v>
      </c>
      <c r="DV51" s="228">
        <v>0.49</v>
      </c>
      <c r="DW51" s="228">
        <v>0.03</v>
      </c>
      <c r="DX51" s="229">
        <v>6.1199999999999997E-2</v>
      </c>
      <c r="DY51" s="229">
        <v>0.1769</v>
      </c>
      <c r="DZ51" s="230">
        <v>24258000</v>
      </c>
      <c r="EA51" s="229">
        <v>-2.3E-3</v>
      </c>
      <c r="EB51" s="229">
        <v>0.1769</v>
      </c>
      <c r="EC51" s="228">
        <v>-0.33</v>
      </c>
      <c r="ED51" s="229">
        <v>-1.2999999999999999E-3</v>
      </c>
      <c r="EE51" s="230">
        <v>4065530</v>
      </c>
      <c r="EF51" s="230">
        <v>1775305</v>
      </c>
      <c r="EG51" s="229">
        <v>1.29</v>
      </c>
      <c r="EH51" s="229">
        <v>0.39360000000000001</v>
      </c>
      <c r="EI51" s="231">
        <v>311577</v>
      </c>
      <c r="EJ51" s="231">
        <v>154849.60999999999</v>
      </c>
      <c r="EK51" s="231">
        <v>83199.28</v>
      </c>
      <c r="EL51" s="228">
        <v>0</v>
      </c>
      <c r="EM51" s="231">
        <v>549625.89</v>
      </c>
      <c r="EN51" s="231">
        <v>161244.75</v>
      </c>
      <c r="EO51" s="231">
        <v>388381.14</v>
      </c>
      <c r="EP51" s="229">
        <v>2.4085999999999999</v>
      </c>
      <c r="EQ51" s="231">
        <v>153675</v>
      </c>
      <c r="ER51" s="231">
        <v>92245</v>
      </c>
      <c r="ES51" s="231">
        <v>414535</v>
      </c>
      <c r="ET51" s="231">
        <v>570714350</v>
      </c>
      <c r="EU51" s="231">
        <v>660456</v>
      </c>
      <c r="EV51" s="231">
        <v>651328</v>
      </c>
      <c r="EW51" s="231">
        <v>9128</v>
      </c>
      <c r="EX51" s="229">
        <v>1.4E-2</v>
      </c>
      <c r="EY51" s="229">
        <v>0.45939999999999998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7" sqref="I7"/>
    </sheetView>
  </sheetViews>
  <sheetFormatPr defaultColWidth="13.7109375" defaultRowHeight="15" x14ac:dyDescent="0.25"/>
  <cols>
    <col min="1" max="1" width="23.85546875" customWidth="1"/>
    <col min="2" max="2" width="12.42578125" customWidth="1"/>
    <col min="3" max="3" width="12.7109375" customWidth="1"/>
    <col min="4" max="4" width="11.140625" customWidth="1"/>
    <col min="5" max="5" width="12.7109375" customWidth="1"/>
    <col min="6" max="6" width="11.140625" customWidth="1"/>
    <col min="7" max="7" width="10.85546875" customWidth="1"/>
    <col min="8" max="8" width="9.5703125" customWidth="1"/>
    <col min="9" max="9" width="12" customWidth="1"/>
    <col min="10" max="10" width="12.85546875" customWidth="1"/>
    <col min="11" max="11" width="11.140625" customWidth="1"/>
    <col min="12" max="12" width="11.85546875" customWidth="1"/>
    <col min="13"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45889</v>
      </c>
      <c r="C2" s="230">
        <v>11158565</v>
      </c>
      <c r="D2" s="230">
        <v>2003466</v>
      </c>
      <c r="E2" s="230">
        <v>11321079</v>
      </c>
      <c r="F2" s="230">
        <v>2034126</v>
      </c>
      <c r="G2" s="230">
        <v>-162514</v>
      </c>
      <c r="H2" s="230">
        <v>-30660</v>
      </c>
      <c r="I2" s="230">
        <v>9519316</v>
      </c>
      <c r="J2" s="230">
        <v>1073558</v>
      </c>
      <c r="K2" s="230">
        <v>438876</v>
      </c>
      <c r="L2" s="230">
        <v>80126</v>
      </c>
      <c r="M2" s="230">
        <v>9958192</v>
      </c>
      <c r="N2" s="230">
        <v>1153684</v>
      </c>
      <c r="O2" s="61"/>
      <c r="P2" s="61"/>
      <c r="Q2" s="61"/>
      <c r="R2" s="61"/>
      <c r="S2" s="61"/>
      <c r="U2" t="s">
        <v>453</v>
      </c>
      <c r="V2">
        <f>SUM('Data Vlaue (Cr)'!CD:CD)</f>
        <v>496695</v>
      </c>
      <c r="W2" t="s">
        <v>454</v>
      </c>
    </row>
    <row r="3" spans="1:23" ht="17.25" thickBot="1" x14ac:dyDescent="0.3">
      <c r="A3" s="227" t="s">
        <v>618</v>
      </c>
      <c r="B3" s="226">
        <v>45889</v>
      </c>
      <c r="C3" s="230">
        <v>1546</v>
      </c>
      <c r="D3" s="228">
        <v>302</v>
      </c>
      <c r="E3" s="230">
        <v>3020</v>
      </c>
      <c r="F3" s="228">
        <v>591</v>
      </c>
      <c r="G3" s="230">
        <v>-1474</v>
      </c>
      <c r="H3" s="228">
        <v>-288</v>
      </c>
      <c r="I3" s="230">
        <v>41559</v>
      </c>
      <c r="J3" s="230">
        <v>8143</v>
      </c>
      <c r="K3" s="228">
        <v>690</v>
      </c>
      <c r="L3" s="228">
        <v>113</v>
      </c>
      <c r="M3" s="230">
        <v>42249</v>
      </c>
      <c r="N3" s="230">
        <v>8256</v>
      </c>
      <c r="O3" s="61"/>
      <c r="P3" s="61"/>
      <c r="Q3" s="61"/>
      <c r="R3" s="61"/>
      <c r="S3" s="61"/>
      <c r="U3" t="s">
        <v>453</v>
      </c>
      <c r="V3">
        <f>SUM('Data shares'!CC:CC)</f>
        <v>12716537756</v>
      </c>
      <c r="W3" t="s">
        <v>455</v>
      </c>
    </row>
    <row r="4" spans="1:23" ht="17.25" thickBot="1" x14ac:dyDescent="0.3">
      <c r="A4" s="227" t="s">
        <v>619</v>
      </c>
      <c r="B4" s="226">
        <v>45889</v>
      </c>
      <c r="C4" s="230">
        <v>164926</v>
      </c>
      <c r="D4" s="230">
        <v>32255</v>
      </c>
      <c r="E4" s="230">
        <v>166890</v>
      </c>
      <c r="F4" s="230">
        <v>32644</v>
      </c>
      <c r="G4" s="230">
        <v>-1964</v>
      </c>
      <c r="H4" s="228">
        <v>-389</v>
      </c>
      <c r="I4" s="230">
        <v>180923</v>
      </c>
      <c r="J4" s="230">
        <v>35375</v>
      </c>
      <c r="K4" s="230">
        <v>3843</v>
      </c>
      <c r="L4" s="228">
        <v>644</v>
      </c>
      <c r="M4" s="230">
        <v>184766</v>
      </c>
      <c r="N4" s="230">
        <v>36019</v>
      </c>
      <c r="O4" s="61"/>
      <c r="P4" s="61"/>
      <c r="Q4" s="61"/>
      <c r="R4" s="61"/>
      <c r="S4" s="61"/>
    </row>
    <row r="5" spans="1:23" ht="17.25" thickBot="1" x14ac:dyDescent="0.3">
      <c r="A5" s="227" t="s">
        <v>620</v>
      </c>
      <c r="B5" s="226">
        <v>45889</v>
      </c>
      <c r="C5" s="228">
        <v>37</v>
      </c>
      <c r="D5" s="228">
        <v>6</v>
      </c>
      <c r="E5" s="228">
        <v>39</v>
      </c>
      <c r="F5" s="228">
        <v>7</v>
      </c>
      <c r="G5" s="228">
        <v>-2</v>
      </c>
      <c r="H5" s="228">
        <v>0</v>
      </c>
      <c r="I5" s="228">
        <v>734</v>
      </c>
      <c r="J5" s="228">
        <v>127</v>
      </c>
      <c r="K5" s="228">
        <v>-2</v>
      </c>
      <c r="L5" s="228">
        <v>-1</v>
      </c>
      <c r="M5" s="228">
        <v>732</v>
      </c>
      <c r="N5" s="228">
        <v>126</v>
      </c>
      <c r="O5" s="61"/>
      <c r="P5" s="61"/>
      <c r="Q5" s="61"/>
      <c r="R5" s="61"/>
      <c r="S5" s="61"/>
    </row>
    <row r="6" spans="1:23" ht="17.25" thickBot="1" x14ac:dyDescent="0.3">
      <c r="A6" s="227" t="s">
        <v>621</v>
      </c>
      <c r="B6" s="226">
        <v>45889</v>
      </c>
      <c r="C6" s="230">
        <v>21906</v>
      </c>
      <c r="D6" s="230">
        <v>3785</v>
      </c>
      <c r="E6" s="230">
        <v>20712</v>
      </c>
      <c r="F6" s="230">
        <v>3581</v>
      </c>
      <c r="G6" s="230">
        <v>1194</v>
      </c>
      <c r="H6" s="228">
        <v>204</v>
      </c>
      <c r="I6" s="230">
        <v>13995</v>
      </c>
      <c r="J6" s="230">
        <v>2419</v>
      </c>
      <c r="K6" s="230">
        <v>-3070</v>
      </c>
      <c r="L6" s="228">
        <v>-538</v>
      </c>
      <c r="M6" s="230">
        <v>10925</v>
      </c>
      <c r="N6" s="230">
        <v>1881</v>
      </c>
      <c r="O6" s="61"/>
      <c r="P6" s="61"/>
      <c r="Q6" s="61"/>
      <c r="R6" s="61"/>
      <c r="S6" s="61"/>
    </row>
    <row r="7" spans="1:23" ht="17.25" thickBot="1" x14ac:dyDescent="0.3">
      <c r="A7" s="227" t="s">
        <v>622</v>
      </c>
      <c r="B7" s="226">
        <v>45889</v>
      </c>
      <c r="C7" s="230">
        <v>11046</v>
      </c>
      <c r="D7" s="230">
        <v>2085</v>
      </c>
      <c r="E7" s="230">
        <v>12707</v>
      </c>
      <c r="F7" s="230">
        <v>2409</v>
      </c>
      <c r="G7" s="230">
        <v>-1661</v>
      </c>
      <c r="H7" s="228">
        <v>-323</v>
      </c>
      <c r="I7" s="230">
        <v>212895</v>
      </c>
      <c r="J7" s="230">
        <v>40151</v>
      </c>
      <c r="K7" s="230">
        <v>3063</v>
      </c>
      <c r="L7" s="228">
        <v>638</v>
      </c>
      <c r="M7" s="230">
        <v>215958</v>
      </c>
      <c r="N7" s="230">
        <v>40789</v>
      </c>
    </row>
    <row r="8" spans="1:23" ht="17.25" thickBot="1" x14ac:dyDescent="0.3">
      <c r="A8" s="227" t="s">
        <v>623</v>
      </c>
      <c r="B8" s="226">
        <v>45889</v>
      </c>
      <c r="C8" s="230">
        <v>5176056</v>
      </c>
      <c r="D8" s="230">
        <v>972726</v>
      </c>
      <c r="E8" s="230">
        <v>5252486</v>
      </c>
      <c r="F8" s="230">
        <v>987292</v>
      </c>
      <c r="G8" s="230">
        <v>-76430</v>
      </c>
      <c r="H8" s="230">
        <v>-14565</v>
      </c>
      <c r="I8" s="230">
        <v>1525939</v>
      </c>
      <c r="J8" s="230">
        <v>287020</v>
      </c>
      <c r="K8" s="230">
        <v>194137</v>
      </c>
      <c r="L8" s="230">
        <v>37138</v>
      </c>
      <c r="M8" s="230">
        <v>1720076</v>
      </c>
      <c r="N8" s="230">
        <v>324158</v>
      </c>
    </row>
    <row r="9" spans="1:23" ht="17.25" thickBot="1" x14ac:dyDescent="0.3">
      <c r="A9" s="227" t="s">
        <v>624</v>
      </c>
      <c r="B9" s="226">
        <v>45889</v>
      </c>
      <c r="C9" s="228">
        <v>627</v>
      </c>
      <c r="D9" s="228">
        <v>114</v>
      </c>
      <c r="E9" s="228">
        <v>743</v>
      </c>
      <c r="F9" s="228">
        <v>135</v>
      </c>
      <c r="G9" s="228">
        <v>-116</v>
      </c>
      <c r="H9" s="228">
        <v>-21</v>
      </c>
      <c r="I9" s="230">
        <v>21877</v>
      </c>
      <c r="J9" s="230">
        <v>3969</v>
      </c>
      <c r="K9" s="228">
        <v>102</v>
      </c>
      <c r="L9" s="228">
        <v>39</v>
      </c>
      <c r="M9" s="230">
        <v>21979</v>
      </c>
      <c r="N9" s="230">
        <v>4008</v>
      </c>
    </row>
    <row r="10" spans="1:23" ht="17.25" thickBot="1" x14ac:dyDescent="0.3">
      <c r="A10" s="227" t="s">
        <v>625</v>
      </c>
      <c r="B10" s="226">
        <v>45889</v>
      </c>
      <c r="C10" s="230">
        <v>59627</v>
      </c>
      <c r="D10" s="230">
        <v>10805</v>
      </c>
      <c r="E10" s="230">
        <v>59170</v>
      </c>
      <c r="F10" s="230">
        <v>10713</v>
      </c>
      <c r="G10" s="228">
        <v>457</v>
      </c>
      <c r="H10" s="228">
        <v>93</v>
      </c>
      <c r="I10" s="230">
        <v>21890</v>
      </c>
      <c r="J10" s="230">
        <v>3956</v>
      </c>
      <c r="K10" s="230">
        <v>1803</v>
      </c>
      <c r="L10" s="228">
        <v>356</v>
      </c>
      <c r="M10" s="230">
        <v>23693</v>
      </c>
      <c r="N10" s="230">
        <v>4312</v>
      </c>
    </row>
    <row r="11" spans="1:23" ht="17.25" thickBot="1" x14ac:dyDescent="0.3">
      <c r="A11" s="227" t="s">
        <v>626</v>
      </c>
      <c r="B11" s="226">
        <v>45889</v>
      </c>
      <c r="C11" s="230">
        <v>8810</v>
      </c>
      <c r="D11" s="230">
        <v>1658</v>
      </c>
      <c r="E11" s="230">
        <v>8891</v>
      </c>
      <c r="F11" s="230">
        <v>1673</v>
      </c>
      <c r="G11" s="228">
        <v>-81</v>
      </c>
      <c r="H11" s="228">
        <v>-16</v>
      </c>
      <c r="I11" s="230">
        <v>147897</v>
      </c>
      <c r="J11" s="230">
        <v>27770</v>
      </c>
      <c r="K11" s="230">
        <v>2301</v>
      </c>
      <c r="L11" s="228">
        <v>492</v>
      </c>
      <c r="M11" s="230">
        <v>150198</v>
      </c>
      <c r="N11" s="230">
        <v>28262</v>
      </c>
    </row>
    <row r="12" spans="1:23" ht="17.25" thickBot="1" x14ac:dyDescent="0.3">
      <c r="A12" s="227" t="s">
        <v>627</v>
      </c>
      <c r="B12" s="226">
        <v>45889</v>
      </c>
      <c r="C12" s="230">
        <v>4929487</v>
      </c>
      <c r="D12" s="230">
        <v>925862</v>
      </c>
      <c r="E12" s="230">
        <v>5005581</v>
      </c>
      <c r="F12" s="230">
        <v>940331</v>
      </c>
      <c r="G12" s="230">
        <v>-76094</v>
      </c>
      <c r="H12" s="230">
        <v>-14469</v>
      </c>
      <c r="I12" s="230">
        <v>1308985</v>
      </c>
      <c r="J12" s="230">
        <v>245245</v>
      </c>
      <c r="K12" s="230">
        <v>191550</v>
      </c>
      <c r="L12" s="230">
        <v>36674</v>
      </c>
      <c r="M12" s="230">
        <v>1500535</v>
      </c>
      <c r="N12" s="230">
        <v>281919</v>
      </c>
    </row>
    <row r="13" spans="1:23" ht="17.25" thickBot="1" x14ac:dyDescent="0.3">
      <c r="A13" s="227" t="s">
        <v>628</v>
      </c>
      <c r="B13" s="226">
        <v>45889</v>
      </c>
      <c r="C13" s="228">
        <v>26</v>
      </c>
      <c r="D13" s="228">
        <v>4</v>
      </c>
      <c r="E13" s="228">
        <v>14</v>
      </c>
      <c r="F13" s="228">
        <v>2</v>
      </c>
      <c r="G13" s="228">
        <v>12</v>
      </c>
      <c r="H13" s="228">
        <v>2</v>
      </c>
      <c r="I13" s="228">
        <v>828</v>
      </c>
      <c r="J13" s="228">
        <v>141</v>
      </c>
      <c r="K13" s="228">
        <v>-28</v>
      </c>
      <c r="L13" s="228">
        <v>-4</v>
      </c>
      <c r="M13" s="228">
        <v>800</v>
      </c>
      <c r="N13" s="228">
        <v>136</v>
      </c>
    </row>
    <row r="14" spans="1:23" ht="17.25" thickBot="1" x14ac:dyDescent="0.3">
      <c r="A14" s="227" t="s">
        <v>629</v>
      </c>
      <c r="B14" s="226">
        <v>45889</v>
      </c>
      <c r="C14" s="228">
        <v>110</v>
      </c>
      <c r="D14" s="228">
        <v>19</v>
      </c>
      <c r="E14" s="228">
        <v>133</v>
      </c>
      <c r="F14" s="228">
        <v>23</v>
      </c>
      <c r="G14" s="228">
        <v>-23</v>
      </c>
      <c r="H14" s="228">
        <v>-4</v>
      </c>
      <c r="I14" s="228">
        <v>146</v>
      </c>
      <c r="J14" s="228">
        <v>25</v>
      </c>
      <c r="K14" s="228">
        <v>11</v>
      </c>
      <c r="L14" s="228">
        <v>2</v>
      </c>
      <c r="M14" s="228">
        <v>157</v>
      </c>
      <c r="N14" s="228">
        <v>27</v>
      </c>
    </row>
    <row r="15" spans="1:23" ht="17.25" thickBot="1" x14ac:dyDescent="0.3">
      <c r="A15" s="227" t="s">
        <v>630</v>
      </c>
      <c r="B15" s="226">
        <v>45889</v>
      </c>
      <c r="C15" s="230">
        <v>308878</v>
      </c>
      <c r="D15" s="230">
        <v>20779</v>
      </c>
      <c r="E15" s="230">
        <v>318885</v>
      </c>
      <c r="F15" s="230">
        <v>21847</v>
      </c>
      <c r="G15" s="230">
        <v>-10007</v>
      </c>
      <c r="H15" s="230">
        <v>-1068</v>
      </c>
      <c r="I15" s="230">
        <v>5640555</v>
      </c>
      <c r="J15" s="230">
        <v>391643</v>
      </c>
      <c r="K15" s="230">
        <v>23121</v>
      </c>
      <c r="L15" s="230">
        <v>3029</v>
      </c>
      <c r="M15" s="230">
        <v>5663676</v>
      </c>
      <c r="N15" s="230">
        <v>394671</v>
      </c>
    </row>
    <row r="16" spans="1:23" ht="17.25" thickBot="1" x14ac:dyDescent="0.3">
      <c r="A16" s="227" t="s">
        <v>631</v>
      </c>
      <c r="B16" s="226">
        <v>45889</v>
      </c>
      <c r="C16" s="230">
        <v>475483</v>
      </c>
      <c r="D16" s="230">
        <v>33063</v>
      </c>
      <c r="E16" s="230">
        <v>471808</v>
      </c>
      <c r="F16" s="230">
        <v>32878</v>
      </c>
      <c r="G16" s="230">
        <v>3675</v>
      </c>
      <c r="H16" s="228">
        <v>185</v>
      </c>
      <c r="I16" s="230">
        <v>401093</v>
      </c>
      <c r="J16" s="230">
        <v>27574</v>
      </c>
      <c r="K16" s="230">
        <v>21355</v>
      </c>
      <c r="L16" s="230">
        <v>1545</v>
      </c>
      <c r="M16" s="230">
        <v>422448</v>
      </c>
      <c r="N16" s="230">
        <v>29119</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45889</v>
      </c>
      <c r="C6" s="66">
        <f>'Snapshot (Value)'!D10</f>
        <v>45889</v>
      </c>
      <c r="D6" s="71" t="s">
        <v>322</v>
      </c>
      <c r="E6" s="71" t="s">
        <v>328</v>
      </c>
      <c r="F6" s="66">
        <f>C6</f>
        <v>45889</v>
      </c>
      <c r="G6" s="71" t="s">
        <v>322</v>
      </c>
      <c r="H6" s="71" t="s">
        <v>328</v>
      </c>
      <c r="I6" s="66">
        <f>C6</f>
        <v>45889</v>
      </c>
      <c r="J6" s="71" t="s">
        <v>322</v>
      </c>
      <c r="K6" s="71" t="s">
        <v>328</v>
      </c>
      <c r="L6" s="66">
        <f>C6</f>
        <v>45889</v>
      </c>
      <c r="M6" s="71" t="s">
        <v>322</v>
      </c>
      <c r="N6" s="71" t="s">
        <v>328</v>
      </c>
      <c r="O6" s="66">
        <f>C6</f>
        <v>45889</v>
      </c>
      <c r="P6" s="71" t="s">
        <v>322</v>
      </c>
      <c r="Q6" s="71" t="s">
        <v>328</v>
      </c>
    </row>
    <row r="7" spans="1:17" x14ac:dyDescent="0.25">
      <c r="A7" s="97" t="str">
        <f>'Data Vlaue (Cr)'!C2</f>
        <v>360ONE</v>
      </c>
      <c r="B7" s="140">
        <f>VLOOKUP($A7,'Data shares'!$C:$FB,7)</f>
        <v>1102.9000000000001</v>
      </c>
      <c r="C7" s="140">
        <f>VLOOKUP($A7,'Data shares'!$C:$FB,3)</f>
        <v>1102.8</v>
      </c>
      <c r="D7" s="140">
        <f>VLOOKUP($A7,'Data shares'!$C:$FB,4)</f>
        <v>1080</v>
      </c>
      <c r="E7" s="50">
        <f>(C7-D7)/D7*100</f>
        <v>2.1111111111111072</v>
      </c>
      <c r="F7" s="49">
        <f>VLOOKUP($A7,'Data shares'!$C:$FB,98)</f>
        <v>7439000</v>
      </c>
      <c r="G7" s="49">
        <f>VLOOKUP($A7,'Data shares'!$C:$FB,99)</f>
        <v>7511000</v>
      </c>
      <c r="H7" s="50">
        <f>(F7-G7)/G7*100</f>
        <v>-0.95859406204233788</v>
      </c>
      <c r="I7" s="49">
        <f>VLOOKUP($A7,'Data shares'!$C:$FB,66)</f>
        <v>6203500</v>
      </c>
      <c r="J7" s="49">
        <f>VLOOKUP($A7,'Data shares'!$C:$FB,67)</f>
        <v>3503000</v>
      </c>
      <c r="K7" s="50">
        <f>(I7-J7)/I7*100</f>
        <v>43.531877166115898</v>
      </c>
      <c r="L7" s="50">
        <f>VLOOKUP($A7,'Data shares'!$C:$FB,118)</f>
        <v>0.57999999999999996</v>
      </c>
      <c r="M7" s="50">
        <f>VLOOKUP($A7,'Data shares'!$C:$FB,119)</f>
        <v>0.64</v>
      </c>
      <c r="N7" s="50">
        <f>VLOOKUP($A7,'Data shares'!$C:$FB,121)*100</f>
        <v>-9.379999999999999</v>
      </c>
      <c r="O7" s="50">
        <f>VLOOKUP($A7,'Data shares'!$C:$FB,124)</f>
        <v>0.34</v>
      </c>
      <c r="P7" s="50">
        <f>VLOOKUP($A7,'Data shares'!$C:$FB,125)</f>
        <v>0.22</v>
      </c>
      <c r="Q7" s="50">
        <f>VLOOKUP($A7,'Data shares'!$C:$FB,127)*100</f>
        <v>54.55</v>
      </c>
    </row>
    <row r="8" spans="1:17" x14ac:dyDescent="0.25">
      <c r="A8" s="97" t="str">
        <f>'Data Vlaue (Cr)'!C3</f>
        <v>ABB</v>
      </c>
      <c r="B8" s="140">
        <f>VLOOKUP($A8,'Data shares'!$C:$FB,7)</f>
        <v>5121.5</v>
      </c>
      <c r="C8" s="140">
        <f>VLOOKUP($A8,'Data shares'!$C:$FB,3)</f>
        <v>5132.5</v>
      </c>
      <c r="D8" s="140">
        <f>VLOOKUP($A8,'Data shares'!$C:$FB,4)</f>
        <v>5087</v>
      </c>
      <c r="E8" s="50">
        <f t="shared" ref="E8:E71" si="0">(C8-D8)/D8*100</f>
        <v>0.89443679968547274</v>
      </c>
      <c r="F8" s="49">
        <f>VLOOKUP($A8,'Data shares'!$C:$FB,98)</f>
        <v>5956625</v>
      </c>
      <c r="G8" s="49">
        <f>VLOOKUP($A8,'Data shares'!$C:$FB,99)</f>
        <v>6037375</v>
      </c>
      <c r="H8" s="50">
        <f t="shared" ref="H8:H71" si="1">(F8-G8)/G8*100</f>
        <v>-1.3375018116317108</v>
      </c>
      <c r="I8" s="49">
        <f>VLOOKUP($A8,'Data shares'!$C:$FB,66)</f>
        <v>4563125</v>
      </c>
      <c r="J8" s="49">
        <f>VLOOKUP($A8,'Data shares'!$C:$FB,67)</f>
        <v>3441750</v>
      </c>
      <c r="K8" s="50">
        <f t="shared" ref="K8:K71" si="2">(I8-J8)/I8*100</f>
        <v>24.57471579235721</v>
      </c>
      <c r="L8" s="50">
        <f>VLOOKUP($A8,'Data shares'!$C:$FB,118)</f>
        <v>0.57999999999999996</v>
      </c>
      <c r="M8" s="50">
        <f>VLOOKUP($A8,'Data shares'!$C:$FB,119)</f>
        <v>0.56999999999999995</v>
      </c>
      <c r="N8" s="50">
        <f>VLOOKUP($A8,'Data shares'!$C:$FB,121)*100</f>
        <v>1.7500000000000002</v>
      </c>
      <c r="O8" s="50">
        <f>VLOOKUP($A8,'Data shares'!$C:$FB,124)</f>
        <v>0.28999999999999998</v>
      </c>
      <c r="P8" s="50">
        <f>VLOOKUP($A8,'Data shares'!$C:$FB,125)</f>
        <v>0.35</v>
      </c>
      <c r="Q8" s="50">
        <f>VLOOKUP($A8,'Data shares'!$C:$FB,127)*100</f>
        <v>-17.14</v>
      </c>
    </row>
    <row r="9" spans="1:17" x14ac:dyDescent="0.25">
      <c r="A9" s="97" t="str">
        <f>'Data Vlaue (Cr)'!C4</f>
        <v>ABCAPITAL</v>
      </c>
      <c r="B9" s="140">
        <f>VLOOKUP($A9,'Data shares'!$C:$FB,7)</f>
        <v>283.45</v>
      </c>
      <c r="C9" s="140">
        <f>VLOOKUP($A9,'Data shares'!$C:$FB,3)</f>
        <v>284.14999999999998</v>
      </c>
      <c r="D9" s="140">
        <f>VLOOKUP($A9,'Data shares'!$C:$FB,4)</f>
        <v>288.25</v>
      </c>
      <c r="E9" s="50">
        <f t="shared" si="0"/>
        <v>-1.4223764093668769</v>
      </c>
      <c r="F9" s="49">
        <f>VLOOKUP($A9,'Data shares'!$C:$FB,98)</f>
        <v>92231200</v>
      </c>
      <c r="G9" s="49">
        <f>VLOOKUP($A9,'Data shares'!$C:$FB,99)</f>
        <v>90485900</v>
      </c>
      <c r="H9" s="50">
        <f t="shared" si="1"/>
        <v>1.928808797834801</v>
      </c>
      <c r="I9" s="49">
        <f>VLOOKUP($A9,'Data shares'!$C:$FB,66)</f>
        <v>42485500</v>
      </c>
      <c r="J9" s="49">
        <f>VLOOKUP($A9,'Data shares'!$C:$FB,67)</f>
        <v>76532800</v>
      </c>
      <c r="K9" s="50">
        <f t="shared" si="2"/>
        <v>-80.138635534476464</v>
      </c>
      <c r="L9" s="50">
        <f>VLOOKUP($A9,'Data shares'!$C:$FB,118)</f>
        <v>0.69</v>
      </c>
      <c r="M9" s="50">
        <f>VLOOKUP($A9,'Data shares'!$C:$FB,119)</f>
        <v>0.76</v>
      </c>
      <c r="N9" s="50">
        <f>VLOOKUP($A9,'Data shares'!$C:$FB,121)*100</f>
        <v>-9.2100000000000009</v>
      </c>
      <c r="O9" s="50">
        <f>VLOOKUP($A9,'Data shares'!$C:$FB,124)</f>
        <v>0.5</v>
      </c>
      <c r="P9" s="50">
        <f>VLOOKUP($A9,'Data shares'!$C:$FB,125)</f>
        <v>0.56999999999999995</v>
      </c>
      <c r="Q9" s="50">
        <f>VLOOKUP($A9,'Data shares'!$C:$FB,127)*100</f>
        <v>-12.280000000000001</v>
      </c>
    </row>
    <row r="10" spans="1:17" x14ac:dyDescent="0.25">
      <c r="A10" s="97" t="str">
        <f>'Data Vlaue (Cr)'!C5</f>
        <v>ABFRL</v>
      </c>
      <c r="B10" s="140">
        <f>VLOOKUP($A10,'Data shares'!$C:$FB,7)</f>
        <v>76.260000000000005</v>
      </c>
      <c r="C10" s="140">
        <f>VLOOKUP($A10,'Data shares'!$C:$FB,3)</f>
        <v>76.569999999999993</v>
      </c>
      <c r="D10" s="140">
        <f>VLOOKUP($A10,'Data shares'!$C:$FB,4)</f>
        <v>77.45</v>
      </c>
      <c r="E10" s="50">
        <f t="shared" si="0"/>
        <v>-1.1362169141381662</v>
      </c>
      <c r="F10" s="49">
        <f>VLOOKUP($A10,'Data shares'!$C:$FB,98)</f>
        <v>76297000</v>
      </c>
      <c r="G10" s="49">
        <f>VLOOKUP($A10,'Data shares'!$C:$FB,99)</f>
        <v>77833600</v>
      </c>
      <c r="H10" s="50">
        <f t="shared" si="1"/>
        <v>-1.9742116515232495</v>
      </c>
      <c r="I10" s="49">
        <f>VLOOKUP($A10,'Data shares'!$C:$FB,66)</f>
        <v>18967000</v>
      </c>
      <c r="J10" s="49">
        <f>VLOOKUP($A10,'Data shares'!$C:$FB,67)</f>
        <v>34600800</v>
      </c>
      <c r="K10" s="50">
        <f t="shared" si="2"/>
        <v>-82.426319396847163</v>
      </c>
      <c r="L10" s="50">
        <f>VLOOKUP($A10,'Data shares'!$C:$FB,118)</f>
        <v>0.64</v>
      </c>
      <c r="M10" s="50">
        <f>VLOOKUP($A10,'Data shares'!$C:$FB,119)</f>
        <v>0.62</v>
      </c>
      <c r="N10" s="50">
        <f>VLOOKUP($A10,'Data shares'!$C:$FB,121)*100</f>
        <v>3.2300000000000004</v>
      </c>
      <c r="O10" s="50">
        <f>VLOOKUP($A10,'Data shares'!$C:$FB,124)</f>
        <v>0.15</v>
      </c>
      <c r="P10" s="50">
        <f>VLOOKUP($A10,'Data shares'!$C:$FB,125)</f>
        <v>0.31</v>
      </c>
      <c r="Q10" s="50">
        <f>VLOOKUP($A10,'Data shares'!$C:$FB,127)*100</f>
        <v>-51.61</v>
      </c>
    </row>
    <row r="11" spans="1:17" x14ac:dyDescent="0.25">
      <c r="A11" s="97" t="str">
        <f>'Data Vlaue (Cr)'!C6</f>
        <v>ADANIENSOL</v>
      </c>
      <c r="B11" s="140">
        <f>VLOOKUP($A11,'Data shares'!$C:$FB,7)</f>
        <v>824.2</v>
      </c>
      <c r="C11" s="140">
        <f>VLOOKUP($A11,'Data shares'!$C:$FB,3)</f>
        <v>825.4</v>
      </c>
      <c r="D11" s="140">
        <f>VLOOKUP($A11,'Data shares'!$C:$FB,4)</f>
        <v>830.85</v>
      </c>
      <c r="E11" s="50">
        <f t="shared" si="0"/>
        <v>-0.65595474514052421</v>
      </c>
      <c r="F11" s="49">
        <f>VLOOKUP($A11,'Data shares'!$C:$FB,98)</f>
        <v>25859925</v>
      </c>
      <c r="G11" s="49">
        <f>VLOOKUP($A11,'Data shares'!$C:$FB,99)</f>
        <v>25622325</v>
      </c>
      <c r="H11" s="50">
        <f t="shared" si="1"/>
        <v>0.92731631497141653</v>
      </c>
      <c r="I11" s="49">
        <f>VLOOKUP($A11,'Data shares'!$C:$FB,66)</f>
        <v>3394575</v>
      </c>
      <c r="J11" s="49">
        <f>VLOOKUP($A11,'Data shares'!$C:$FB,67)</f>
        <v>9619425</v>
      </c>
      <c r="K11" s="50">
        <f t="shared" si="2"/>
        <v>-183.37641678266056</v>
      </c>
      <c r="L11" s="50">
        <f>VLOOKUP($A11,'Data shares'!$C:$FB,118)</f>
        <v>0.72</v>
      </c>
      <c r="M11" s="50">
        <f>VLOOKUP($A11,'Data shares'!$C:$FB,119)</f>
        <v>0.72</v>
      </c>
      <c r="N11" s="50">
        <f>VLOOKUP($A11,'Data shares'!$C:$FB,121)*100</f>
        <v>0</v>
      </c>
      <c r="O11" s="50">
        <f>VLOOKUP($A11,'Data shares'!$C:$FB,124)</f>
        <v>0.62</v>
      </c>
      <c r="P11" s="50">
        <f>VLOOKUP($A11,'Data shares'!$C:$FB,125)</f>
        <v>0.62</v>
      </c>
      <c r="Q11" s="50">
        <f>VLOOKUP($A11,'Data shares'!$C:$FB,127)*100</f>
        <v>0</v>
      </c>
    </row>
    <row r="12" spans="1:17" x14ac:dyDescent="0.25">
      <c r="A12" s="97" t="str">
        <f>'Data Vlaue (Cr)'!C7</f>
        <v>ADANIENT</v>
      </c>
      <c r="B12" s="140">
        <f>VLOOKUP($A12,'Data shares'!$C:$FB,7)</f>
        <v>2387.1</v>
      </c>
      <c r="C12" s="140">
        <f>VLOOKUP($A12,'Data shares'!$C:$FB,3)</f>
        <v>2386.4</v>
      </c>
      <c r="D12" s="140">
        <f>VLOOKUP($A12,'Data shares'!$C:$FB,4)</f>
        <v>2388.9</v>
      </c>
      <c r="E12" s="50">
        <f t="shared" si="0"/>
        <v>-0.10465067604336724</v>
      </c>
      <c r="F12" s="49">
        <f>VLOOKUP($A12,'Data shares'!$C:$FB,98)</f>
        <v>35054100</v>
      </c>
      <c r="G12" s="49">
        <f>VLOOKUP($A12,'Data shares'!$C:$FB,99)</f>
        <v>35094900</v>
      </c>
      <c r="H12" s="50">
        <f t="shared" si="1"/>
        <v>-0.11625620816699864</v>
      </c>
      <c r="I12" s="49">
        <f>VLOOKUP($A12,'Data shares'!$C:$FB,66)</f>
        <v>18330000</v>
      </c>
      <c r="J12" s="49">
        <f>VLOOKUP($A12,'Data shares'!$C:$FB,67)</f>
        <v>25449000</v>
      </c>
      <c r="K12" s="50">
        <f t="shared" si="2"/>
        <v>-38.837970540098198</v>
      </c>
      <c r="L12" s="50">
        <f>VLOOKUP($A12,'Data shares'!$C:$FB,118)</f>
        <v>0.93</v>
      </c>
      <c r="M12" s="50">
        <f>VLOOKUP($A12,'Data shares'!$C:$FB,119)</f>
        <v>0.97</v>
      </c>
      <c r="N12" s="50">
        <f>VLOOKUP($A12,'Data shares'!$C:$FB,121)*100</f>
        <v>-4.12</v>
      </c>
      <c r="O12" s="50">
        <f>VLOOKUP($A12,'Data shares'!$C:$FB,124)</f>
        <v>0.52</v>
      </c>
      <c r="P12" s="50">
        <f>VLOOKUP($A12,'Data shares'!$C:$FB,125)</f>
        <v>0.53</v>
      </c>
      <c r="Q12" s="50">
        <f>VLOOKUP($A12,'Data shares'!$C:$FB,127)*100</f>
        <v>-1.8900000000000001</v>
      </c>
    </row>
    <row r="13" spans="1:17" x14ac:dyDescent="0.25">
      <c r="A13" s="97" t="str">
        <f>'Data Vlaue (Cr)'!C8</f>
        <v>ADANIGREEN</v>
      </c>
      <c r="B13" s="140">
        <f>VLOOKUP($A13,'Data shares'!$C:$FB,7)</f>
        <v>975.95</v>
      </c>
      <c r="C13" s="140">
        <f>VLOOKUP($A13,'Data shares'!$C:$FB,3)</f>
        <v>976.45</v>
      </c>
      <c r="D13" s="140">
        <f>VLOOKUP($A13,'Data shares'!$C:$FB,4)</f>
        <v>976.2</v>
      </c>
      <c r="E13" s="50">
        <f t="shared" si="0"/>
        <v>2.5609506248719525E-2</v>
      </c>
      <c r="F13" s="49">
        <f>VLOOKUP($A13,'Data shares'!$C:$FB,98)</f>
        <v>28680600</v>
      </c>
      <c r="G13" s="49">
        <f>VLOOKUP($A13,'Data shares'!$C:$FB,99)</f>
        <v>29076000</v>
      </c>
      <c r="H13" s="50">
        <f t="shared" si="1"/>
        <v>-1.3598844407758977</v>
      </c>
      <c r="I13" s="49">
        <f>VLOOKUP($A13,'Data shares'!$C:$FB,66)</f>
        <v>12352200</v>
      </c>
      <c r="J13" s="49">
        <f>VLOOKUP($A13,'Data shares'!$C:$FB,67)</f>
        <v>18870600</v>
      </c>
      <c r="K13" s="50">
        <f t="shared" si="2"/>
        <v>-52.771166269976199</v>
      </c>
      <c r="L13" s="50">
        <f>VLOOKUP($A13,'Data shares'!$C:$FB,118)</f>
        <v>0.78</v>
      </c>
      <c r="M13" s="50">
        <f>VLOOKUP($A13,'Data shares'!$C:$FB,119)</f>
        <v>0.76</v>
      </c>
      <c r="N13" s="50">
        <f>VLOOKUP($A13,'Data shares'!$C:$FB,121)*100</f>
        <v>2.63</v>
      </c>
      <c r="O13" s="50">
        <f>VLOOKUP($A13,'Data shares'!$C:$FB,124)</f>
        <v>0.53</v>
      </c>
      <c r="P13" s="50">
        <f>VLOOKUP($A13,'Data shares'!$C:$FB,125)</f>
        <v>0.41</v>
      </c>
      <c r="Q13" s="50">
        <f>VLOOKUP($A13,'Data shares'!$C:$FB,127)*100</f>
        <v>29.270000000000003</v>
      </c>
    </row>
    <row r="14" spans="1:17" x14ac:dyDescent="0.25">
      <c r="A14" s="97" t="str">
        <f>'Data Vlaue (Cr)'!C9</f>
        <v>ADANIPORTS</v>
      </c>
      <c r="B14" s="140">
        <f>VLOOKUP($A14,'Data shares'!$C:$FB,7)</f>
        <v>1370.6</v>
      </c>
      <c r="C14" s="140">
        <f>VLOOKUP($A14,'Data shares'!$C:$FB,3)</f>
        <v>1371.3</v>
      </c>
      <c r="D14" s="140">
        <f>VLOOKUP($A14,'Data shares'!$C:$FB,4)</f>
        <v>1373.2</v>
      </c>
      <c r="E14" s="50">
        <f>(C14-D14)/D14*100</f>
        <v>-0.13836294785902206</v>
      </c>
      <c r="F14" s="49">
        <f>VLOOKUP($A14,'Data shares'!$C:$FB,98)</f>
        <v>40978250</v>
      </c>
      <c r="G14" s="49">
        <f>VLOOKUP($A14,'Data shares'!$C:$FB,99)</f>
        <v>41574850</v>
      </c>
      <c r="H14" s="50">
        <f t="shared" si="1"/>
        <v>-1.4350021707835388</v>
      </c>
      <c r="I14" s="49">
        <f>VLOOKUP($A14,'Data shares'!$C:$FB,66)</f>
        <v>21157450</v>
      </c>
      <c r="J14" s="49">
        <f>VLOOKUP($A14,'Data shares'!$C:$FB,67)</f>
        <v>52775350</v>
      </c>
      <c r="K14" s="50">
        <f t="shared" si="2"/>
        <v>-149.44097705536348</v>
      </c>
      <c r="L14" s="50">
        <f>VLOOKUP($A14,'Data shares'!$C:$FB,118)</f>
        <v>0.76</v>
      </c>
      <c r="M14" s="50">
        <f>VLOOKUP($A14,'Data shares'!$C:$FB,119)</f>
        <v>0.77</v>
      </c>
      <c r="N14" s="50">
        <f>VLOOKUP($A14,'Data shares'!$C:$FB,121)*100</f>
        <v>-1.3</v>
      </c>
      <c r="O14" s="50">
        <f>VLOOKUP($A14,'Data shares'!$C:$FB,124)</f>
        <v>0.55000000000000004</v>
      </c>
      <c r="P14" s="50">
        <f>VLOOKUP($A14,'Data shares'!$C:$FB,125)</f>
        <v>0.38</v>
      </c>
      <c r="Q14" s="50">
        <f>VLOOKUP($A14,'Data shares'!$C:$FB,127)*100</f>
        <v>44.74</v>
      </c>
    </row>
    <row r="15" spans="1:17" x14ac:dyDescent="0.25">
      <c r="A15" s="97" t="str">
        <f>'Data Vlaue (Cr)'!C10</f>
        <v>ALKEM</v>
      </c>
      <c r="B15" s="140">
        <f>VLOOKUP($A15,'Data shares'!$C:$FB,7)</f>
        <v>5393</v>
      </c>
      <c r="C15" s="140">
        <f>VLOOKUP($A15,'Data shares'!$C:$FB,3)</f>
        <v>5398.5</v>
      </c>
      <c r="D15" s="140">
        <f>VLOOKUP($A15,'Data shares'!$C:$FB,4)</f>
        <v>5412</v>
      </c>
      <c r="E15" s="50">
        <f t="shared" si="0"/>
        <v>-0.24944567627494454</v>
      </c>
      <c r="F15" s="49">
        <f>VLOOKUP($A15,'Data shares'!$C:$FB,98)</f>
        <v>2752375</v>
      </c>
      <c r="G15" s="49">
        <f>VLOOKUP($A15,'Data shares'!$C:$FB,99)</f>
        <v>2686625</v>
      </c>
      <c r="H15" s="50">
        <f t="shared" si="1"/>
        <v>2.4473084259991627</v>
      </c>
      <c r="I15" s="49">
        <f>VLOOKUP($A15,'Data shares'!$C:$FB,66)</f>
        <v>1621250</v>
      </c>
      <c r="J15" s="49">
        <f>VLOOKUP($A15,'Data shares'!$C:$FB,67)</f>
        <v>1777750</v>
      </c>
      <c r="K15" s="50">
        <f t="shared" si="2"/>
        <v>-9.6530454895913653</v>
      </c>
      <c r="L15" s="50">
        <f>VLOOKUP($A15,'Data shares'!$C:$FB,118)</f>
        <v>0.77</v>
      </c>
      <c r="M15" s="50">
        <f>VLOOKUP($A15,'Data shares'!$C:$FB,119)</f>
        <v>0.93</v>
      </c>
      <c r="N15" s="50">
        <f>VLOOKUP($A15,'Data shares'!$C:$FB,121)*100</f>
        <v>-17.2</v>
      </c>
      <c r="O15" s="50">
        <f>VLOOKUP($A15,'Data shares'!$C:$FB,124)</f>
        <v>0.28999999999999998</v>
      </c>
      <c r="P15" s="50">
        <f>VLOOKUP($A15,'Data shares'!$C:$FB,125)</f>
        <v>0.41</v>
      </c>
      <c r="Q15" s="50">
        <f>VLOOKUP($A15,'Data shares'!$C:$FB,127)*100</f>
        <v>-29.270000000000003</v>
      </c>
    </row>
    <row r="16" spans="1:17" x14ac:dyDescent="0.25">
      <c r="A16" s="97" t="str">
        <f>'Data Vlaue (Cr)'!C11</f>
        <v>AMBER</v>
      </c>
      <c r="B16" s="140">
        <f>VLOOKUP($A16,'Data shares'!$C:$FB,7)</f>
        <v>7362</v>
      </c>
      <c r="C16" s="140">
        <f>VLOOKUP($A16,'Data shares'!$C:$FB,3)</f>
        <v>7384</v>
      </c>
      <c r="D16" s="140">
        <f>VLOOKUP($A16,'Data shares'!$C:$FB,4)</f>
        <v>7390.5</v>
      </c>
      <c r="E16" s="50">
        <f t="shared" si="0"/>
        <v>-8.7950747581354446E-2</v>
      </c>
      <c r="F16" s="49">
        <f>VLOOKUP($A16,'Data shares'!$C:$FB,98)</f>
        <v>2233600</v>
      </c>
      <c r="G16" s="49">
        <f>VLOOKUP($A16,'Data shares'!$C:$FB,99)</f>
        <v>2300300</v>
      </c>
      <c r="H16" s="50">
        <f t="shared" si="1"/>
        <v>-2.8996217884623743</v>
      </c>
      <c r="I16" s="49">
        <f>VLOOKUP($A16,'Data shares'!$C:$FB,66)</f>
        <v>2134500</v>
      </c>
      <c r="J16" s="49">
        <f>VLOOKUP($A16,'Data shares'!$C:$FB,67)</f>
        <v>1871200</v>
      </c>
      <c r="K16" s="50">
        <f t="shared" si="2"/>
        <v>12.335441555399392</v>
      </c>
      <c r="L16" s="50">
        <f>VLOOKUP($A16,'Data shares'!$C:$FB,118)</f>
        <v>0.5</v>
      </c>
      <c r="M16" s="50">
        <f>VLOOKUP($A16,'Data shares'!$C:$FB,119)</f>
        <v>0.55000000000000004</v>
      </c>
      <c r="N16" s="50">
        <f>VLOOKUP($A16,'Data shares'!$C:$FB,121)*100</f>
        <v>-9.09</v>
      </c>
      <c r="O16" s="50">
        <f>VLOOKUP($A16,'Data shares'!$C:$FB,124)</f>
        <v>0.57999999999999996</v>
      </c>
      <c r="P16" s="50">
        <f>VLOOKUP($A16,'Data shares'!$C:$FB,125)</f>
        <v>0.83</v>
      </c>
      <c r="Q16" s="50">
        <f>VLOOKUP($A16,'Data shares'!$C:$FB,127)*100</f>
        <v>-30.12</v>
      </c>
    </row>
    <row r="17" spans="1:17" x14ac:dyDescent="0.25">
      <c r="A17" s="97" t="str">
        <f>'Data Vlaue (Cr)'!C12</f>
        <v>AMBUJACEM</v>
      </c>
      <c r="B17" s="140">
        <f>VLOOKUP($A17,'Data shares'!$C:$FB,7)</f>
        <v>591.9</v>
      </c>
      <c r="C17" s="140">
        <f>VLOOKUP($A17,'Data shares'!$C:$FB,3)</f>
        <v>591.9</v>
      </c>
      <c r="D17" s="140">
        <f>VLOOKUP($A17,'Data shares'!$C:$FB,4)</f>
        <v>594.5</v>
      </c>
      <c r="E17" s="50">
        <f t="shared" si="0"/>
        <v>-0.43734230445753119</v>
      </c>
      <c r="F17" s="49">
        <f>VLOOKUP($A17,'Data shares'!$C:$FB,98)</f>
        <v>47377050</v>
      </c>
      <c r="G17" s="49">
        <f>VLOOKUP($A17,'Data shares'!$C:$FB,99)</f>
        <v>46355400</v>
      </c>
      <c r="H17" s="50">
        <f t="shared" si="1"/>
        <v>2.2039503488266736</v>
      </c>
      <c r="I17" s="49">
        <f>VLOOKUP($A17,'Data shares'!$C:$FB,66)</f>
        <v>12563250</v>
      </c>
      <c r="J17" s="49">
        <f>VLOOKUP($A17,'Data shares'!$C:$FB,67)</f>
        <v>14765100</v>
      </c>
      <c r="K17" s="50">
        <f t="shared" si="2"/>
        <v>-17.526117843710821</v>
      </c>
      <c r="L17" s="50">
        <f>VLOOKUP($A17,'Data shares'!$C:$FB,118)</f>
        <v>0.55000000000000004</v>
      </c>
      <c r="M17" s="50">
        <f>VLOOKUP($A17,'Data shares'!$C:$FB,119)</f>
        <v>0.54</v>
      </c>
      <c r="N17" s="50">
        <f>VLOOKUP($A17,'Data shares'!$C:$FB,121)*100</f>
        <v>1.8499999999999999</v>
      </c>
      <c r="O17" s="50">
        <f>VLOOKUP($A17,'Data shares'!$C:$FB,124)</f>
        <v>0.41</v>
      </c>
      <c r="P17" s="50">
        <f>VLOOKUP($A17,'Data shares'!$C:$FB,125)</f>
        <v>0.37</v>
      </c>
      <c r="Q17" s="50">
        <f>VLOOKUP($A17,'Data shares'!$C:$FB,127)*100</f>
        <v>10.81</v>
      </c>
    </row>
    <row r="18" spans="1:17" x14ac:dyDescent="0.25">
      <c r="A18" s="97" t="str">
        <f>'Data Vlaue (Cr)'!C13</f>
        <v>ANGELONE</v>
      </c>
      <c r="B18" s="140">
        <f>VLOOKUP($A18,'Data shares'!$C:$FB,7)</f>
        <v>2720.8</v>
      </c>
      <c r="C18" s="140">
        <f>VLOOKUP($A18,'Data shares'!$C:$FB,3)</f>
        <v>2722.4</v>
      </c>
      <c r="D18" s="140">
        <f>VLOOKUP($A18,'Data shares'!$C:$FB,4)</f>
        <v>2679.3</v>
      </c>
      <c r="E18" s="50">
        <f t="shared" si="0"/>
        <v>1.6086291195461466</v>
      </c>
      <c r="F18" s="49">
        <f>VLOOKUP($A18,'Data shares'!$C:$FB,98)</f>
        <v>5611500</v>
      </c>
      <c r="G18" s="49">
        <f>VLOOKUP($A18,'Data shares'!$C:$FB,99)</f>
        <v>5653250</v>
      </c>
      <c r="H18" s="50">
        <f t="shared" si="1"/>
        <v>-0.73851324459381773</v>
      </c>
      <c r="I18" s="49">
        <f>VLOOKUP($A18,'Data shares'!$C:$FB,66)</f>
        <v>5643500</v>
      </c>
      <c r="J18" s="49">
        <f>VLOOKUP($A18,'Data shares'!$C:$FB,67)</f>
        <v>4221000</v>
      </c>
      <c r="K18" s="50">
        <f t="shared" si="2"/>
        <v>25.205989191104809</v>
      </c>
      <c r="L18" s="50">
        <f>VLOOKUP($A18,'Data shares'!$C:$FB,118)</f>
        <v>0.9</v>
      </c>
      <c r="M18" s="50">
        <f>VLOOKUP($A18,'Data shares'!$C:$FB,119)</f>
        <v>0.87</v>
      </c>
      <c r="N18" s="50">
        <f>VLOOKUP($A18,'Data shares'!$C:$FB,121)*100</f>
        <v>3.45</v>
      </c>
      <c r="O18" s="50">
        <f>VLOOKUP($A18,'Data shares'!$C:$FB,124)</f>
        <v>0.56000000000000005</v>
      </c>
      <c r="P18" s="50">
        <f>VLOOKUP($A18,'Data shares'!$C:$FB,125)</f>
        <v>0.62</v>
      </c>
      <c r="Q18" s="50">
        <f>VLOOKUP($A18,'Data shares'!$C:$FB,127)*100</f>
        <v>-9.68</v>
      </c>
    </row>
    <row r="19" spans="1:17" x14ac:dyDescent="0.25">
      <c r="A19" s="97" t="str">
        <f>'Data Vlaue (Cr)'!C14</f>
        <v>APLAPOLLO</v>
      </c>
      <c r="B19" s="140">
        <f>VLOOKUP($A19,'Data shares'!$C:$FB,7)</f>
        <v>1628.3</v>
      </c>
      <c r="C19" s="140">
        <f>VLOOKUP($A19,'Data shares'!$C:$FB,3)</f>
        <v>1627.1</v>
      </c>
      <c r="D19" s="140">
        <f>VLOOKUP($A19,'Data shares'!$C:$FB,4)</f>
        <v>1625.5</v>
      </c>
      <c r="E19" s="50">
        <f t="shared" si="0"/>
        <v>9.8431251922479784E-2</v>
      </c>
      <c r="F19" s="49">
        <f>VLOOKUP($A19,'Data shares'!$C:$FB,98)</f>
        <v>10179050</v>
      </c>
      <c r="G19" s="49">
        <f>VLOOKUP($A19,'Data shares'!$C:$FB,99)</f>
        <v>10029250</v>
      </c>
      <c r="H19" s="50">
        <f t="shared" si="1"/>
        <v>1.4936311289478275</v>
      </c>
      <c r="I19" s="49">
        <f>VLOOKUP($A19,'Data shares'!$C:$FB,66)</f>
        <v>3995250</v>
      </c>
      <c r="J19" s="49">
        <f>VLOOKUP($A19,'Data shares'!$C:$FB,67)</f>
        <v>2401350</v>
      </c>
      <c r="K19" s="50">
        <f t="shared" si="2"/>
        <v>39.894875164257556</v>
      </c>
      <c r="L19" s="50">
        <f>VLOOKUP($A19,'Data shares'!$C:$FB,118)</f>
        <v>1.0900000000000001</v>
      </c>
      <c r="M19" s="50">
        <f>VLOOKUP($A19,'Data shares'!$C:$FB,119)</f>
        <v>1.05</v>
      </c>
      <c r="N19" s="50">
        <f>VLOOKUP($A19,'Data shares'!$C:$FB,121)*100</f>
        <v>3.81</v>
      </c>
      <c r="O19" s="50">
        <f>VLOOKUP($A19,'Data shares'!$C:$FB,124)</f>
        <v>0.36</v>
      </c>
      <c r="P19" s="50">
        <f>VLOOKUP($A19,'Data shares'!$C:$FB,125)</f>
        <v>0.37</v>
      </c>
      <c r="Q19" s="50">
        <f>VLOOKUP($A19,'Data shares'!$C:$FB,127)*100</f>
        <v>-2.7</v>
      </c>
    </row>
    <row r="20" spans="1:17" x14ac:dyDescent="0.25">
      <c r="A20" s="97" t="str">
        <f>'Data Vlaue (Cr)'!C15</f>
        <v>APOLLOHOSP</v>
      </c>
      <c r="B20" s="140">
        <f>VLOOKUP($A20,'Data shares'!$C:$FB,7)</f>
        <v>7883</v>
      </c>
      <c r="C20" s="140">
        <f>VLOOKUP($A20,'Data shares'!$C:$FB,3)</f>
        <v>7885.5</v>
      </c>
      <c r="D20" s="140">
        <f>VLOOKUP($A20,'Data shares'!$C:$FB,4)</f>
        <v>7847.5</v>
      </c>
      <c r="E20" s="50">
        <f t="shared" si="0"/>
        <v>0.48423064670277161</v>
      </c>
      <c r="F20" s="49">
        <f>VLOOKUP($A20,'Data shares'!$C:$FB,98)</f>
        <v>7883250</v>
      </c>
      <c r="G20" s="49">
        <f>VLOOKUP($A20,'Data shares'!$C:$FB,99)</f>
        <v>7843875</v>
      </c>
      <c r="H20" s="50">
        <f t="shared" si="1"/>
        <v>0.50198403212697806</v>
      </c>
      <c r="I20" s="49">
        <f>VLOOKUP($A20,'Data shares'!$C:$FB,66)</f>
        <v>7286875</v>
      </c>
      <c r="J20" s="49">
        <f>VLOOKUP($A20,'Data shares'!$C:$FB,67)</f>
        <v>4163375</v>
      </c>
      <c r="K20" s="50">
        <f t="shared" si="2"/>
        <v>42.864739686079425</v>
      </c>
      <c r="L20" s="50">
        <f>VLOOKUP($A20,'Data shares'!$C:$FB,118)</f>
        <v>1.18</v>
      </c>
      <c r="M20" s="50">
        <f>VLOOKUP($A20,'Data shares'!$C:$FB,119)</f>
        <v>1.1299999999999999</v>
      </c>
      <c r="N20" s="50">
        <f>VLOOKUP($A20,'Data shares'!$C:$FB,121)*100</f>
        <v>4.42</v>
      </c>
      <c r="O20" s="50">
        <f>VLOOKUP($A20,'Data shares'!$C:$FB,124)</f>
        <v>0.63</v>
      </c>
      <c r="P20" s="50">
        <f>VLOOKUP($A20,'Data shares'!$C:$FB,125)</f>
        <v>0.93</v>
      </c>
      <c r="Q20" s="50">
        <f>VLOOKUP($A20,'Data shares'!$C:$FB,127)*100</f>
        <v>-32.26</v>
      </c>
    </row>
    <row r="21" spans="1:17" x14ac:dyDescent="0.25">
      <c r="A21" s="97" t="str">
        <f>'Data Vlaue (Cr)'!C16</f>
        <v>ASHOKLEY</v>
      </c>
      <c r="B21" s="140">
        <f>VLOOKUP($A21,'Data shares'!$C:$FB,7)</f>
        <v>133.1</v>
      </c>
      <c r="C21" s="140">
        <f>VLOOKUP($A21,'Data shares'!$C:$FB,3)</f>
        <v>133.13</v>
      </c>
      <c r="D21" s="140">
        <f>VLOOKUP($A21,'Data shares'!$C:$FB,4)</f>
        <v>133.32</v>
      </c>
      <c r="E21" s="50">
        <f t="shared" si="0"/>
        <v>-0.14251425142514082</v>
      </c>
      <c r="F21" s="49">
        <f>VLOOKUP($A21,'Data shares'!$C:$FB,98)</f>
        <v>215825000</v>
      </c>
      <c r="G21" s="49">
        <f>VLOOKUP($A21,'Data shares'!$C:$FB,99)</f>
        <v>215275000</v>
      </c>
      <c r="H21" s="50">
        <f t="shared" si="1"/>
        <v>0.25548716757635581</v>
      </c>
      <c r="I21" s="49">
        <f>VLOOKUP($A21,'Data shares'!$C:$FB,66)</f>
        <v>205455000</v>
      </c>
      <c r="J21" s="49">
        <f>VLOOKUP($A21,'Data shares'!$C:$FB,67)</f>
        <v>582050000</v>
      </c>
      <c r="K21" s="50">
        <f t="shared" si="2"/>
        <v>-183.29804580078363</v>
      </c>
      <c r="L21" s="50">
        <f>VLOOKUP($A21,'Data shares'!$C:$FB,118)</f>
        <v>1.1000000000000001</v>
      </c>
      <c r="M21" s="50">
        <f>VLOOKUP($A21,'Data shares'!$C:$FB,119)</f>
        <v>1.08</v>
      </c>
      <c r="N21" s="50">
        <f>VLOOKUP($A21,'Data shares'!$C:$FB,121)*100</f>
        <v>1.8499999999999999</v>
      </c>
      <c r="O21" s="50">
        <f>VLOOKUP($A21,'Data shares'!$C:$FB,124)</f>
        <v>0.67</v>
      </c>
      <c r="P21" s="50">
        <f>VLOOKUP($A21,'Data shares'!$C:$FB,125)</f>
        <v>0.57999999999999996</v>
      </c>
      <c r="Q21" s="50">
        <f>VLOOKUP($A21,'Data shares'!$C:$FB,127)*100</f>
        <v>15.52</v>
      </c>
    </row>
    <row r="22" spans="1:17" x14ac:dyDescent="0.25">
      <c r="A22" s="97" t="str">
        <f>'Data Vlaue (Cr)'!C17</f>
        <v>ASIANPAINT</v>
      </c>
      <c r="B22" s="140">
        <f>VLOOKUP($A22,'Data shares'!$C:$FB,7)</f>
        <v>2570.1</v>
      </c>
      <c r="C22" s="140">
        <f>VLOOKUP($A22,'Data shares'!$C:$FB,3)</f>
        <v>2569.6</v>
      </c>
      <c r="D22" s="140">
        <f>VLOOKUP($A22,'Data shares'!$C:$FB,4)</f>
        <v>2579.8000000000002</v>
      </c>
      <c r="E22" s="50">
        <f t="shared" si="0"/>
        <v>-0.39537948678193163</v>
      </c>
      <c r="F22" s="49">
        <f>VLOOKUP($A22,'Data shares'!$C:$FB,98)</f>
        <v>24986750</v>
      </c>
      <c r="G22" s="49">
        <f>VLOOKUP($A22,'Data shares'!$C:$FB,99)</f>
        <v>24693500</v>
      </c>
      <c r="H22" s="50">
        <f t="shared" si="1"/>
        <v>1.1875594792151782</v>
      </c>
      <c r="I22" s="49">
        <f>VLOOKUP($A22,'Data shares'!$C:$FB,66)</f>
        <v>7515250</v>
      </c>
      <c r="J22" s="49">
        <f>VLOOKUP($A22,'Data shares'!$C:$FB,67)</f>
        <v>13390500</v>
      </c>
      <c r="K22" s="50">
        <f t="shared" si="2"/>
        <v>-78.177705332490603</v>
      </c>
      <c r="L22" s="50">
        <f>VLOOKUP($A22,'Data shares'!$C:$FB,118)</f>
        <v>0.63</v>
      </c>
      <c r="M22" s="50">
        <f>VLOOKUP($A22,'Data shares'!$C:$FB,119)</f>
        <v>0.61</v>
      </c>
      <c r="N22" s="50">
        <f>VLOOKUP($A22,'Data shares'!$C:$FB,121)*100</f>
        <v>3.2800000000000002</v>
      </c>
      <c r="O22" s="50">
        <f>VLOOKUP($A22,'Data shares'!$C:$FB,124)</f>
        <v>0.6</v>
      </c>
      <c r="P22" s="50">
        <f>VLOOKUP($A22,'Data shares'!$C:$FB,125)</f>
        <v>0.52</v>
      </c>
      <c r="Q22" s="50">
        <f>VLOOKUP($A22,'Data shares'!$C:$FB,127)*100</f>
        <v>15.379999999999999</v>
      </c>
    </row>
    <row r="23" spans="1:17" x14ac:dyDescent="0.25">
      <c r="A23" s="97" t="str">
        <f>'Data Vlaue (Cr)'!C18</f>
        <v>ASTRAL</v>
      </c>
      <c r="B23" s="140">
        <f>VLOOKUP($A23,'Data shares'!$C:$FB,7)</f>
        <v>1393.8</v>
      </c>
      <c r="C23" s="140">
        <f>VLOOKUP($A23,'Data shares'!$C:$FB,3)</f>
        <v>1399.1</v>
      </c>
      <c r="D23" s="140">
        <f>VLOOKUP($A23,'Data shares'!$C:$FB,4)</f>
        <v>1371.5</v>
      </c>
      <c r="E23" s="50">
        <f t="shared" si="0"/>
        <v>2.0123951877506316</v>
      </c>
      <c r="F23" s="49">
        <f>VLOOKUP($A23,'Data shares'!$C:$FB,98)</f>
        <v>14440650</v>
      </c>
      <c r="G23" s="49">
        <f>VLOOKUP($A23,'Data shares'!$C:$FB,99)</f>
        <v>14672275</v>
      </c>
      <c r="H23" s="50">
        <f t="shared" si="1"/>
        <v>-1.578657706456565</v>
      </c>
      <c r="I23" s="49">
        <f>VLOOKUP($A23,'Data shares'!$C:$FB,66)</f>
        <v>21093600</v>
      </c>
      <c r="J23" s="49">
        <f>VLOOKUP($A23,'Data shares'!$C:$FB,67)</f>
        <v>20468425</v>
      </c>
      <c r="K23" s="50">
        <f t="shared" si="2"/>
        <v>2.9638136686009027</v>
      </c>
      <c r="L23" s="50">
        <f>VLOOKUP($A23,'Data shares'!$C:$FB,118)</f>
        <v>0.89</v>
      </c>
      <c r="M23" s="50">
        <f>VLOOKUP($A23,'Data shares'!$C:$FB,119)</f>
        <v>0.89</v>
      </c>
      <c r="N23" s="50">
        <f>VLOOKUP($A23,'Data shares'!$C:$FB,121)*100</f>
        <v>0</v>
      </c>
      <c r="O23" s="50">
        <f>VLOOKUP($A23,'Data shares'!$C:$FB,124)</f>
        <v>0.37</v>
      </c>
      <c r="P23" s="50">
        <f>VLOOKUP($A23,'Data shares'!$C:$FB,125)</f>
        <v>0.48</v>
      </c>
      <c r="Q23" s="50">
        <f>VLOOKUP($A23,'Data shares'!$C:$FB,127)*100</f>
        <v>-22.919999999999998</v>
      </c>
    </row>
    <row r="24" spans="1:17" x14ac:dyDescent="0.25">
      <c r="A24" s="97" t="str">
        <f>'Data Vlaue (Cr)'!C19</f>
        <v>ATGL</v>
      </c>
      <c r="B24" s="140">
        <f>VLOOKUP($A24,'Data shares'!$C:$FB,7)</f>
        <v>630.4</v>
      </c>
      <c r="C24" s="140">
        <f>VLOOKUP($A24,'Data shares'!$C:$FB,3)</f>
        <v>633.1</v>
      </c>
      <c r="D24" s="140">
        <f>VLOOKUP($A24,'Data shares'!$C:$FB,4)</f>
        <v>631.6</v>
      </c>
      <c r="E24" s="50">
        <f t="shared" si="0"/>
        <v>0.23749208359721344</v>
      </c>
      <c r="F24" s="49">
        <f>VLOOKUP($A24,'Data shares'!$C:$FB,98)</f>
        <v>5320875</v>
      </c>
      <c r="G24" s="49">
        <f>VLOOKUP($A24,'Data shares'!$C:$FB,99)</f>
        <v>5656000</v>
      </c>
      <c r="H24" s="50">
        <f t="shared" si="1"/>
        <v>-5.9251237623762369</v>
      </c>
      <c r="I24" s="49">
        <f>VLOOKUP($A24,'Data shares'!$C:$FB,66)</f>
        <v>2499875</v>
      </c>
      <c r="J24" s="49">
        <f>VLOOKUP($A24,'Data shares'!$C:$FB,67)</f>
        <v>2614500</v>
      </c>
      <c r="K24" s="50">
        <f t="shared" si="2"/>
        <v>-4.5852292614630734</v>
      </c>
      <c r="L24" s="50">
        <f>VLOOKUP($A24,'Data shares'!$C:$FB,118)</f>
        <v>0.88</v>
      </c>
      <c r="M24" s="50">
        <f>VLOOKUP($A24,'Data shares'!$C:$FB,119)</f>
        <v>0.82</v>
      </c>
      <c r="N24" s="50">
        <f>VLOOKUP($A24,'Data shares'!$C:$FB,121)*100</f>
        <v>7.32</v>
      </c>
      <c r="O24" s="50">
        <f>VLOOKUP($A24,'Data shares'!$C:$FB,124)</f>
        <v>0.33</v>
      </c>
      <c r="P24" s="50">
        <f>VLOOKUP($A24,'Data shares'!$C:$FB,125)</f>
        <v>0.28000000000000003</v>
      </c>
      <c r="Q24" s="50">
        <f>VLOOKUP($A24,'Data shares'!$C:$FB,127)*100</f>
        <v>17.86</v>
      </c>
    </row>
    <row r="25" spans="1:17" x14ac:dyDescent="0.25">
      <c r="A25" s="97" t="str">
        <f>'Data Vlaue (Cr)'!C20</f>
        <v>AUBANK</v>
      </c>
      <c r="B25" s="140">
        <f>VLOOKUP($A25,'Data shares'!$C:$FB,7)</f>
        <v>759.15</v>
      </c>
      <c r="C25" s="140">
        <f>VLOOKUP($A25,'Data shares'!$C:$FB,3)</f>
        <v>757.6</v>
      </c>
      <c r="D25" s="140">
        <f>VLOOKUP($A25,'Data shares'!$C:$FB,4)</f>
        <v>757</v>
      </c>
      <c r="E25" s="50">
        <f t="shared" si="0"/>
        <v>7.926023778071635E-2</v>
      </c>
      <c r="F25" s="49">
        <f>VLOOKUP($A25,'Data shares'!$C:$FB,98)</f>
        <v>35374000</v>
      </c>
      <c r="G25" s="49">
        <f>VLOOKUP($A25,'Data shares'!$C:$FB,99)</f>
        <v>35121000</v>
      </c>
      <c r="H25" s="50">
        <f t="shared" si="1"/>
        <v>0.72036673215455138</v>
      </c>
      <c r="I25" s="49">
        <f>VLOOKUP($A25,'Data shares'!$C:$FB,66)</f>
        <v>17992000</v>
      </c>
      <c r="J25" s="49">
        <f>VLOOKUP($A25,'Data shares'!$C:$FB,67)</f>
        <v>13254000</v>
      </c>
      <c r="K25" s="50">
        <f t="shared" si="2"/>
        <v>26.333926189417518</v>
      </c>
      <c r="L25" s="50">
        <f>VLOOKUP($A25,'Data shares'!$C:$FB,118)</f>
        <v>0.59</v>
      </c>
      <c r="M25" s="50">
        <f>VLOOKUP($A25,'Data shares'!$C:$FB,119)</f>
        <v>0.57999999999999996</v>
      </c>
      <c r="N25" s="50">
        <f>VLOOKUP($A25,'Data shares'!$C:$FB,121)*100</f>
        <v>1.72</v>
      </c>
      <c r="O25" s="50">
        <f>VLOOKUP($A25,'Data shares'!$C:$FB,124)</f>
        <v>0.51</v>
      </c>
      <c r="P25" s="50">
        <f>VLOOKUP($A25,'Data shares'!$C:$FB,125)</f>
        <v>0.5</v>
      </c>
      <c r="Q25" s="50">
        <f>VLOOKUP($A25,'Data shares'!$C:$FB,127)*100</f>
        <v>2</v>
      </c>
    </row>
    <row r="26" spans="1:17" x14ac:dyDescent="0.25">
      <c r="A26" s="97" t="str">
        <f>'Data Vlaue (Cr)'!C21</f>
        <v>AUROPHARMA</v>
      </c>
      <c r="B26" s="140">
        <f>VLOOKUP($A26,'Data shares'!$C:$FB,7)</f>
        <v>1046.4000000000001</v>
      </c>
      <c r="C26" s="140">
        <f>VLOOKUP($A26,'Data shares'!$C:$FB,3)</f>
        <v>1048.8</v>
      </c>
      <c r="D26" s="140">
        <f>VLOOKUP($A26,'Data shares'!$C:$FB,4)</f>
        <v>1092.5999999999999</v>
      </c>
      <c r="E26" s="50">
        <f t="shared" si="0"/>
        <v>-4.0087863811092772</v>
      </c>
      <c r="F26" s="49">
        <f>VLOOKUP($A26,'Data shares'!$C:$FB,98)</f>
        <v>31391250</v>
      </c>
      <c r="G26" s="49">
        <f>VLOOKUP($A26,'Data shares'!$C:$FB,99)</f>
        <v>25119600</v>
      </c>
      <c r="H26" s="50">
        <f t="shared" si="1"/>
        <v>24.96715712033631</v>
      </c>
      <c r="I26" s="49">
        <f>VLOOKUP($A26,'Data shares'!$C:$FB,66)</f>
        <v>51344150</v>
      </c>
      <c r="J26" s="49">
        <f>VLOOKUP($A26,'Data shares'!$C:$FB,67)</f>
        <v>7181900</v>
      </c>
      <c r="K26" s="50">
        <f t="shared" si="2"/>
        <v>86.012233136589074</v>
      </c>
      <c r="L26" s="50">
        <f>VLOOKUP($A26,'Data shares'!$C:$FB,118)</f>
        <v>0.56000000000000005</v>
      </c>
      <c r="M26" s="50">
        <f>VLOOKUP($A26,'Data shares'!$C:$FB,119)</f>
        <v>0.75</v>
      </c>
      <c r="N26" s="50">
        <f>VLOOKUP($A26,'Data shares'!$C:$FB,121)*100</f>
        <v>-25.330000000000002</v>
      </c>
      <c r="O26" s="50">
        <f>VLOOKUP($A26,'Data shares'!$C:$FB,124)</f>
        <v>0.61</v>
      </c>
      <c r="P26" s="50">
        <f>VLOOKUP($A26,'Data shares'!$C:$FB,125)</f>
        <v>0.82</v>
      </c>
      <c r="Q26" s="50">
        <f>VLOOKUP($A26,'Data shares'!$C:$FB,127)*100</f>
        <v>-25.61</v>
      </c>
    </row>
    <row r="27" spans="1:17" x14ac:dyDescent="0.25">
      <c r="A27" s="97" t="str">
        <f>'Data Vlaue (Cr)'!C22</f>
        <v>AXISBANK</v>
      </c>
      <c r="B27" s="140">
        <f>VLOOKUP($A27,'Data shares'!$C:$FB,7)</f>
        <v>1080.2</v>
      </c>
      <c r="C27" s="140">
        <f>VLOOKUP($A27,'Data shares'!$C:$FB,3)</f>
        <v>1082.0999999999999</v>
      </c>
      <c r="D27" s="140">
        <f>VLOOKUP($A27,'Data shares'!$C:$FB,4)</f>
        <v>1086.8</v>
      </c>
      <c r="E27" s="50">
        <f t="shared" si="0"/>
        <v>-0.43246227456754194</v>
      </c>
      <c r="F27" s="49">
        <f>VLOOKUP($A27,'Data shares'!$C:$FB,98)</f>
        <v>137405000</v>
      </c>
      <c r="G27" s="49">
        <f>VLOOKUP($A27,'Data shares'!$C:$FB,99)</f>
        <v>135527500</v>
      </c>
      <c r="H27" s="50">
        <f t="shared" si="1"/>
        <v>1.3853277010200882</v>
      </c>
      <c r="I27" s="49">
        <f>VLOOKUP($A27,'Data shares'!$C:$FB,66)</f>
        <v>30973125</v>
      </c>
      <c r="J27" s="49">
        <f>VLOOKUP($A27,'Data shares'!$C:$FB,67)</f>
        <v>43546250</v>
      </c>
      <c r="K27" s="50">
        <f t="shared" si="2"/>
        <v>-40.593659826058882</v>
      </c>
      <c r="L27" s="50">
        <f>VLOOKUP($A27,'Data shares'!$C:$FB,118)</f>
        <v>0.55000000000000004</v>
      </c>
      <c r="M27" s="50">
        <f>VLOOKUP($A27,'Data shares'!$C:$FB,119)</f>
        <v>0.56000000000000005</v>
      </c>
      <c r="N27" s="50">
        <f>VLOOKUP($A27,'Data shares'!$C:$FB,121)*100</f>
        <v>-1.79</v>
      </c>
      <c r="O27" s="50">
        <f>VLOOKUP($A27,'Data shares'!$C:$FB,124)</f>
        <v>0.54</v>
      </c>
      <c r="P27" s="50">
        <f>VLOOKUP($A27,'Data shares'!$C:$FB,125)</f>
        <v>0.53</v>
      </c>
      <c r="Q27" s="50">
        <f>VLOOKUP($A27,'Data shares'!$C:$FB,127)*100</f>
        <v>1.8900000000000001</v>
      </c>
    </row>
    <row r="28" spans="1:17" x14ac:dyDescent="0.25">
      <c r="A28" s="97" t="str">
        <f>'Data Vlaue (Cr)'!C23</f>
        <v>BAJAJ-AUTO</v>
      </c>
      <c r="B28" s="140">
        <f>VLOOKUP($A28,'Data shares'!$C:$FB,7)</f>
        <v>8827.5</v>
      </c>
      <c r="C28" s="140">
        <f>VLOOKUP($A28,'Data shares'!$C:$FB,3)</f>
        <v>8826.5</v>
      </c>
      <c r="D28" s="140">
        <f>VLOOKUP($A28,'Data shares'!$C:$FB,4)</f>
        <v>8800.5</v>
      </c>
      <c r="E28" s="50">
        <f t="shared" si="0"/>
        <v>0.29543775921822624</v>
      </c>
      <c r="F28" s="49">
        <f>VLOOKUP($A28,'Data shares'!$C:$FB,98)</f>
        <v>5593275</v>
      </c>
      <c r="G28" s="49">
        <f>VLOOKUP($A28,'Data shares'!$C:$FB,99)</f>
        <v>5638500</v>
      </c>
      <c r="H28" s="50">
        <f t="shared" si="1"/>
        <v>-0.80207501995211494</v>
      </c>
      <c r="I28" s="49">
        <f>VLOOKUP($A28,'Data shares'!$C:$FB,66)</f>
        <v>7246800</v>
      </c>
      <c r="J28" s="49">
        <f>VLOOKUP($A28,'Data shares'!$C:$FB,67)</f>
        <v>26682150</v>
      </c>
      <c r="K28" s="50">
        <f t="shared" si="2"/>
        <v>-268.1921675774135</v>
      </c>
      <c r="L28" s="50">
        <f>VLOOKUP($A28,'Data shares'!$C:$FB,118)</f>
        <v>0.83</v>
      </c>
      <c r="M28" s="50">
        <f>VLOOKUP($A28,'Data shares'!$C:$FB,119)</f>
        <v>0.77</v>
      </c>
      <c r="N28" s="50">
        <f>VLOOKUP($A28,'Data shares'!$C:$FB,121)*100</f>
        <v>7.79</v>
      </c>
      <c r="O28" s="50">
        <f>VLOOKUP($A28,'Data shares'!$C:$FB,124)</f>
        <v>0.52</v>
      </c>
      <c r="P28" s="50">
        <f>VLOOKUP($A28,'Data shares'!$C:$FB,125)</f>
        <v>0.41</v>
      </c>
      <c r="Q28" s="50">
        <f>VLOOKUP($A28,'Data shares'!$C:$FB,127)*100</f>
        <v>26.83</v>
      </c>
    </row>
    <row r="29" spans="1:17" x14ac:dyDescent="0.25">
      <c r="A29" s="97" t="str">
        <f>'Data Vlaue (Cr)'!C24</f>
        <v>BAJAJFINSV</v>
      </c>
      <c r="B29" s="140">
        <f>VLOOKUP($A29,'Data shares'!$C:$FB,7)</f>
        <v>1958.5</v>
      </c>
      <c r="C29" s="140">
        <f>VLOOKUP($A29,'Data shares'!$C:$FB,3)</f>
        <v>1962.9</v>
      </c>
      <c r="D29" s="140">
        <f>VLOOKUP($A29,'Data shares'!$C:$FB,4)</f>
        <v>1978.8</v>
      </c>
      <c r="E29" s="50">
        <f t="shared" si="0"/>
        <v>-0.80351728320193372</v>
      </c>
      <c r="F29" s="49">
        <f>VLOOKUP($A29,'Data shares'!$C:$FB,98)</f>
        <v>28045500</v>
      </c>
      <c r="G29" s="49">
        <f>VLOOKUP($A29,'Data shares'!$C:$FB,99)</f>
        <v>27421500</v>
      </c>
      <c r="H29" s="50">
        <f t="shared" si="1"/>
        <v>2.2755866746895683</v>
      </c>
      <c r="I29" s="49">
        <f>VLOOKUP($A29,'Data shares'!$C:$FB,66)</f>
        <v>16183000</v>
      </c>
      <c r="J29" s="49">
        <f>VLOOKUP($A29,'Data shares'!$C:$FB,67)</f>
        <v>18298000</v>
      </c>
      <c r="K29" s="50">
        <f t="shared" si="2"/>
        <v>-13.069270221837732</v>
      </c>
      <c r="L29" s="50">
        <f>VLOOKUP($A29,'Data shares'!$C:$FB,118)</f>
        <v>0.71</v>
      </c>
      <c r="M29" s="50">
        <f>VLOOKUP($A29,'Data shares'!$C:$FB,119)</f>
        <v>0.79</v>
      </c>
      <c r="N29" s="50">
        <f>VLOOKUP($A29,'Data shares'!$C:$FB,121)*100</f>
        <v>-10.130000000000001</v>
      </c>
      <c r="O29" s="50">
        <f>VLOOKUP($A29,'Data shares'!$C:$FB,124)</f>
        <v>0.48</v>
      </c>
      <c r="P29" s="50">
        <f>VLOOKUP($A29,'Data shares'!$C:$FB,125)</f>
        <v>0.63</v>
      </c>
      <c r="Q29" s="50">
        <f>VLOOKUP($A29,'Data shares'!$C:$FB,127)*100</f>
        <v>-23.810000000000002</v>
      </c>
    </row>
    <row r="30" spans="1:17" x14ac:dyDescent="0.25">
      <c r="A30" s="97" t="str">
        <f>'Data Vlaue (Cr)'!C25</f>
        <v>BAJFINANCE</v>
      </c>
      <c r="B30" s="176">
        <f>VLOOKUP($A30,'Data shares'!$C:$FB,7)</f>
        <v>887.8</v>
      </c>
      <c r="C30" s="176">
        <f>VLOOKUP($A30,'Data shares'!$C:$FB,3)</f>
        <v>887.95</v>
      </c>
      <c r="D30" s="176">
        <f>VLOOKUP($A30,'Data shares'!$C:$FB,4)</f>
        <v>904.1</v>
      </c>
      <c r="E30" s="50">
        <f t="shared" si="0"/>
        <v>-1.7863068244663174</v>
      </c>
      <c r="F30" s="49">
        <f>VLOOKUP($A30,'Data shares'!$C:$FB,98)</f>
        <v>144300000</v>
      </c>
      <c r="G30" s="49">
        <f>VLOOKUP($A30,'Data shares'!$C:$FB,99)</f>
        <v>139965000</v>
      </c>
      <c r="H30" s="50">
        <f t="shared" si="1"/>
        <v>3.0972028721466081</v>
      </c>
      <c r="I30" s="49">
        <f>VLOOKUP($A30,'Data shares'!$C:$FB,66)</f>
        <v>61887000</v>
      </c>
      <c r="J30" s="49">
        <f>VLOOKUP($A30,'Data shares'!$C:$FB,67)</f>
        <v>69669750</v>
      </c>
      <c r="K30" s="50">
        <f t="shared" si="2"/>
        <v>-12.575742886228126</v>
      </c>
      <c r="L30" s="50">
        <f>VLOOKUP($A30,'Data shares'!$C:$FB,118)</f>
        <v>0.53</v>
      </c>
      <c r="M30" s="50">
        <f>VLOOKUP($A30,'Data shares'!$C:$FB,119)</f>
        <v>0.57999999999999996</v>
      </c>
      <c r="N30" s="50">
        <f>VLOOKUP($A30,'Data shares'!$C:$FB,121)*100</f>
        <v>-8.6199999999999992</v>
      </c>
      <c r="O30" s="50">
        <f>VLOOKUP($A30,'Data shares'!$C:$FB,124)</f>
        <v>0.55000000000000004</v>
      </c>
      <c r="P30" s="50">
        <f>VLOOKUP($A30,'Data shares'!$C:$FB,125)</f>
        <v>0.55000000000000004</v>
      </c>
      <c r="Q30" s="50">
        <f>VLOOKUP($A30,'Data shares'!$C:$FB,127)*100</f>
        <v>0</v>
      </c>
    </row>
    <row r="31" spans="1:17" x14ac:dyDescent="0.25">
      <c r="A31" s="97" t="str">
        <f>'Data Vlaue (Cr)'!C26</f>
        <v>BANDHANBNK</v>
      </c>
      <c r="B31" s="140">
        <f>VLOOKUP($A31,'Data shares'!$C:$FB,7)</f>
        <v>174.28</v>
      </c>
      <c r="C31" s="140">
        <f>VLOOKUP($A31,'Data shares'!$C:$FB,3)</f>
        <v>174.74</v>
      </c>
      <c r="D31" s="140">
        <f>VLOOKUP($A31,'Data shares'!$C:$FB,4)</f>
        <v>174.26</v>
      </c>
      <c r="E31" s="50">
        <f t="shared" si="0"/>
        <v>0.27545047629979241</v>
      </c>
      <c r="F31" s="49">
        <f>VLOOKUP($A31,'Data shares'!$C:$FB,98)</f>
        <v>122670000</v>
      </c>
      <c r="G31" s="49">
        <f>VLOOKUP($A31,'Data shares'!$C:$FB,99)</f>
        <v>121863600</v>
      </c>
      <c r="H31" s="50">
        <f t="shared" si="1"/>
        <v>0.6617234350536173</v>
      </c>
      <c r="I31" s="49">
        <f>VLOOKUP($A31,'Data shares'!$C:$FB,66)</f>
        <v>48276000</v>
      </c>
      <c r="J31" s="49">
        <f>VLOOKUP($A31,'Data shares'!$C:$FB,67)</f>
        <v>99331200</v>
      </c>
      <c r="K31" s="50">
        <f t="shared" si="2"/>
        <v>-105.75689783743476</v>
      </c>
      <c r="L31" s="50">
        <f>VLOOKUP($A31,'Data shares'!$C:$FB,118)</f>
        <v>0.74</v>
      </c>
      <c r="M31" s="50">
        <f>VLOOKUP($A31,'Data shares'!$C:$FB,119)</f>
        <v>0.76</v>
      </c>
      <c r="N31" s="50">
        <f>VLOOKUP($A31,'Data shares'!$C:$FB,121)*100</f>
        <v>-2.63</v>
      </c>
      <c r="O31" s="50">
        <f>VLOOKUP($A31,'Data shares'!$C:$FB,124)</f>
        <v>0.73</v>
      </c>
      <c r="P31" s="50">
        <f>VLOOKUP($A31,'Data shares'!$C:$FB,125)</f>
        <v>0.63</v>
      </c>
      <c r="Q31" s="50">
        <f>VLOOKUP($A31,'Data shares'!$C:$FB,127)*100</f>
        <v>15.870000000000001</v>
      </c>
    </row>
    <row r="32" spans="1:17" x14ac:dyDescent="0.25">
      <c r="A32" s="97" t="str">
        <f>'Data Vlaue (Cr)'!C27</f>
        <v>BANKBARODA</v>
      </c>
      <c r="B32" s="140">
        <f>VLOOKUP($A32,'Data shares'!$C:$FB,7)</f>
        <v>244.88</v>
      </c>
      <c r="C32" s="140">
        <f>VLOOKUP($A32,'Data shares'!$C:$FB,3)</f>
        <v>245.54</v>
      </c>
      <c r="D32" s="140">
        <f>VLOOKUP($A32,'Data shares'!$C:$FB,4)</f>
        <v>247.9</v>
      </c>
      <c r="E32" s="50">
        <f t="shared" si="0"/>
        <v>-0.95199677289230078</v>
      </c>
      <c r="F32" s="49">
        <f>VLOOKUP($A32,'Data shares'!$C:$FB,98)</f>
        <v>188355375</v>
      </c>
      <c r="G32" s="49">
        <f>VLOOKUP($A32,'Data shares'!$C:$FB,99)</f>
        <v>179665200</v>
      </c>
      <c r="H32" s="50">
        <f t="shared" si="1"/>
        <v>4.8368715811409224</v>
      </c>
      <c r="I32" s="49">
        <f>VLOOKUP($A32,'Data shares'!$C:$FB,66)</f>
        <v>110471400</v>
      </c>
      <c r="J32" s="49">
        <f>VLOOKUP($A32,'Data shares'!$C:$FB,67)</f>
        <v>101134800</v>
      </c>
      <c r="K32" s="50">
        <f t="shared" si="2"/>
        <v>8.4515992374496935</v>
      </c>
      <c r="L32" s="50">
        <f>VLOOKUP($A32,'Data shares'!$C:$FB,118)</f>
        <v>0.93</v>
      </c>
      <c r="M32" s="50">
        <f>VLOOKUP($A32,'Data shares'!$C:$FB,119)</f>
        <v>0.98</v>
      </c>
      <c r="N32" s="50">
        <f>VLOOKUP($A32,'Data shares'!$C:$FB,121)*100</f>
        <v>-5.0999999999999996</v>
      </c>
      <c r="O32" s="50">
        <f>VLOOKUP($A32,'Data shares'!$C:$FB,124)</f>
        <v>0.61</v>
      </c>
      <c r="P32" s="50">
        <f>VLOOKUP($A32,'Data shares'!$C:$FB,125)</f>
        <v>0.55000000000000004</v>
      </c>
      <c r="Q32" s="50">
        <f>VLOOKUP($A32,'Data shares'!$C:$FB,127)*100</f>
        <v>10.91</v>
      </c>
    </row>
    <row r="33" spans="1:17" x14ac:dyDescent="0.25">
      <c r="A33" s="97" t="str">
        <f>'Data Vlaue (Cr)'!C28</f>
        <v>BANKINDIA</v>
      </c>
      <c r="B33" s="140">
        <f>VLOOKUP($A33,'Data shares'!$C:$FB,7)</f>
        <v>116.33</v>
      </c>
      <c r="C33" s="140">
        <f>VLOOKUP($A33,'Data shares'!$C:$FB,3)</f>
        <v>116.53</v>
      </c>
      <c r="D33" s="140">
        <f>VLOOKUP($A33,'Data shares'!$C:$FB,4)</f>
        <v>116.89</v>
      </c>
      <c r="E33" s="50">
        <f t="shared" si="0"/>
        <v>-0.30798186329027244</v>
      </c>
      <c r="F33" s="49">
        <f>VLOOKUP($A33,'Data shares'!$C:$FB,98)</f>
        <v>95529200</v>
      </c>
      <c r="G33" s="49">
        <f>VLOOKUP($A33,'Data shares'!$C:$FB,99)</f>
        <v>94343600</v>
      </c>
      <c r="H33" s="50">
        <f t="shared" si="1"/>
        <v>1.256683018243951</v>
      </c>
      <c r="I33" s="49">
        <f>VLOOKUP($A33,'Data shares'!$C:$FB,66)</f>
        <v>19463600</v>
      </c>
      <c r="J33" s="49">
        <f>VLOOKUP($A33,'Data shares'!$C:$FB,67)</f>
        <v>36977200</v>
      </c>
      <c r="K33" s="50">
        <f t="shared" si="2"/>
        <v>-89.981298423724283</v>
      </c>
      <c r="L33" s="50">
        <f>VLOOKUP($A33,'Data shares'!$C:$FB,118)</f>
        <v>0.92</v>
      </c>
      <c r="M33" s="50">
        <f>VLOOKUP($A33,'Data shares'!$C:$FB,119)</f>
        <v>0.86</v>
      </c>
      <c r="N33" s="50">
        <f>VLOOKUP($A33,'Data shares'!$C:$FB,121)*100</f>
        <v>6.98</v>
      </c>
      <c r="O33" s="50">
        <f>VLOOKUP($A33,'Data shares'!$C:$FB,124)</f>
        <v>1.07</v>
      </c>
      <c r="P33" s="50">
        <f>VLOOKUP($A33,'Data shares'!$C:$FB,125)</f>
        <v>0.56000000000000005</v>
      </c>
      <c r="Q33" s="50">
        <f>VLOOKUP($A33,'Data shares'!$C:$FB,127)*100</f>
        <v>91.07</v>
      </c>
    </row>
    <row r="34" spans="1:17" x14ac:dyDescent="0.25">
      <c r="A34" s="97" t="str">
        <f>'Data Vlaue (Cr)'!C29</f>
        <v>BANKNIFTY</v>
      </c>
      <c r="B34" s="140">
        <f>VLOOKUP($A34,'Data shares'!$C:$FB,7)</f>
        <v>55698.5</v>
      </c>
      <c r="C34" s="140">
        <f>VLOOKUP($A34,'Data shares'!$C:$FB,3)</f>
        <v>55815.6</v>
      </c>
      <c r="D34" s="140">
        <f>VLOOKUP($A34,'Data shares'!$C:$FB,4)</f>
        <v>55965.8</v>
      </c>
      <c r="E34" s="50">
        <f t="shared" si="0"/>
        <v>-0.26837818810774505</v>
      </c>
      <c r="F34" s="49">
        <f>VLOOKUP($A34,'Data shares'!$C:$FB,98)</f>
        <v>43638415</v>
      </c>
      <c r="G34" s="49">
        <f>VLOOKUP($A34,'Data shares'!$C:$FB,99)</f>
        <v>42040470</v>
      </c>
      <c r="H34" s="50">
        <f t="shared" si="1"/>
        <v>3.8009684477837666</v>
      </c>
      <c r="I34" s="49">
        <f>VLOOKUP($A34,'Data shares'!$C:$FB,66)</f>
        <v>122722005</v>
      </c>
      <c r="J34" s="49">
        <f>VLOOKUP($A34,'Data shares'!$C:$FB,67)</f>
        <v>117140730</v>
      </c>
      <c r="K34" s="50">
        <f t="shared" si="2"/>
        <v>4.5479007615626879</v>
      </c>
      <c r="L34" s="50">
        <f>VLOOKUP($A34,'Data shares'!$C:$FB,118)</f>
        <v>0.76</v>
      </c>
      <c r="M34" s="50">
        <f>VLOOKUP($A34,'Data shares'!$C:$FB,119)</f>
        <v>0.82</v>
      </c>
      <c r="N34" s="50">
        <f>VLOOKUP($A34,'Data shares'!$C:$FB,121)*100</f>
        <v>-7.32</v>
      </c>
      <c r="O34" s="50">
        <f>VLOOKUP($A34,'Data shares'!$C:$FB,124)</f>
        <v>0.9</v>
      </c>
      <c r="P34" s="50">
        <f>VLOOKUP($A34,'Data shares'!$C:$FB,125)</f>
        <v>0.82</v>
      </c>
      <c r="Q34" s="50">
        <f>VLOOKUP($A34,'Data shares'!$C:$FB,127)*100</f>
        <v>9.76</v>
      </c>
    </row>
    <row r="35" spans="1:17" x14ac:dyDescent="0.25">
      <c r="A35" s="97" t="str">
        <f>'Data Vlaue (Cr)'!C30</f>
        <v>BDL</v>
      </c>
      <c r="B35" s="140">
        <f>VLOOKUP($A35,'Data shares'!$C:$FB,7)</f>
        <v>1529.5</v>
      </c>
      <c r="C35" s="140">
        <f>VLOOKUP($A35,'Data shares'!$C:$FB,3)</f>
        <v>1532.9</v>
      </c>
      <c r="D35" s="140">
        <f>VLOOKUP($A35,'Data shares'!$C:$FB,4)</f>
        <v>1555</v>
      </c>
      <c r="E35" s="50">
        <f t="shared" si="0"/>
        <v>-1.4212218649517625</v>
      </c>
      <c r="F35" s="49">
        <f>VLOOKUP($A35,'Data shares'!$C:$FB,98)</f>
        <v>10447450</v>
      </c>
      <c r="G35" s="49">
        <f>VLOOKUP($A35,'Data shares'!$C:$FB,99)</f>
        <v>9916400</v>
      </c>
      <c r="H35" s="50">
        <f t="shared" si="1"/>
        <v>5.3552700576822234</v>
      </c>
      <c r="I35" s="49">
        <f>VLOOKUP($A35,'Data shares'!$C:$FB,66)</f>
        <v>7680075</v>
      </c>
      <c r="J35" s="49">
        <f>VLOOKUP($A35,'Data shares'!$C:$FB,67)</f>
        <v>10367500</v>
      </c>
      <c r="K35" s="50">
        <f t="shared" si="2"/>
        <v>-34.992171300410476</v>
      </c>
      <c r="L35" s="50">
        <f>VLOOKUP($A35,'Data shares'!$C:$FB,118)</f>
        <v>0.62</v>
      </c>
      <c r="M35" s="50">
        <f>VLOOKUP($A35,'Data shares'!$C:$FB,119)</f>
        <v>0.69</v>
      </c>
      <c r="N35" s="50">
        <f>VLOOKUP($A35,'Data shares'!$C:$FB,121)*100</f>
        <v>-10.14</v>
      </c>
      <c r="O35" s="50">
        <f>VLOOKUP($A35,'Data shares'!$C:$FB,124)</f>
        <v>0.54</v>
      </c>
      <c r="P35" s="50">
        <f>VLOOKUP($A35,'Data shares'!$C:$FB,125)</f>
        <v>1.1200000000000001</v>
      </c>
      <c r="Q35" s="50">
        <f>VLOOKUP($A35,'Data shares'!$C:$FB,127)*100</f>
        <v>-51.790000000000006</v>
      </c>
    </row>
    <row r="36" spans="1:17" x14ac:dyDescent="0.25">
      <c r="A36" s="97" t="str">
        <f>'Data Vlaue (Cr)'!C31</f>
        <v>BEL</v>
      </c>
      <c r="B36" s="140">
        <f>VLOOKUP($A36,'Data shares'!$C:$FB,7)</f>
        <v>371.85</v>
      </c>
      <c r="C36" s="140">
        <f>VLOOKUP($A36,'Data shares'!$C:$FB,3)</f>
        <v>372.15</v>
      </c>
      <c r="D36" s="140">
        <f>VLOOKUP($A36,'Data shares'!$C:$FB,4)</f>
        <v>380.4</v>
      </c>
      <c r="E36" s="50">
        <f t="shared" si="0"/>
        <v>-2.1687697160883279</v>
      </c>
      <c r="F36" s="49">
        <f>VLOOKUP($A36,'Data shares'!$C:$FB,98)</f>
        <v>268803450</v>
      </c>
      <c r="G36" s="49">
        <f>VLOOKUP($A36,'Data shares'!$C:$FB,99)</f>
        <v>239274600</v>
      </c>
      <c r="H36" s="50">
        <f t="shared" si="1"/>
        <v>12.340988136643004</v>
      </c>
      <c r="I36" s="49">
        <f>VLOOKUP($A36,'Data shares'!$C:$FB,66)</f>
        <v>278647350</v>
      </c>
      <c r="J36" s="49">
        <f>VLOOKUP($A36,'Data shares'!$C:$FB,67)</f>
        <v>158753550</v>
      </c>
      <c r="K36" s="50">
        <f t="shared" si="2"/>
        <v>43.027073467592643</v>
      </c>
      <c r="L36" s="50">
        <f>VLOOKUP($A36,'Data shares'!$C:$FB,118)</f>
        <v>0.5</v>
      </c>
      <c r="M36" s="50">
        <f>VLOOKUP($A36,'Data shares'!$C:$FB,119)</f>
        <v>0.54</v>
      </c>
      <c r="N36" s="50">
        <f>VLOOKUP($A36,'Data shares'!$C:$FB,121)*100</f>
        <v>-7.41</v>
      </c>
      <c r="O36" s="50">
        <f>VLOOKUP($A36,'Data shares'!$C:$FB,124)</f>
        <v>0.52</v>
      </c>
      <c r="P36" s="50">
        <f>VLOOKUP($A36,'Data shares'!$C:$FB,125)</f>
        <v>0.53</v>
      </c>
      <c r="Q36" s="50">
        <f>VLOOKUP($A36,'Data shares'!$C:$FB,127)*100</f>
        <v>-1.8900000000000001</v>
      </c>
    </row>
    <row r="37" spans="1:17" x14ac:dyDescent="0.25">
      <c r="A37" s="97" t="str">
        <f>'Data Vlaue (Cr)'!C32</f>
        <v>BHARATFORG</v>
      </c>
      <c r="B37" s="140">
        <f>VLOOKUP($A37,'Data shares'!$C:$FB,7)</f>
        <v>1158.9000000000001</v>
      </c>
      <c r="C37" s="140">
        <f>VLOOKUP($A37,'Data shares'!$C:$FB,3)</f>
        <v>1160.2</v>
      </c>
      <c r="D37" s="140">
        <f>VLOOKUP($A37,'Data shares'!$C:$FB,4)</f>
        <v>1193.0999999999999</v>
      </c>
      <c r="E37" s="50">
        <f t="shared" si="0"/>
        <v>-2.7575224205850195</v>
      </c>
      <c r="F37" s="49">
        <f>VLOOKUP($A37,'Data shares'!$C:$FB,98)</f>
        <v>18638500</v>
      </c>
      <c r="G37" s="49">
        <f>VLOOKUP($A37,'Data shares'!$C:$FB,99)</f>
        <v>17544000</v>
      </c>
      <c r="H37" s="50">
        <f t="shared" si="1"/>
        <v>6.2386000911992703</v>
      </c>
      <c r="I37" s="49">
        <f>VLOOKUP($A37,'Data shares'!$C:$FB,66)</f>
        <v>9552500</v>
      </c>
      <c r="J37" s="49">
        <f>VLOOKUP($A37,'Data shares'!$C:$FB,67)</f>
        <v>5779000</v>
      </c>
      <c r="K37" s="50">
        <f t="shared" si="2"/>
        <v>39.502747971735147</v>
      </c>
      <c r="L37" s="50">
        <f>VLOOKUP($A37,'Data shares'!$C:$FB,118)</f>
        <v>0.68</v>
      </c>
      <c r="M37" s="50">
        <f>VLOOKUP($A37,'Data shares'!$C:$FB,119)</f>
        <v>0.72</v>
      </c>
      <c r="N37" s="50">
        <f>VLOOKUP($A37,'Data shares'!$C:$FB,121)*100</f>
        <v>-5.56</v>
      </c>
      <c r="O37" s="50">
        <f>VLOOKUP($A37,'Data shares'!$C:$FB,124)</f>
        <v>0.63</v>
      </c>
      <c r="P37" s="50">
        <f>VLOOKUP($A37,'Data shares'!$C:$FB,125)</f>
        <v>0.48</v>
      </c>
      <c r="Q37" s="50">
        <f>VLOOKUP($A37,'Data shares'!$C:$FB,127)*100</f>
        <v>31.25</v>
      </c>
    </row>
    <row r="38" spans="1:17" x14ac:dyDescent="0.25">
      <c r="A38" s="97" t="str">
        <f>'Data Vlaue (Cr)'!C33</f>
        <v>BHARTIARTL</v>
      </c>
      <c r="B38" s="140">
        <f>VLOOKUP($A38,'Data shares'!$C:$FB,7)</f>
        <v>1928.4</v>
      </c>
      <c r="C38" s="140">
        <f>VLOOKUP($A38,'Data shares'!$C:$FB,3)</f>
        <v>1929.2</v>
      </c>
      <c r="D38" s="140">
        <f>VLOOKUP($A38,'Data shares'!$C:$FB,4)</f>
        <v>1915</v>
      </c>
      <c r="E38" s="50">
        <f t="shared" si="0"/>
        <v>0.7415143603133183</v>
      </c>
      <c r="F38" s="49">
        <f>VLOOKUP($A38,'Data shares'!$C:$FB,98)</f>
        <v>73496275</v>
      </c>
      <c r="G38" s="49">
        <f>VLOOKUP($A38,'Data shares'!$C:$FB,99)</f>
        <v>74442950</v>
      </c>
      <c r="H38" s="50">
        <f t="shared" si="1"/>
        <v>-1.2716785135462794</v>
      </c>
      <c r="I38" s="49">
        <f>VLOOKUP($A38,'Data shares'!$C:$FB,66)</f>
        <v>77347100</v>
      </c>
      <c r="J38" s="49">
        <f>VLOOKUP($A38,'Data shares'!$C:$FB,67)</f>
        <v>81435900</v>
      </c>
      <c r="K38" s="50">
        <f t="shared" si="2"/>
        <v>-5.2863003267090818</v>
      </c>
      <c r="L38" s="50">
        <f>VLOOKUP($A38,'Data shares'!$C:$FB,118)</f>
        <v>0.45</v>
      </c>
      <c r="M38" s="50">
        <f>VLOOKUP($A38,'Data shares'!$C:$FB,119)</f>
        <v>0.43</v>
      </c>
      <c r="N38" s="50">
        <f>VLOOKUP($A38,'Data shares'!$C:$FB,121)*100</f>
        <v>4.6500000000000004</v>
      </c>
      <c r="O38" s="50">
        <f>VLOOKUP($A38,'Data shares'!$C:$FB,124)</f>
        <v>0.38</v>
      </c>
      <c r="P38" s="50">
        <f>VLOOKUP($A38,'Data shares'!$C:$FB,125)</f>
        <v>0.39</v>
      </c>
      <c r="Q38" s="50">
        <f>VLOOKUP($A38,'Data shares'!$C:$FB,127)*100</f>
        <v>-2.56</v>
      </c>
    </row>
    <row r="39" spans="1:17" x14ac:dyDescent="0.25">
      <c r="A39" s="97" t="str">
        <f>'Data Vlaue (Cr)'!C34</f>
        <v>BHEL</v>
      </c>
      <c r="B39" s="140">
        <f>VLOOKUP($A39,'Data shares'!$C:$FB,7)</f>
        <v>220.67</v>
      </c>
      <c r="C39" s="140">
        <f>VLOOKUP($A39,'Data shares'!$C:$FB,3)</f>
        <v>220.96</v>
      </c>
      <c r="D39" s="140">
        <f>VLOOKUP($A39,'Data shares'!$C:$FB,4)</f>
        <v>220</v>
      </c>
      <c r="E39" s="50">
        <f t="shared" si="0"/>
        <v>0.43636363636364001</v>
      </c>
      <c r="F39" s="49">
        <f>VLOOKUP($A39,'Data shares'!$C:$FB,98)</f>
        <v>129346875</v>
      </c>
      <c r="G39" s="49">
        <f>VLOOKUP($A39,'Data shares'!$C:$FB,99)</f>
        <v>129441375</v>
      </c>
      <c r="H39" s="50">
        <f t="shared" si="1"/>
        <v>-7.3006022996897235E-2</v>
      </c>
      <c r="I39" s="49">
        <f>VLOOKUP($A39,'Data shares'!$C:$FB,66)</f>
        <v>44593500</v>
      </c>
      <c r="J39" s="49">
        <f>VLOOKUP($A39,'Data shares'!$C:$FB,67)</f>
        <v>64449000</v>
      </c>
      <c r="K39" s="50">
        <f t="shared" si="2"/>
        <v>-44.525547445255476</v>
      </c>
      <c r="L39" s="50">
        <f>VLOOKUP($A39,'Data shares'!$C:$FB,118)</f>
        <v>0.54</v>
      </c>
      <c r="M39" s="50">
        <f>VLOOKUP($A39,'Data shares'!$C:$FB,119)</f>
        <v>0.54</v>
      </c>
      <c r="N39" s="50">
        <f>VLOOKUP($A39,'Data shares'!$C:$FB,121)*100</f>
        <v>0</v>
      </c>
      <c r="O39" s="50">
        <f>VLOOKUP($A39,'Data shares'!$C:$FB,124)</f>
        <v>0.51</v>
      </c>
      <c r="P39" s="50">
        <f>VLOOKUP($A39,'Data shares'!$C:$FB,125)</f>
        <v>0.41</v>
      </c>
      <c r="Q39" s="50">
        <f>VLOOKUP($A39,'Data shares'!$C:$FB,127)*100</f>
        <v>24.39</v>
      </c>
    </row>
    <row r="40" spans="1:17" x14ac:dyDescent="0.25">
      <c r="A40" s="97" t="str">
        <f>'Data Vlaue (Cr)'!C35</f>
        <v>BIOCON</v>
      </c>
      <c r="B40" s="140">
        <f>VLOOKUP($A40,'Data shares'!$C:$FB,7)</f>
        <v>359.45</v>
      </c>
      <c r="C40" s="140">
        <f>VLOOKUP($A40,'Data shares'!$C:$FB,3)</f>
        <v>360.05</v>
      </c>
      <c r="D40" s="140">
        <f>VLOOKUP($A40,'Data shares'!$C:$FB,4)</f>
        <v>364.8</v>
      </c>
      <c r="E40" s="50">
        <f t="shared" si="0"/>
        <v>-1.3020833333333333</v>
      </c>
      <c r="F40" s="49">
        <f>VLOOKUP($A40,'Data shares'!$C:$FB,98)</f>
        <v>80035000</v>
      </c>
      <c r="G40" s="49">
        <f>VLOOKUP($A40,'Data shares'!$C:$FB,99)</f>
        <v>79962500</v>
      </c>
      <c r="H40" s="50">
        <f t="shared" si="1"/>
        <v>9.0667500390808189E-2</v>
      </c>
      <c r="I40" s="49">
        <f>VLOOKUP($A40,'Data shares'!$C:$FB,66)</f>
        <v>22905000</v>
      </c>
      <c r="J40" s="49">
        <f>VLOOKUP($A40,'Data shares'!$C:$FB,67)</f>
        <v>19807500</v>
      </c>
      <c r="K40" s="50">
        <f t="shared" si="2"/>
        <v>13.52324819908317</v>
      </c>
      <c r="L40" s="50">
        <f>VLOOKUP($A40,'Data shares'!$C:$FB,118)</f>
        <v>0.61</v>
      </c>
      <c r="M40" s="50">
        <f>VLOOKUP($A40,'Data shares'!$C:$FB,119)</f>
        <v>0.63</v>
      </c>
      <c r="N40" s="50">
        <f>VLOOKUP($A40,'Data shares'!$C:$FB,121)*100</f>
        <v>-3.17</v>
      </c>
      <c r="O40" s="50">
        <f>VLOOKUP($A40,'Data shares'!$C:$FB,124)</f>
        <v>0.66</v>
      </c>
      <c r="P40" s="50">
        <f>VLOOKUP($A40,'Data shares'!$C:$FB,125)</f>
        <v>0.66</v>
      </c>
      <c r="Q40" s="50">
        <f>VLOOKUP($A40,'Data shares'!$C:$FB,127)*100</f>
        <v>0</v>
      </c>
    </row>
    <row r="41" spans="1:17" x14ac:dyDescent="0.25">
      <c r="A41" s="97" t="str">
        <f>'Data Vlaue (Cr)'!C36</f>
        <v>BLUESTARCO</v>
      </c>
      <c r="B41" s="140">
        <f>VLOOKUP($A41,'Data shares'!$C:$FB,7)</f>
        <v>1927.4</v>
      </c>
      <c r="C41" s="140">
        <f>VLOOKUP($A41,'Data shares'!$C:$FB,3)</f>
        <v>1927.6</v>
      </c>
      <c r="D41" s="140">
        <f>VLOOKUP($A41,'Data shares'!$C:$FB,4)</f>
        <v>1931.7</v>
      </c>
      <c r="E41" s="50">
        <f t="shared" si="0"/>
        <v>-0.21224827871823451</v>
      </c>
      <c r="F41" s="49">
        <f>VLOOKUP($A41,'Data shares'!$C:$FB,98)</f>
        <v>3741725</v>
      </c>
      <c r="G41" s="49">
        <f>VLOOKUP($A41,'Data shares'!$C:$FB,99)</f>
        <v>3266575</v>
      </c>
      <c r="H41" s="50">
        <f t="shared" si="1"/>
        <v>14.545816336682918</v>
      </c>
      <c r="I41" s="49">
        <f>VLOOKUP($A41,'Data shares'!$C:$FB,66)</f>
        <v>5537675</v>
      </c>
      <c r="J41" s="49">
        <f>VLOOKUP($A41,'Data shares'!$C:$FB,67)</f>
        <v>2140775</v>
      </c>
      <c r="K41" s="50">
        <f t="shared" si="2"/>
        <v>61.341628029813954</v>
      </c>
      <c r="L41" s="50">
        <f>VLOOKUP($A41,'Data shares'!$C:$FB,118)</f>
        <v>0.66</v>
      </c>
      <c r="M41" s="50">
        <f>VLOOKUP($A41,'Data shares'!$C:$FB,119)</f>
        <v>0.89</v>
      </c>
      <c r="N41" s="50">
        <f>VLOOKUP($A41,'Data shares'!$C:$FB,121)*100</f>
        <v>-25.840000000000003</v>
      </c>
      <c r="O41" s="50">
        <f>VLOOKUP($A41,'Data shares'!$C:$FB,124)</f>
        <v>0.23</v>
      </c>
      <c r="P41" s="50">
        <f>VLOOKUP($A41,'Data shares'!$C:$FB,125)</f>
        <v>0.66</v>
      </c>
      <c r="Q41" s="50">
        <f>VLOOKUP($A41,'Data shares'!$C:$FB,127)*100</f>
        <v>-65.149999999999991</v>
      </c>
    </row>
    <row r="42" spans="1:17" x14ac:dyDescent="0.25">
      <c r="A42" s="97" t="str">
        <f>'Data Vlaue (Cr)'!C37</f>
        <v>BOSCHLTD</v>
      </c>
      <c r="B42" s="140">
        <f>VLOOKUP($A42,'Data shares'!$C:$FB,7)</f>
        <v>39935</v>
      </c>
      <c r="C42" s="140">
        <f>VLOOKUP($A42,'Data shares'!$C:$FB,3)</f>
        <v>40035</v>
      </c>
      <c r="D42" s="140">
        <f>VLOOKUP($A42,'Data shares'!$C:$FB,4)</f>
        <v>39980</v>
      </c>
      <c r="E42" s="50">
        <f t="shared" si="0"/>
        <v>0.13756878439219611</v>
      </c>
      <c r="F42" s="49">
        <f>VLOOKUP($A42,'Data shares'!$C:$FB,98)</f>
        <v>795600</v>
      </c>
      <c r="G42" s="49">
        <f>VLOOKUP($A42,'Data shares'!$C:$FB,99)</f>
        <v>785825</v>
      </c>
      <c r="H42" s="50">
        <f t="shared" si="1"/>
        <v>1.2439156300703083</v>
      </c>
      <c r="I42" s="49">
        <f>VLOOKUP($A42,'Data shares'!$C:$FB,66)</f>
        <v>509325</v>
      </c>
      <c r="J42" s="49">
        <f>VLOOKUP($A42,'Data shares'!$C:$FB,67)</f>
        <v>851075</v>
      </c>
      <c r="K42" s="50">
        <f t="shared" si="2"/>
        <v>-67.098610906592057</v>
      </c>
      <c r="L42" s="50">
        <f>VLOOKUP($A42,'Data shares'!$C:$FB,118)</f>
        <v>0.35</v>
      </c>
      <c r="M42" s="50">
        <f>VLOOKUP($A42,'Data shares'!$C:$FB,119)</f>
        <v>0.35</v>
      </c>
      <c r="N42" s="50">
        <f>VLOOKUP($A42,'Data shares'!$C:$FB,121)*100</f>
        <v>0</v>
      </c>
      <c r="O42" s="50">
        <f>VLOOKUP($A42,'Data shares'!$C:$FB,124)</f>
        <v>0.42</v>
      </c>
      <c r="P42" s="50">
        <f>VLOOKUP($A42,'Data shares'!$C:$FB,125)</f>
        <v>0.3</v>
      </c>
      <c r="Q42" s="50">
        <f>VLOOKUP($A42,'Data shares'!$C:$FB,127)*100</f>
        <v>40</v>
      </c>
    </row>
    <row r="43" spans="1:17" x14ac:dyDescent="0.25">
      <c r="A43" s="97" t="str">
        <f>'Data Vlaue (Cr)'!C38</f>
        <v>BPCL</v>
      </c>
      <c r="B43" s="140">
        <f>VLOOKUP($A43,'Data shares'!$C:$FB,7)</f>
        <v>319.95</v>
      </c>
      <c r="C43" s="140">
        <f>VLOOKUP($A43,'Data shares'!$C:$FB,3)</f>
        <v>320.8</v>
      </c>
      <c r="D43" s="140">
        <f>VLOOKUP($A43,'Data shares'!$C:$FB,4)</f>
        <v>322.10000000000002</v>
      </c>
      <c r="E43" s="50">
        <f t="shared" si="0"/>
        <v>-0.4036013660353962</v>
      </c>
      <c r="F43" s="49">
        <f>VLOOKUP($A43,'Data shares'!$C:$FB,98)</f>
        <v>71058525</v>
      </c>
      <c r="G43" s="49">
        <f>VLOOKUP($A43,'Data shares'!$C:$FB,99)</f>
        <v>72713575</v>
      </c>
      <c r="H43" s="50">
        <f t="shared" si="1"/>
        <v>-2.276122443436456</v>
      </c>
      <c r="I43" s="49">
        <f>VLOOKUP($A43,'Data shares'!$C:$FB,66)</f>
        <v>25696725</v>
      </c>
      <c r="J43" s="49">
        <f>VLOOKUP($A43,'Data shares'!$C:$FB,67)</f>
        <v>56716075</v>
      </c>
      <c r="K43" s="50">
        <f t="shared" si="2"/>
        <v>-120.71324264084235</v>
      </c>
      <c r="L43" s="50">
        <f>VLOOKUP($A43,'Data shares'!$C:$FB,118)</f>
        <v>0.56999999999999995</v>
      </c>
      <c r="M43" s="50">
        <f>VLOOKUP($A43,'Data shares'!$C:$FB,119)</f>
        <v>0.56000000000000005</v>
      </c>
      <c r="N43" s="50">
        <f>VLOOKUP($A43,'Data shares'!$C:$FB,121)*100</f>
        <v>1.79</v>
      </c>
      <c r="O43" s="50">
        <f>VLOOKUP($A43,'Data shares'!$C:$FB,124)</f>
        <v>0.57999999999999996</v>
      </c>
      <c r="P43" s="50">
        <f>VLOOKUP($A43,'Data shares'!$C:$FB,125)</f>
        <v>0.49</v>
      </c>
      <c r="Q43" s="50">
        <f>VLOOKUP($A43,'Data shares'!$C:$FB,127)*100</f>
        <v>18.37</v>
      </c>
    </row>
    <row r="44" spans="1:17" x14ac:dyDescent="0.25">
      <c r="A44" s="97" t="str">
        <f>'Data Vlaue (Cr)'!C39</f>
        <v>BRITANNIA</v>
      </c>
      <c r="B44" s="140">
        <f>VLOOKUP($A44,'Data shares'!$C:$FB,7)</f>
        <v>5701</v>
      </c>
      <c r="C44" s="140">
        <f>VLOOKUP($A44,'Data shares'!$C:$FB,3)</f>
        <v>5705</v>
      </c>
      <c r="D44" s="140">
        <f>VLOOKUP($A44,'Data shares'!$C:$FB,4)</f>
        <v>5511.5</v>
      </c>
      <c r="E44" s="50">
        <f t="shared" si="0"/>
        <v>3.5108409688832443</v>
      </c>
      <c r="F44" s="49">
        <f>VLOOKUP($A44,'Data shares'!$C:$FB,98)</f>
        <v>5697125</v>
      </c>
      <c r="G44" s="49">
        <f>VLOOKUP($A44,'Data shares'!$C:$FB,99)</f>
        <v>5611375</v>
      </c>
      <c r="H44" s="50">
        <f t="shared" si="1"/>
        <v>1.5281459535318884</v>
      </c>
      <c r="I44" s="49">
        <f>VLOOKUP($A44,'Data shares'!$C:$FB,66)</f>
        <v>12294625</v>
      </c>
      <c r="J44" s="49">
        <f>VLOOKUP($A44,'Data shares'!$C:$FB,67)</f>
        <v>2517000</v>
      </c>
      <c r="K44" s="50">
        <f t="shared" si="2"/>
        <v>79.527639110586946</v>
      </c>
      <c r="L44" s="50">
        <f>VLOOKUP($A44,'Data shares'!$C:$FB,118)</f>
        <v>0.73</v>
      </c>
      <c r="M44" s="50">
        <f>VLOOKUP($A44,'Data shares'!$C:$FB,119)</f>
        <v>0.57999999999999996</v>
      </c>
      <c r="N44" s="50">
        <f>VLOOKUP($A44,'Data shares'!$C:$FB,121)*100</f>
        <v>25.86</v>
      </c>
      <c r="O44" s="50">
        <f>VLOOKUP($A44,'Data shares'!$C:$FB,124)</f>
        <v>0.32</v>
      </c>
      <c r="P44" s="50">
        <f>VLOOKUP($A44,'Data shares'!$C:$FB,125)</f>
        <v>0.43</v>
      </c>
      <c r="Q44" s="50">
        <f>VLOOKUP($A44,'Data shares'!$C:$FB,127)*100</f>
        <v>-25.580000000000002</v>
      </c>
    </row>
    <row r="45" spans="1:17" x14ac:dyDescent="0.25">
      <c r="A45" s="97" t="str">
        <f>'Data Vlaue (Cr)'!C40</f>
        <v>BSE</v>
      </c>
      <c r="B45" s="140">
        <f>VLOOKUP($A45,'Data shares'!$C:$FB,7)</f>
        <v>2523</v>
      </c>
      <c r="C45" s="140">
        <f>VLOOKUP($A45,'Data shares'!$C:$FB,3)</f>
        <v>2529.1</v>
      </c>
      <c r="D45" s="140">
        <f>VLOOKUP($A45,'Data shares'!$C:$FB,4)</f>
        <v>2498.9</v>
      </c>
      <c r="E45" s="50">
        <f t="shared" si="0"/>
        <v>1.2085317539717402</v>
      </c>
      <c r="F45" s="49">
        <f>VLOOKUP($A45,'Data shares'!$C:$FB,98)</f>
        <v>25928250</v>
      </c>
      <c r="G45" s="49">
        <f>VLOOKUP($A45,'Data shares'!$C:$FB,99)</f>
        <v>26596500</v>
      </c>
      <c r="H45" s="50">
        <f t="shared" si="1"/>
        <v>-2.5125486436185214</v>
      </c>
      <c r="I45" s="49">
        <f>VLOOKUP($A45,'Data shares'!$C:$FB,66)</f>
        <v>29932500</v>
      </c>
      <c r="J45" s="49">
        <f>VLOOKUP($A45,'Data shares'!$C:$FB,67)</f>
        <v>40183125</v>
      </c>
      <c r="K45" s="50">
        <f t="shared" si="2"/>
        <v>-34.245803056877975</v>
      </c>
      <c r="L45" s="50">
        <f>VLOOKUP($A45,'Data shares'!$C:$FB,118)</f>
        <v>0.76</v>
      </c>
      <c r="M45" s="50">
        <f>VLOOKUP($A45,'Data shares'!$C:$FB,119)</f>
        <v>0.72</v>
      </c>
      <c r="N45" s="50">
        <f>VLOOKUP($A45,'Data shares'!$C:$FB,121)*100</f>
        <v>5.56</v>
      </c>
      <c r="O45" s="50">
        <f>VLOOKUP($A45,'Data shares'!$C:$FB,124)</f>
        <v>0.69</v>
      </c>
      <c r="P45" s="50">
        <f>VLOOKUP($A45,'Data shares'!$C:$FB,125)</f>
        <v>0.85</v>
      </c>
      <c r="Q45" s="50">
        <f>VLOOKUP($A45,'Data shares'!$C:$FB,127)*100</f>
        <v>-18.82</v>
      </c>
    </row>
    <row r="46" spans="1:17" x14ac:dyDescent="0.25">
      <c r="A46" s="97" t="str">
        <f>'Data Vlaue (Cr)'!C41</f>
        <v>CAMS</v>
      </c>
      <c r="B46" s="140">
        <f>VLOOKUP($A46,'Data shares'!$C:$FB,7)</f>
        <v>3841.8</v>
      </c>
      <c r="C46" s="140">
        <f>VLOOKUP($A46,'Data shares'!$C:$FB,3)</f>
        <v>3843.4</v>
      </c>
      <c r="D46" s="140">
        <f>VLOOKUP($A46,'Data shares'!$C:$FB,4)</f>
        <v>3839.1</v>
      </c>
      <c r="E46" s="50">
        <f t="shared" si="0"/>
        <v>0.11200541793650028</v>
      </c>
      <c r="F46" s="49">
        <f>VLOOKUP($A46,'Data shares'!$C:$FB,98)</f>
        <v>3945450</v>
      </c>
      <c r="G46" s="49">
        <f>VLOOKUP($A46,'Data shares'!$C:$FB,99)</f>
        <v>4097700</v>
      </c>
      <c r="H46" s="50">
        <f t="shared" si="1"/>
        <v>-3.7154989384288748</v>
      </c>
      <c r="I46" s="49">
        <f>VLOOKUP($A46,'Data shares'!$C:$FB,66)</f>
        <v>2148300</v>
      </c>
      <c r="J46" s="49">
        <f>VLOOKUP($A46,'Data shares'!$C:$FB,67)</f>
        <v>2086200</v>
      </c>
      <c r="K46" s="50">
        <f t="shared" si="2"/>
        <v>2.8906577293674065</v>
      </c>
      <c r="L46" s="50">
        <f>VLOOKUP($A46,'Data shares'!$C:$FB,118)</f>
        <v>0.66</v>
      </c>
      <c r="M46" s="50">
        <f>VLOOKUP($A46,'Data shares'!$C:$FB,119)</f>
        <v>0.57999999999999996</v>
      </c>
      <c r="N46" s="50">
        <f>VLOOKUP($A46,'Data shares'!$C:$FB,121)*100</f>
        <v>13.79</v>
      </c>
      <c r="O46" s="50">
        <f>VLOOKUP($A46,'Data shares'!$C:$FB,124)</f>
        <v>0.39</v>
      </c>
      <c r="P46" s="50">
        <f>VLOOKUP($A46,'Data shares'!$C:$FB,125)</f>
        <v>0.62</v>
      </c>
      <c r="Q46" s="50">
        <f>VLOOKUP($A46,'Data shares'!$C:$FB,127)*100</f>
        <v>-37.1</v>
      </c>
    </row>
    <row r="47" spans="1:17" x14ac:dyDescent="0.25">
      <c r="A47" s="97" t="str">
        <f>'Data Vlaue (Cr)'!C42</f>
        <v>CANBK</v>
      </c>
      <c r="B47" s="140">
        <f>VLOOKUP($A47,'Data shares'!$C:$FB,7)</f>
        <v>112.28</v>
      </c>
      <c r="C47" s="140">
        <f>VLOOKUP($A47,'Data shares'!$C:$FB,3)</f>
        <v>112.41</v>
      </c>
      <c r="D47" s="140">
        <f>VLOOKUP($A47,'Data shares'!$C:$FB,4)</f>
        <v>112.06</v>
      </c>
      <c r="E47" s="50">
        <f t="shared" si="0"/>
        <v>0.31233267892200095</v>
      </c>
      <c r="F47" s="49">
        <f>VLOOKUP($A47,'Data shares'!$C:$FB,98)</f>
        <v>391992750</v>
      </c>
      <c r="G47" s="49">
        <f>VLOOKUP($A47,'Data shares'!$C:$FB,99)</f>
        <v>396461250</v>
      </c>
      <c r="H47" s="50">
        <f t="shared" si="1"/>
        <v>-1.1270962799012514</v>
      </c>
      <c r="I47" s="49">
        <f>VLOOKUP($A47,'Data shares'!$C:$FB,66)</f>
        <v>141459750</v>
      </c>
      <c r="J47" s="49">
        <f>VLOOKUP($A47,'Data shares'!$C:$FB,67)</f>
        <v>230850000</v>
      </c>
      <c r="K47" s="50">
        <f t="shared" si="2"/>
        <v>-63.191296464188575</v>
      </c>
      <c r="L47" s="50">
        <f>VLOOKUP($A47,'Data shares'!$C:$FB,118)</f>
        <v>0.81</v>
      </c>
      <c r="M47" s="50">
        <f>VLOOKUP($A47,'Data shares'!$C:$FB,119)</f>
        <v>0.77</v>
      </c>
      <c r="N47" s="50">
        <f>VLOOKUP($A47,'Data shares'!$C:$FB,121)*100</f>
        <v>5.19</v>
      </c>
      <c r="O47" s="50">
        <f>VLOOKUP($A47,'Data shares'!$C:$FB,124)</f>
        <v>0.69</v>
      </c>
      <c r="P47" s="50">
        <f>VLOOKUP($A47,'Data shares'!$C:$FB,125)</f>
        <v>0.56000000000000005</v>
      </c>
      <c r="Q47" s="50">
        <f>VLOOKUP($A47,'Data shares'!$C:$FB,127)*100</f>
        <v>23.21</v>
      </c>
    </row>
    <row r="48" spans="1:17" x14ac:dyDescent="0.25">
      <c r="A48" s="97" t="str">
        <f>'Data Vlaue (Cr)'!C43</f>
        <v>CDSL</v>
      </c>
      <c r="B48" s="140">
        <f>VLOOKUP($A48,'Data shares'!$C:$FB,7)</f>
        <v>1583.6</v>
      </c>
      <c r="C48" s="140">
        <f>VLOOKUP($A48,'Data shares'!$C:$FB,3)</f>
        <v>1588.4</v>
      </c>
      <c r="D48" s="140">
        <f>VLOOKUP($A48,'Data shares'!$C:$FB,4)</f>
        <v>1587</v>
      </c>
      <c r="E48" s="50">
        <f t="shared" si="0"/>
        <v>8.8216761184630815E-2</v>
      </c>
      <c r="F48" s="49">
        <f>VLOOKUP($A48,'Data shares'!$C:$FB,98)</f>
        <v>21769725</v>
      </c>
      <c r="G48" s="49">
        <f>VLOOKUP($A48,'Data shares'!$C:$FB,99)</f>
        <v>21113275</v>
      </c>
      <c r="H48" s="50">
        <f t="shared" si="1"/>
        <v>3.109181308915836</v>
      </c>
      <c r="I48" s="49">
        <f>VLOOKUP($A48,'Data shares'!$C:$FB,66)</f>
        <v>12055500</v>
      </c>
      <c r="J48" s="49">
        <f>VLOOKUP($A48,'Data shares'!$C:$FB,67)</f>
        <v>10923575</v>
      </c>
      <c r="K48" s="50">
        <f t="shared" si="2"/>
        <v>9.3892828999211968</v>
      </c>
      <c r="L48" s="50">
        <f>VLOOKUP($A48,'Data shares'!$C:$FB,118)</f>
        <v>0.65</v>
      </c>
      <c r="M48" s="50">
        <f>VLOOKUP($A48,'Data shares'!$C:$FB,119)</f>
        <v>0.67</v>
      </c>
      <c r="N48" s="50">
        <f>VLOOKUP($A48,'Data shares'!$C:$FB,121)*100</f>
        <v>-2.9899999999999998</v>
      </c>
      <c r="O48" s="50">
        <f>VLOOKUP($A48,'Data shares'!$C:$FB,124)</f>
        <v>0.47</v>
      </c>
      <c r="P48" s="50">
        <f>VLOOKUP($A48,'Data shares'!$C:$FB,125)</f>
        <v>0.61</v>
      </c>
      <c r="Q48" s="50">
        <f>VLOOKUP($A48,'Data shares'!$C:$FB,127)*100</f>
        <v>-22.95</v>
      </c>
    </row>
    <row r="49" spans="1:17" x14ac:dyDescent="0.25">
      <c r="A49" s="97" t="str">
        <f>'Data Vlaue (Cr)'!C44</f>
        <v>CESC</v>
      </c>
      <c r="B49" s="140">
        <f>VLOOKUP($A49,'Data shares'!$C:$FB,7)</f>
        <v>163.43</v>
      </c>
      <c r="C49" s="140">
        <f>VLOOKUP($A49,'Data shares'!$C:$FB,3)</f>
        <v>164.07</v>
      </c>
      <c r="D49" s="140">
        <f>VLOOKUP($A49,'Data shares'!$C:$FB,4)</f>
        <v>165.34</v>
      </c>
      <c r="E49" s="50">
        <f t="shared" si="0"/>
        <v>-0.7681141889440003</v>
      </c>
      <c r="F49" s="49">
        <f>VLOOKUP($A49,'Data shares'!$C:$FB,98)</f>
        <v>26538625</v>
      </c>
      <c r="G49" s="49">
        <f>VLOOKUP($A49,'Data shares'!$C:$FB,99)</f>
        <v>26400875</v>
      </c>
      <c r="H49" s="50">
        <f t="shared" si="1"/>
        <v>0.52176300974872991</v>
      </c>
      <c r="I49" s="49">
        <f>VLOOKUP($A49,'Data shares'!$C:$FB,66)</f>
        <v>7130375</v>
      </c>
      <c r="J49" s="49">
        <f>VLOOKUP($A49,'Data shares'!$C:$FB,67)</f>
        <v>7529125</v>
      </c>
      <c r="K49" s="50">
        <f t="shared" si="2"/>
        <v>-5.5922724961870864</v>
      </c>
      <c r="L49" s="50">
        <f>VLOOKUP($A49,'Data shares'!$C:$FB,118)</f>
        <v>0.45</v>
      </c>
      <c r="M49" s="50">
        <f>VLOOKUP($A49,'Data shares'!$C:$FB,119)</f>
        <v>0.44</v>
      </c>
      <c r="N49" s="50">
        <f>VLOOKUP($A49,'Data shares'!$C:$FB,121)*100</f>
        <v>2.27</v>
      </c>
      <c r="O49" s="50">
        <f>VLOOKUP($A49,'Data shares'!$C:$FB,124)</f>
        <v>0.24</v>
      </c>
      <c r="P49" s="50">
        <f>VLOOKUP($A49,'Data shares'!$C:$FB,125)</f>
        <v>0.25</v>
      </c>
      <c r="Q49" s="50">
        <f>VLOOKUP($A49,'Data shares'!$C:$FB,127)*100</f>
        <v>-4</v>
      </c>
    </row>
    <row r="50" spans="1:17" x14ac:dyDescent="0.25">
      <c r="A50" s="97" t="str">
        <f>'Data Vlaue (Cr)'!C45</f>
        <v>CGPOWER</v>
      </c>
      <c r="B50" s="140">
        <f>VLOOKUP($A50,'Data shares'!$C:$FB,7)</f>
        <v>674.25</v>
      </c>
      <c r="C50" s="140">
        <f>VLOOKUP($A50,'Data shares'!$C:$FB,3)</f>
        <v>675.5</v>
      </c>
      <c r="D50" s="140">
        <f>VLOOKUP($A50,'Data shares'!$C:$FB,4)</f>
        <v>677.5</v>
      </c>
      <c r="E50" s="50">
        <f t="shared" si="0"/>
        <v>-0.29520295202952029</v>
      </c>
      <c r="F50" s="49">
        <f>VLOOKUP($A50,'Data shares'!$C:$FB,98)</f>
        <v>23410700</v>
      </c>
      <c r="G50" s="49">
        <f>VLOOKUP($A50,'Data shares'!$C:$FB,99)</f>
        <v>23232200</v>
      </c>
      <c r="H50" s="50">
        <f t="shared" si="1"/>
        <v>0.76833016244694863</v>
      </c>
      <c r="I50" s="49">
        <f>VLOOKUP($A50,'Data shares'!$C:$FB,66)</f>
        <v>5383900</v>
      </c>
      <c r="J50" s="49">
        <f>VLOOKUP($A50,'Data shares'!$C:$FB,67)</f>
        <v>6687800</v>
      </c>
      <c r="K50" s="50">
        <f t="shared" si="2"/>
        <v>-24.218503315440479</v>
      </c>
      <c r="L50" s="50">
        <f>VLOOKUP($A50,'Data shares'!$C:$FB,118)</f>
        <v>0.56999999999999995</v>
      </c>
      <c r="M50" s="50">
        <f>VLOOKUP($A50,'Data shares'!$C:$FB,119)</f>
        <v>0.57999999999999996</v>
      </c>
      <c r="N50" s="50">
        <f>VLOOKUP($A50,'Data shares'!$C:$FB,121)*100</f>
        <v>-1.72</v>
      </c>
      <c r="O50" s="50">
        <f>VLOOKUP($A50,'Data shares'!$C:$FB,124)</f>
        <v>0.22</v>
      </c>
      <c r="P50" s="50">
        <f>VLOOKUP($A50,'Data shares'!$C:$FB,125)</f>
        <v>0.25</v>
      </c>
      <c r="Q50" s="50">
        <f>VLOOKUP($A50,'Data shares'!$C:$FB,127)*100</f>
        <v>-12</v>
      </c>
    </row>
    <row r="51" spans="1:17" x14ac:dyDescent="0.25">
      <c r="A51" s="97" t="str">
        <f>'Data Vlaue (Cr)'!C46</f>
        <v>CHOLAFIN</v>
      </c>
      <c r="B51" s="140">
        <f>VLOOKUP($A51,'Data shares'!$C:$FB,7)</f>
        <v>1522.9</v>
      </c>
      <c r="C51" s="140">
        <f>VLOOKUP($A51,'Data shares'!$C:$FB,3)</f>
        <v>1522.9</v>
      </c>
      <c r="D51" s="140">
        <f>VLOOKUP($A51,'Data shares'!$C:$FB,4)</f>
        <v>1528</v>
      </c>
      <c r="E51" s="50">
        <f t="shared" si="0"/>
        <v>-0.33376963350784744</v>
      </c>
      <c r="F51" s="49">
        <f>VLOOKUP($A51,'Data shares'!$C:$FB,98)</f>
        <v>16791875</v>
      </c>
      <c r="G51" s="49">
        <f>VLOOKUP($A51,'Data shares'!$C:$FB,99)</f>
        <v>16632500</v>
      </c>
      <c r="H51" s="50">
        <f t="shared" si="1"/>
        <v>0.95821433939576128</v>
      </c>
      <c r="I51" s="49">
        <f>VLOOKUP($A51,'Data shares'!$C:$FB,66)</f>
        <v>8523125</v>
      </c>
      <c r="J51" s="49">
        <f>VLOOKUP($A51,'Data shares'!$C:$FB,67)</f>
        <v>7770625</v>
      </c>
      <c r="K51" s="50">
        <f t="shared" si="2"/>
        <v>8.8289213170052054</v>
      </c>
      <c r="L51" s="50">
        <f>VLOOKUP($A51,'Data shares'!$C:$FB,118)</f>
        <v>1</v>
      </c>
      <c r="M51" s="50">
        <f>VLOOKUP($A51,'Data shares'!$C:$FB,119)</f>
        <v>1</v>
      </c>
      <c r="N51" s="50">
        <f>VLOOKUP($A51,'Data shares'!$C:$FB,121)*100</f>
        <v>0</v>
      </c>
      <c r="O51" s="50">
        <f>VLOOKUP($A51,'Data shares'!$C:$FB,124)</f>
        <v>0.76</v>
      </c>
      <c r="P51" s="50">
        <f>VLOOKUP($A51,'Data shares'!$C:$FB,125)</f>
        <v>0.87</v>
      </c>
      <c r="Q51" s="50">
        <f>VLOOKUP($A51,'Data shares'!$C:$FB,127)*100</f>
        <v>-12.64</v>
      </c>
    </row>
    <row r="52" spans="1:17" x14ac:dyDescent="0.25">
      <c r="A52" s="97" t="str">
        <f>'Data Vlaue (Cr)'!C47</f>
        <v>CIPLA</v>
      </c>
      <c r="B52" s="140">
        <f>VLOOKUP($A52,'Data shares'!$C:$FB,7)</f>
        <v>1546.1</v>
      </c>
      <c r="C52" s="140">
        <f>VLOOKUP($A52,'Data shares'!$C:$FB,3)</f>
        <v>1549.4</v>
      </c>
      <c r="D52" s="140">
        <f>VLOOKUP($A52,'Data shares'!$C:$FB,4)</f>
        <v>1553</v>
      </c>
      <c r="E52" s="50">
        <f t="shared" si="0"/>
        <v>-0.23180940115904114</v>
      </c>
      <c r="F52" s="49">
        <f>VLOOKUP($A52,'Data shares'!$C:$FB,98)</f>
        <v>18316500</v>
      </c>
      <c r="G52" s="49">
        <f>VLOOKUP($A52,'Data shares'!$C:$FB,99)</f>
        <v>18325875</v>
      </c>
      <c r="H52" s="50">
        <f t="shared" si="1"/>
        <v>-5.1157175305408337E-2</v>
      </c>
      <c r="I52" s="49">
        <f>VLOOKUP($A52,'Data shares'!$C:$FB,66)</f>
        <v>8809875</v>
      </c>
      <c r="J52" s="49">
        <f>VLOOKUP($A52,'Data shares'!$C:$FB,67)</f>
        <v>5965500</v>
      </c>
      <c r="K52" s="50">
        <f t="shared" si="2"/>
        <v>32.286212914485169</v>
      </c>
      <c r="L52" s="50">
        <f>VLOOKUP($A52,'Data shares'!$C:$FB,118)</f>
        <v>0.78</v>
      </c>
      <c r="M52" s="50">
        <f>VLOOKUP($A52,'Data shares'!$C:$FB,119)</f>
        <v>0.76</v>
      </c>
      <c r="N52" s="50">
        <f>VLOOKUP($A52,'Data shares'!$C:$FB,121)*100</f>
        <v>2.63</v>
      </c>
      <c r="O52" s="50">
        <f>VLOOKUP($A52,'Data shares'!$C:$FB,124)</f>
        <v>0.88</v>
      </c>
      <c r="P52" s="50">
        <f>VLOOKUP($A52,'Data shares'!$C:$FB,125)</f>
        <v>0.94</v>
      </c>
      <c r="Q52" s="50">
        <f>VLOOKUP($A52,'Data shares'!$C:$FB,127)*100</f>
        <v>-6.38</v>
      </c>
    </row>
    <row r="53" spans="1:17" x14ac:dyDescent="0.25">
      <c r="A53" s="97" t="str">
        <f>'Data Vlaue (Cr)'!C48</f>
        <v>COALINDIA</v>
      </c>
      <c r="B53" s="140">
        <f>VLOOKUP($A53,'Data shares'!$C:$FB,7)</f>
        <v>384.7</v>
      </c>
      <c r="C53" s="140">
        <f>VLOOKUP($A53,'Data shares'!$C:$FB,3)</f>
        <v>380.05</v>
      </c>
      <c r="D53" s="140">
        <f>VLOOKUP($A53,'Data shares'!$C:$FB,4)</f>
        <v>380.75</v>
      </c>
      <c r="E53" s="50">
        <f t="shared" si="0"/>
        <v>-0.1838476690741927</v>
      </c>
      <c r="F53" s="49">
        <f>VLOOKUP($A53,'Data shares'!$C:$FB,98)</f>
        <v>132271650</v>
      </c>
      <c r="G53" s="49">
        <f>VLOOKUP($A53,'Data shares'!$C:$FB,99)</f>
        <v>129969900</v>
      </c>
      <c r="H53" s="50">
        <f t="shared" si="1"/>
        <v>1.7709869746764442</v>
      </c>
      <c r="I53" s="49">
        <f>VLOOKUP($A53,'Data shares'!$C:$FB,66)</f>
        <v>33552900</v>
      </c>
      <c r="J53" s="49">
        <f>VLOOKUP($A53,'Data shares'!$C:$FB,67)</f>
        <v>55534950</v>
      </c>
      <c r="K53" s="50">
        <f t="shared" si="2"/>
        <v>-65.514605294922347</v>
      </c>
      <c r="L53" s="50">
        <f>VLOOKUP($A53,'Data shares'!$C:$FB,118)</f>
        <v>0.71</v>
      </c>
      <c r="M53" s="50">
        <f>VLOOKUP($A53,'Data shares'!$C:$FB,119)</f>
        <v>0.7</v>
      </c>
      <c r="N53" s="50">
        <f>VLOOKUP($A53,'Data shares'!$C:$FB,121)*100</f>
        <v>1.43</v>
      </c>
      <c r="O53" s="50">
        <f>VLOOKUP($A53,'Data shares'!$C:$FB,124)</f>
        <v>0.47</v>
      </c>
      <c r="P53" s="50">
        <f>VLOOKUP($A53,'Data shares'!$C:$FB,125)</f>
        <v>0.69</v>
      </c>
      <c r="Q53" s="50">
        <f>VLOOKUP($A53,'Data shares'!$C:$FB,127)*100</f>
        <v>-31.879999999999995</v>
      </c>
    </row>
    <row r="54" spans="1:17" x14ac:dyDescent="0.25">
      <c r="A54" s="97" t="str">
        <f>'Data Vlaue (Cr)'!C49</f>
        <v>COFORGE</v>
      </c>
      <c r="B54" s="140">
        <f>VLOOKUP($A54,'Data shares'!$C:$FB,7)</f>
        <v>1708.4</v>
      </c>
      <c r="C54" s="140">
        <f>VLOOKUP($A54,'Data shares'!$C:$FB,3)</f>
        <v>1708.7</v>
      </c>
      <c r="D54" s="140">
        <f>VLOOKUP($A54,'Data shares'!$C:$FB,4)</f>
        <v>1659.5</v>
      </c>
      <c r="E54" s="50">
        <f t="shared" si="0"/>
        <v>2.9647484181982553</v>
      </c>
      <c r="F54" s="49">
        <f>VLOOKUP($A54,'Data shares'!$C:$FB,98)</f>
        <v>21126375</v>
      </c>
      <c r="G54" s="49">
        <f>VLOOKUP($A54,'Data shares'!$C:$FB,99)</f>
        <v>22001625</v>
      </c>
      <c r="H54" s="50">
        <f t="shared" si="1"/>
        <v>-3.978115252850642</v>
      </c>
      <c r="I54" s="49">
        <f>VLOOKUP($A54,'Data shares'!$C:$FB,66)</f>
        <v>31860750</v>
      </c>
      <c r="J54" s="49">
        <f>VLOOKUP($A54,'Data shares'!$C:$FB,67)</f>
        <v>7516875</v>
      </c>
      <c r="K54" s="50">
        <f t="shared" si="2"/>
        <v>76.407099644546975</v>
      </c>
      <c r="L54" s="50">
        <f>VLOOKUP($A54,'Data shares'!$C:$FB,118)</f>
        <v>0.68</v>
      </c>
      <c r="M54" s="50">
        <f>VLOOKUP($A54,'Data shares'!$C:$FB,119)</f>
        <v>0.56999999999999995</v>
      </c>
      <c r="N54" s="50">
        <f>VLOOKUP($A54,'Data shares'!$C:$FB,121)*100</f>
        <v>19.3</v>
      </c>
      <c r="O54" s="50">
        <f>VLOOKUP($A54,'Data shares'!$C:$FB,124)</f>
        <v>0.37</v>
      </c>
      <c r="P54" s="50">
        <f>VLOOKUP($A54,'Data shares'!$C:$FB,125)</f>
        <v>0.71</v>
      </c>
      <c r="Q54" s="50">
        <f>VLOOKUP($A54,'Data shares'!$C:$FB,127)*100</f>
        <v>-47.89</v>
      </c>
    </row>
    <row r="55" spans="1:17" x14ac:dyDescent="0.25">
      <c r="A55" s="97" t="str">
        <f>'Data Vlaue (Cr)'!C50</f>
        <v>COLPAL</v>
      </c>
      <c r="B55" s="140">
        <f>VLOOKUP($A55,'Data shares'!$C:$FB,7)</f>
        <v>2356.5</v>
      </c>
      <c r="C55" s="140">
        <f>VLOOKUP($A55,'Data shares'!$C:$FB,3)</f>
        <v>2364.1999999999998</v>
      </c>
      <c r="D55" s="140">
        <f>VLOOKUP($A55,'Data shares'!$C:$FB,4)</f>
        <v>2276.3000000000002</v>
      </c>
      <c r="E55" s="50">
        <f t="shared" si="0"/>
        <v>3.861529675350333</v>
      </c>
      <c r="F55" s="49">
        <f>VLOOKUP($A55,'Data shares'!$C:$FB,98)</f>
        <v>8530200</v>
      </c>
      <c r="G55" s="49">
        <f>VLOOKUP($A55,'Data shares'!$C:$FB,99)</f>
        <v>8670825</v>
      </c>
      <c r="H55" s="50">
        <f t="shared" si="1"/>
        <v>-1.6218179930975427</v>
      </c>
      <c r="I55" s="49">
        <f>VLOOKUP($A55,'Data shares'!$C:$FB,66)</f>
        <v>20655675</v>
      </c>
      <c r="J55" s="49">
        <f>VLOOKUP($A55,'Data shares'!$C:$FB,67)</f>
        <v>6718500</v>
      </c>
      <c r="K55" s="50">
        <f t="shared" si="2"/>
        <v>67.473829831269128</v>
      </c>
      <c r="L55" s="50">
        <f>VLOOKUP($A55,'Data shares'!$C:$FB,118)</f>
        <v>0.85</v>
      </c>
      <c r="M55" s="50">
        <f>VLOOKUP($A55,'Data shares'!$C:$FB,119)</f>
        <v>0.68</v>
      </c>
      <c r="N55" s="50">
        <f>VLOOKUP($A55,'Data shares'!$C:$FB,121)*100</f>
        <v>25</v>
      </c>
      <c r="O55" s="50">
        <f>VLOOKUP($A55,'Data shares'!$C:$FB,124)</f>
        <v>0.28999999999999998</v>
      </c>
      <c r="P55" s="50">
        <f>VLOOKUP($A55,'Data shares'!$C:$FB,125)</f>
        <v>0.34</v>
      </c>
      <c r="Q55" s="50">
        <f>VLOOKUP($A55,'Data shares'!$C:$FB,127)*100</f>
        <v>-14.71</v>
      </c>
    </row>
    <row r="56" spans="1:17" x14ac:dyDescent="0.25">
      <c r="A56" s="97" t="str">
        <f>'Data Vlaue (Cr)'!C51</f>
        <v>CONCOR</v>
      </c>
      <c r="B56" s="140">
        <f>VLOOKUP($A56,'Data shares'!$C:$FB,7)</f>
        <v>557.5</v>
      </c>
      <c r="C56" s="140">
        <f>VLOOKUP($A56,'Data shares'!$C:$FB,3)</f>
        <v>558</v>
      </c>
      <c r="D56" s="140">
        <f>VLOOKUP($A56,'Data shares'!$C:$FB,4)</f>
        <v>556.04999999999995</v>
      </c>
      <c r="E56" s="50">
        <f t="shared" si="0"/>
        <v>0.35068788777988413</v>
      </c>
      <c r="F56" s="49">
        <f>VLOOKUP($A56,'Data shares'!$C:$FB,98)</f>
        <v>37932500</v>
      </c>
      <c r="G56" s="49">
        <f>VLOOKUP($A56,'Data shares'!$C:$FB,99)</f>
        <v>38066250</v>
      </c>
      <c r="H56" s="50">
        <f t="shared" si="1"/>
        <v>-0.35136111384756841</v>
      </c>
      <c r="I56" s="49">
        <f>VLOOKUP($A56,'Data shares'!$C:$FB,66)</f>
        <v>15078750</v>
      </c>
      <c r="J56" s="49">
        <f>VLOOKUP($A56,'Data shares'!$C:$FB,67)</f>
        <v>24018750</v>
      </c>
      <c r="K56" s="50">
        <f t="shared" si="2"/>
        <v>-59.288734145734892</v>
      </c>
      <c r="L56" s="50">
        <f>VLOOKUP($A56,'Data shares'!$C:$FB,118)</f>
        <v>0.71</v>
      </c>
      <c r="M56" s="50">
        <f>VLOOKUP($A56,'Data shares'!$C:$FB,119)</f>
        <v>0.68</v>
      </c>
      <c r="N56" s="50">
        <f>VLOOKUP($A56,'Data shares'!$C:$FB,121)*100</f>
        <v>4.41</v>
      </c>
      <c r="O56" s="50">
        <f>VLOOKUP($A56,'Data shares'!$C:$FB,124)</f>
        <v>0.54</v>
      </c>
      <c r="P56" s="50">
        <f>VLOOKUP($A56,'Data shares'!$C:$FB,125)</f>
        <v>0.28999999999999998</v>
      </c>
      <c r="Q56" s="50">
        <f>VLOOKUP($A56,'Data shares'!$C:$FB,127)*100</f>
        <v>86.21</v>
      </c>
    </row>
    <row r="57" spans="1:17" x14ac:dyDescent="0.25">
      <c r="A57" s="97" t="str">
        <f>'Data Vlaue (Cr)'!C52</f>
        <v>CROMPTON</v>
      </c>
      <c r="B57" s="140">
        <f>VLOOKUP($A57,'Data shares'!$C:$FB,7)</f>
        <v>328.35</v>
      </c>
      <c r="C57" s="140">
        <f>VLOOKUP($A57,'Data shares'!$C:$FB,3)</f>
        <v>329.2</v>
      </c>
      <c r="D57" s="140">
        <f>VLOOKUP($A57,'Data shares'!$C:$FB,4)</f>
        <v>330.9</v>
      </c>
      <c r="E57" s="50">
        <f t="shared" si="0"/>
        <v>-0.51375037775762733</v>
      </c>
      <c r="F57" s="49">
        <f>VLOOKUP($A57,'Data shares'!$C:$FB,98)</f>
        <v>50252400</v>
      </c>
      <c r="G57" s="49">
        <f>VLOOKUP($A57,'Data shares'!$C:$FB,99)</f>
        <v>49296600</v>
      </c>
      <c r="H57" s="50">
        <f t="shared" si="1"/>
        <v>1.9388761091028592</v>
      </c>
      <c r="I57" s="49">
        <f>VLOOKUP($A57,'Data shares'!$C:$FB,66)</f>
        <v>9509400</v>
      </c>
      <c r="J57" s="49">
        <f>VLOOKUP($A57,'Data shares'!$C:$FB,67)</f>
        <v>12889800</v>
      </c>
      <c r="K57" s="50">
        <f t="shared" si="2"/>
        <v>-35.547984099943214</v>
      </c>
      <c r="L57" s="50">
        <f>VLOOKUP($A57,'Data shares'!$C:$FB,118)</f>
        <v>0.85</v>
      </c>
      <c r="M57" s="50">
        <f>VLOOKUP($A57,'Data shares'!$C:$FB,119)</f>
        <v>0.89</v>
      </c>
      <c r="N57" s="50">
        <f>VLOOKUP($A57,'Data shares'!$C:$FB,121)*100</f>
        <v>-4.49</v>
      </c>
      <c r="O57" s="50">
        <f>VLOOKUP($A57,'Data shares'!$C:$FB,124)</f>
        <v>0.35</v>
      </c>
      <c r="P57" s="50">
        <f>VLOOKUP($A57,'Data shares'!$C:$FB,125)</f>
        <v>0.37</v>
      </c>
      <c r="Q57" s="50">
        <f>VLOOKUP($A57,'Data shares'!$C:$FB,127)*100</f>
        <v>-5.41</v>
      </c>
    </row>
    <row r="58" spans="1:17" x14ac:dyDescent="0.25">
      <c r="A58" s="97" t="str">
        <f>'Data Vlaue (Cr)'!C53</f>
        <v>CUMMINSIND</v>
      </c>
      <c r="B58" s="140">
        <f>VLOOKUP($A58,'Data shares'!$C:$FB,7)</f>
        <v>3818.4</v>
      </c>
      <c r="C58" s="140">
        <f>VLOOKUP($A58,'Data shares'!$C:$FB,3)</f>
        <v>3811.3</v>
      </c>
      <c r="D58" s="140">
        <f>VLOOKUP($A58,'Data shares'!$C:$FB,4)</f>
        <v>3760.4</v>
      </c>
      <c r="E58" s="50">
        <f t="shared" si="0"/>
        <v>1.3535794064461251</v>
      </c>
      <c r="F58" s="49">
        <f>VLOOKUP($A58,'Data shares'!$C:$FB,98)</f>
        <v>5395800</v>
      </c>
      <c r="G58" s="49">
        <f>VLOOKUP($A58,'Data shares'!$C:$FB,99)</f>
        <v>5298200</v>
      </c>
      <c r="H58" s="50">
        <f t="shared" si="1"/>
        <v>1.842135064738968</v>
      </c>
      <c r="I58" s="49">
        <f>VLOOKUP($A58,'Data shares'!$C:$FB,66)</f>
        <v>3531800</v>
      </c>
      <c r="J58" s="49">
        <f>VLOOKUP($A58,'Data shares'!$C:$FB,67)</f>
        <v>1883200</v>
      </c>
      <c r="K58" s="50">
        <f t="shared" si="2"/>
        <v>46.678747380938894</v>
      </c>
      <c r="L58" s="50">
        <f>VLOOKUP($A58,'Data shares'!$C:$FB,118)</f>
        <v>0.83</v>
      </c>
      <c r="M58" s="50">
        <f>VLOOKUP($A58,'Data shares'!$C:$FB,119)</f>
        <v>0.87</v>
      </c>
      <c r="N58" s="50">
        <f>VLOOKUP($A58,'Data shares'!$C:$FB,121)*100</f>
        <v>-4.5999999999999996</v>
      </c>
      <c r="O58" s="50">
        <f>VLOOKUP($A58,'Data shares'!$C:$FB,124)</f>
        <v>0.34</v>
      </c>
      <c r="P58" s="50">
        <f>VLOOKUP($A58,'Data shares'!$C:$FB,125)</f>
        <v>0.67</v>
      </c>
      <c r="Q58" s="50">
        <f>VLOOKUP($A58,'Data shares'!$C:$FB,127)*100</f>
        <v>-49.25</v>
      </c>
    </row>
    <row r="59" spans="1:17" x14ac:dyDescent="0.25">
      <c r="A59" s="97" t="str">
        <f>'Data Vlaue (Cr)'!C54</f>
        <v>CYIENT</v>
      </c>
      <c r="B59" s="140">
        <f>VLOOKUP($A59,'Data shares'!$C:$FB,7)</f>
        <v>1230.5999999999999</v>
      </c>
      <c r="C59" s="140">
        <f>VLOOKUP($A59,'Data shares'!$C:$FB,3)</f>
        <v>1234.3</v>
      </c>
      <c r="D59" s="140">
        <f>VLOOKUP($A59,'Data shares'!$C:$FB,4)</f>
        <v>1210</v>
      </c>
      <c r="E59" s="50">
        <f t="shared" si="0"/>
        <v>2.0082644628099136</v>
      </c>
      <c r="F59" s="49">
        <f>VLOOKUP($A59,'Data shares'!$C:$FB,98)</f>
        <v>4806325</v>
      </c>
      <c r="G59" s="49">
        <f>VLOOKUP($A59,'Data shares'!$C:$FB,99)</f>
        <v>4340950</v>
      </c>
      <c r="H59" s="50">
        <f t="shared" si="1"/>
        <v>10.720579596632074</v>
      </c>
      <c r="I59" s="49">
        <f>VLOOKUP($A59,'Data shares'!$C:$FB,66)</f>
        <v>6389450</v>
      </c>
      <c r="J59" s="49">
        <f>VLOOKUP($A59,'Data shares'!$C:$FB,67)</f>
        <v>2024700</v>
      </c>
      <c r="K59" s="50">
        <f t="shared" si="2"/>
        <v>68.311826526539846</v>
      </c>
      <c r="L59" s="50">
        <f>VLOOKUP($A59,'Data shares'!$C:$FB,118)</f>
        <v>0.44</v>
      </c>
      <c r="M59" s="50">
        <f>VLOOKUP($A59,'Data shares'!$C:$FB,119)</f>
        <v>0.54</v>
      </c>
      <c r="N59" s="50">
        <f>VLOOKUP($A59,'Data shares'!$C:$FB,121)*100</f>
        <v>-18.52</v>
      </c>
      <c r="O59" s="50">
        <f>VLOOKUP($A59,'Data shares'!$C:$FB,124)</f>
        <v>0.17</v>
      </c>
      <c r="P59" s="50">
        <f>VLOOKUP($A59,'Data shares'!$C:$FB,125)</f>
        <v>0.21</v>
      </c>
      <c r="Q59" s="50">
        <f>VLOOKUP($A59,'Data shares'!$C:$FB,127)*100</f>
        <v>-19.05</v>
      </c>
    </row>
    <row r="60" spans="1:17" x14ac:dyDescent="0.25">
      <c r="A60" s="97" t="str">
        <f>'Data Vlaue (Cr)'!C55</f>
        <v>DABUR</v>
      </c>
      <c r="B60" s="140">
        <f>VLOOKUP($A60,'Data shares'!$C:$FB,7)</f>
        <v>535</v>
      </c>
      <c r="C60" s="140">
        <f>VLOOKUP($A60,'Data shares'!$C:$FB,3)</f>
        <v>536.85</v>
      </c>
      <c r="D60" s="140">
        <f>VLOOKUP($A60,'Data shares'!$C:$FB,4)</f>
        <v>523.6</v>
      </c>
      <c r="E60" s="50">
        <f t="shared" si="0"/>
        <v>2.5305576776165011</v>
      </c>
      <c r="F60" s="49">
        <f>VLOOKUP($A60,'Data shares'!$C:$FB,98)</f>
        <v>36646250</v>
      </c>
      <c r="G60" s="49">
        <f>VLOOKUP($A60,'Data shares'!$C:$FB,99)</f>
        <v>32753750</v>
      </c>
      <c r="H60" s="50">
        <f t="shared" si="1"/>
        <v>11.884135404343015</v>
      </c>
      <c r="I60" s="49">
        <f>VLOOKUP($A60,'Data shares'!$C:$FB,66)</f>
        <v>71911250</v>
      </c>
      <c r="J60" s="49">
        <f>VLOOKUP($A60,'Data shares'!$C:$FB,67)</f>
        <v>16668750</v>
      </c>
      <c r="K60" s="50">
        <f t="shared" si="2"/>
        <v>76.820386239983321</v>
      </c>
      <c r="L60" s="50">
        <f>VLOOKUP($A60,'Data shares'!$C:$FB,118)</f>
        <v>0.53</v>
      </c>
      <c r="M60" s="50">
        <f>VLOOKUP($A60,'Data shares'!$C:$FB,119)</f>
        <v>0.48</v>
      </c>
      <c r="N60" s="50">
        <f>VLOOKUP($A60,'Data shares'!$C:$FB,121)*100</f>
        <v>10.42</v>
      </c>
      <c r="O60" s="50">
        <f>VLOOKUP($A60,'Data shares'!$C:$FB,124)</f>
        <v>0.28000000000000003</v>
      </c>
      <c r="P60" s="50">
        <f>VLOOKUP($A60,'Data shares'!$C:$FB,125)</f>
        <v>0.44</v>
      </c>
      <c r="Q60" s="50">
        <f>VLOOKUP($A60,'Data shares'!$C:$FB,127)*100</f>
        <v>-36.36</v>
      </c>
    </row>
    <row r="61" spans="1:17" x14ac:dyDescent="0.25">
      <c r="A61" s="97" t="str">
        <f>'Data Vlaue (Cr)'!C56</f>
        <v>DALBHARAT</v>
      </c>
      <c r="B61" s="140">
        <f>VLOOKUP($A61,'Data shares'!$C:$FB,7)</f>
        <v>2344.4</v>
      </c>
      <c r="C61" s="140">
        <f>VLOOKUP($A61,'Data shares'!$C:$FB,3)</f>
        <v>2349.9</v>
      </c>
      <c r="D61" s="140">
        <f>VLOOKUP($A61,'Data shares'!$C:$FB,4)</f>
        <v>2347.5</v>
      </c>
      <c r="E61" s="50">
        <f t="shared" si="0"/>
        <v>0.1022364217252435</v>
      </c>
      <c r="F61" s="49">
        <f>VLOOKUP($A61,'Data shares'!$C:$FB,98)</f>
        <v>3733925</v>
      </c>
      <c r="G61" s="49">
        <f>VLOOKUP($A61,'Data shares'!$C:$FB,99)</f>
        <v>3751475</v>
      </c>
      <c r="H61" s="50">
        <f t="shared" si="1"/>
        <v>-0.46781599237633198</v>
      </c>
      <c r="I61" s="49">
        <f>VLOOKUP($A61,'Data shares'!$C:$FB,66)</f>
        <v>573950</v>
      </c>
      <c r="J61" s="49">
        <f>VLOOKUP($A61,'Data shares'!$C:$FB,67)</f>
        <v>1040325</v>
      </c>
      <c r="K61" s="50">
        <f t="shared" si="2"/>
        <v>-81.257078142695363</v>
      </c>
      <c r="L61" s="50">
        <f>VLOOKUP($A61,'Data shares'!$C:$FB,118)</f>
        <v>0.63</v>
      </c>
      <c r="M61" s="50">
        <f>VLOOKUP($A61,'Data shares'!$C:$FB,119)</f>
        <v>0.65</v>
      </c>
      <c r="N61" s="50">
        <f>VLOOKUP($A61,'Data shares'!$C:$FB,121)*100</f>
        <v>-3.08</v>
      </c>
      <c r="O61" s="50">
        <f>VLOOKUP($A61,'Data shares'!$C:$FB,124)</f>
        <v>0.49</v>
      </c>
      <c r="P61" s="50">
        <f>VLOOKUP($A61,'Data shares'!$C:$FB,125)</f>
        <v>0.35</v>
      </c>
      <c r="Q61" s="50">
        <f>VLOOKUP($A61,'Data shares'!$C:$FB,127)*100</f>
        <v>40</v>
      </c>
    </row>
    <row r="62" spans="1:17" x14ac:dyDescent="0.25">
      <c r="A62" s="97" t="str">
        <f>'Data Vlaue (Cr)'!C57</f>
        <v>DELHIVERY</v>
      </c>
      <c r="B62" s="140">
        <f>VLOOKUP($A62,'Data shares'!$C:$FB,7)</f>
        <v>471.1</v>
      </c>
      <c r="C62" s="140">
        <f>VLOOKUP($A62,'Data shares'!$C:$FB,3)</f>
        <v>472.05</v>
      </c>
      <c r="D62" s="140">
        <f>VLOOKUP($A62,'Data shares'!$C:$FB,4)</f>
        <v>473.1</v>
      </c>
      <c r="E62" s="50">
        <f t="shared" si="0"/>
        <v>-0.22194039315155595</v>
      </c>
      <c r="F62" s="49">
        <f>VLOOKUP($A62,'Data shares'!$C:$FB,98)</f>
        <v>36434925</v>
      </c>
      <c r="G62" s="49">
        <f>VLOOKUP($A62,'Data shares'!$C:$FB,99)</f>
        <v>37065725</v>
      </c>
      <c r="H62" s="50">
        <f t="shared" si="1"/>
        <v>-1.7018417958909478</v>
      </c>
      <c r="I62" s="49">
        <f>VLOOKUP($A62,'Data shares'!$C:$FB,66)</f>
        <v>29882075</v>
      </c>
      <c r="J62" s="49">
        <f>VLOOKUP($A62,'Data shares'!$C:$FB,67)</f>
        <v>35729425</v>
      </c>
      <c r="K62" s="50">
        <f t="shared" si="2"/>
        <v>-19.568085549614612</v>
      </c>
      <c r="L62" s="50">
        <f>VLOOKUP($A62,'Data shares'!$C:$FB,118)</f>
        <v>0.85</v>
      </c>
      <c r="M62" s="50">
        <f>VLOOKUP($A62,'Data shares'!$C:$FB,119)</f>
        <v>0.81</v>
      </c>
      <c r="N62" s="50">
        <f>VLOOKUP($A62,'Data shares'!$C:$FB,121)*100</f>
        <v>4.9399999999999995</v>
      </c>
      <c r="O62" s="50">
        <f>VLOOKUP($A62,'Data shares'!$C:$FB,124)</f>
        <v>0.52</v>
      </c>
      <c r="P62" s="50">
        <f>VLOOKUP($A62,'Data shares'!$C:$FB,125)</f>
        <v>0.3</v>
      </c>
      <c r="Q62" s="50">
        <f>VLOOKUP($A62,'Data shares'!$C:$FB,127)*100</f>
        <v>73.33</v>
      </c>
    </row>
    <row r="63" spans="1:17" x14ac:dyDescent="0.25">
      <c r="A63" s="97" t="str">
        <f>'Data Vlaue (Cr)'!C58</f>
        <v>DIVISLAB</v>
      </c>
      <c r="B63" s="140">
        <f>VLOOKUP($A63,'Data shares'!$C:$FB,7)</f>
        <v>6005</v>
      </c>
      <c r="C63" s="140">
        <f>VLOOKUP($A63,'Data shares'!$C:$FB,3)</f>
        <v>6024</v>
      </c>
      <c r="D63" s="140">
        <f>VLOOKUP($A63,'Data shares'!$C:$FB,4)</f>
        <v>6100</v>
      </c>
      <c r="E63" s="50">
        <f t="shared" si="0"/>
        <v>-1.2459016393442623</v>
      </c>
      <c r="F63" s="49">
        <f>VLOOKUP($A63,'Data shares'!$C:$FB,98)</f>
        <v>5567500</v>
      </c>
      <c r="G63" s="49">
        <f>VLOOKUP($A63,'Data shares'!$C:$FB,99)</f>
        <v>5339200</v>
      </c>
      <c r="H63" s="50">
        <f t="shared" si="1"/>
        <v>4.2759214863649984</v>
      </c>
      <c r="I63" s="49">
        <f>VLOOKUP($A63,'Data shares'!$C:$FB,66)</f>
        <v>5244400</v>
      </c>
      <c r="J63" s="49">
        <f>VLOOKUP($A63,'Data shares'!$C:$FB,67)</f>
        <v>1967300</v>
      </c>
      <c r="K63" s="50">
        <f t="shared" si="2"/>
        <v>62.487605827168025</v>
      </c>
      <c r="L63" s="50">
        <f>VLOOKUP($A63,'Data shares'!$C:$FB,118)</f>
        <v>0.63</v>
      </c>
      <c r="M63" s="50">
        <f>VLOOKUP($A63,'Data shares'!$C:$FB,119)</f>
        <v>0.61</v>
      </c>
      <c r="N63" s="50">
        <f>VLOOKUP($A63,'Data shares'!$C:$FB,121)*100</f>
        <v>3.2800000000000002</v>
      </c>
      <c r="O63" s="50">
        <f>VLOOKUP($A63,'Data shares'!$C:$FB,124)</f>
        <v>0.79</v>
      </c>
      <c r="P63" s="50">
        <f>VLOOKUP($A63,'Data shares'!$C:$FB,125)</f>
        <v>0.42</v>
      </c>
      <c r="Q63" s="50">
        <f>VLOOKUP($A63,'Data shares'!$C:$FB,127)*100</f>
        <v>88.1</v>
      </c>
    </row>
    <row r="64" spans="1:17" x14ac:dyDescent="0.25">
      <c r="A64" s="97" t="str">
        <f>'Data Vlaue (Cr)'!C59</f>
        <v>DIXON</v>
      </c>
      <c r="B64" s="140">
        <f>VLOOKUP($A64,'Data shares'!$C:$FB,7)</f>
        <v>16876</v>
      </c>
      <c r="C64" s="140">
        <f>VLOOKUP($A64,'Data shares'!$C:$FB,3)</f>
        <v>16917</v>
      </c>
      <c r="D64" s="140">
        <f>VLOOKUP($A64,'Data shares'!$C:$FB,4)</f>
        <v>16971</v>
      </c>
      <c r="E64" s="50">
        <f t="shared" si="0"/>
        <v>-0.31818985327912319</v>
      </c>
      <c r="F64" s="49">
        <f>VLOOKUP($A64,'Data shares'!$C:$FB,98)</f>
        <v>3442850</v>
      </c>
      <c r="G64" s="49">
        <f>VLOOKUP($A64,'Data shares'!$C:$FB,99)</f>
        <v>3277450</v>
      </c>
      <c r="H64" s="50">
        <f t="shared" si="1"/>
        <v>5.0466063555508098</v>
      </c>
      <c r="I64" s="49">
        <f>VLOOKUP($A64,'Data shares'!$C:$FB,66)</f>
        <v>4548150</v>
      </c>
      <c r="J64" s="49">
        <f>VLOOKUP($A64,'Data shares'!$C:$FB,67)</f>
        <v>3604300</v>
      </c>
      <c r="K64" s="50">
        <f t="shared" si="2"/>
        <v>20.752393830458537</v>
      </c>
      <c r="L64" s="50">
        <f>VLOOKUP($A64,'Data shares'!$C:$FB,118)</f>
        <v>0.7</v>
      </c>
      <c r="M64" s="50">
        <f>VLOOKUP($A64,'Data shares'!$C:$FB,119)</f>
        <v>0.77</v>
      </c>
      <c r="N64" s="50">
        <f>VLOOKUP($A64,'Data shares'!$C:$FB,121)*100</f>
        <v>-9.09</v>
      </c>
      <c r="O64" s="50">
        <f>VLOOKUP($A64,'Data shares'!$C:$FB,124)</f>
        <v>0.44</v>
      </c>
      <c r="P64" s="50">
        <f>VLOOKUP($A64,'Data shares'!$C:$FB,125)</f>
        <v>0.56000000000000005</v>
      </c>
      <c r="Q64" s="50">
        <f>VLOOKUP($A64,'Data shares'!$C:$FB,127)*100</f>
        <v>-21.43</v>
      </c>
    </row>
    <row r="65" spans="1:17" x14ac:dyDescent="0.25">
      <c r="A65" s="97" t="str">
        <f>'Data Vlaue (Cr)'!C60</f>
        <v>DLF</v>
      </c>
      <c r="B65" s="140">
        <f>VLOOKUP($A65,'Data shares'!$C:$FB,7)</f>
        <v>770.5</v>
      </c>
      <c r="C65" s="140">
        <f>VLOOKUP($A65,'Data shares'!$C:$FB,3)</f>
        <v>772.25</v>
      </c>
      <c r="D65" s="140">
        <f>VLOOKUP($A65,'Data shares'!$C:$FB,4)</f>
        <v>777.85</v>
      </c>
      <c r="E65" s="50">
        <f t="shared" si="0"/>
        <v>-0.7199331490647326</v>
      </c>
      <c r="F65" s="49">
        <f>VLOOKUP($A65,'Data shares'!$C:$FB,98)</f>
        <v>66790350</v>
      </c>
      <c r="G65" s="49">
        <f>VLOOKUP($A65,'Data shares'!$C:$FB,99)</f>
        <v>65878725</v>
      </c>
      <c r="H65" s="50">
        <f t="shared" si="1"/>
        <v>1.3837927191213855</v>
      </c>
      <c r="I65" s="49">
        <f>VLOOKUP($A65,'Data shares'!$C:$FB,66)</f>
        <v>32170050</v>
      </c>
      <c r="J65" s="49">
        <f>VLOOKUP($A65,'Data shares'!$C:$FB,67)</f>
        <v>34602975</v>
      </c>
      <c r="K65" s="50">
        <f t="shared" si="2"/>
        <v>-7.5627019541467915</v>
      </c>
      <c r="L65" s="50">
        <f>VLOOKUP($A65,'Data shares'!$C:$FB,118)</f>
        <v>0.55000000000000004</v>
      </c>
      <c r="M65" s="50">
        <f>VLOOKUP($A65,'Data shares'!$C:$FB,119)</f>
        <v>0.56000000000000005</v>
      </c>
      <c r="N65" s="50">
        <f>VLOOKUP($A65,'Data shares'!$C:$FB,121)*100</f>
        <v>-1.79</v>
      </c>
      <c r="O65" s="50">
        <f>VLOOKUP($A65,'Data shares'!$C:$FB,124)</f>
        <v>0.45</v>
      </c>
      <c r="P65" s="50">
        <f>VLOOKUP($A65,'Data shares'!$C:$FB,125)</f>
        <v>0.39</v>
      </c>
      <c r="Q65" s="50">
        <f>VLOOKUP($A65,'Data shares'!$C:$FB,127)*100</f>
        <v>15.379999999999999</v>
      </c>
    </row>
    <row r="66" spans="1:17" x14ac:dyDescent="0.25">
      <c r="A66" s="97" t="str">
        <f>'Data Vlaue (Cr)'!C61</f>
        <v>DMART</v>
      </c>
      <c r="B66" s="140">
        <f>VLOOKUP($A66,'Data shares'!$C:$FB,7)</f>
        <v>4737.8999999999996</v>
      </c>
      <c r="C66" s="140">
        <f>VLOOKUP($A66,'Data shares'!$C:$FB,3)</f>
        <v>4708.7</v>
      </c>
      <c r="D66" s="140">
        <f>VLOOKUP($A66,'Data shares'!$C:$FB,4)</f>
        <v>4630.8</v>
      </c>
      <c r="E66" s="50">
        <f t="shared" si="0"/>
        <v>1.6822147361147022</v>
      </c>
      <c r="F66" s="49">
        <f>VLOOKUP($A66,'Data shares'!$C:$FB,98)</f>
        <v>8979000</v>
      </c>
      <c r="G66" s="49">
        <f>VLOOKUP($A66,'Data shares'!$C:$FB,99)</f>
        <v>8637450</v>
      </c>
      <c r="H66" s="50">
        <f t="shared" si="1"/>
        <v>3.9542920653665146</v>
      </c>
      <c r="I66" s="49">
        <f>VLOOKUP($A66,'Data shares'!$C:$FB,66)</f>
        <v>15328950</v>
      </c>
      <c r="J66" s="49">
        <f>VLOOKUP($A66,'Data shares'!$C:$FB,67)</f>
        <v>17349900</v>
      </c>
      <c r="K66" s="50">
        <f t="shared" si="2"/>
        <v>-13.183877564999561</v>
      </c>
      <c r="L66" s="50">
        <f>VLOOKUP($A66,'Data shares'!$C:$FB,118)</f>
        <v>0.91</v>
      </c>
      <c r="M66" s="50">
        <f>VLOOKUP($A66,'Data shares'!$C:$FB,119)</f>
        <v>0.8</v>
      </c>
      <c r="N66" s="50">
        <f>VLOOKUP($A66,'Data shares'!$C:$FB,121)*100</f>
        <v>13.750000000000002</v>
      </c>
      <c r="O66" s="50">
        <f>VLOOKUP($A66,'Data shares'!$C:$FB,124)</f>
        <v>0.35</v>
      </c>
      <c r="P66" s="50">
        <f>VLOOKUP($A66,'Data shares'!$C:$FB,125)</f>
        <v>0.34</v>
      </c>
      <c r="Q66" s="50">
        <f>VLOOKUP($A66,'Data shares'!$C:$FB,127)*100</f>
        <v>2.94</v>
      </c>
    </row>
    <row r="67" spans="1:17" x14ac:dyDescent="0.25">
      <c r="A67" s="97" t="str">
        <f>'Data Vlaue (Cr)'!C62</f>
        <v>DRREDDY</v>
      </c>
      <c r="B67" s="140">
        <f>VLOOKUP($A67,'Data shares'!$C:$FB,7)</f>
        <v>1245.4000000000001</v>
      </c>
      <c r="C67" s="140">
        <f>VLOOKUP($A67,'Data shares'!$C:$FB,3)</f>
        <v>1241.2</v>
      </c>
      <c r="D67" s="140">
        <f>VLOOKUP($A67,'Data shares'!$C:$FB,4)</f>
        <v>1244.5999999999999</v>
      </c>
      <c r="E67" s="50">
        <f t="shared" si="0"/>
        <v>-0.27318013819700016</v>
      </c>
      <c r="F67" s="49">
        <f>VLOOKUP($A67,'Data shares'!$C:$FB,98)</f>
        <v>25282500</v>
      </c>
      <c r="G67" s="49">
        <f>VLOOKUP($A67,'Data shares'!$C:$FB,99)</f>
        <v>25053750</v>
      </c>
      <c r="H67" s="50">
        <f t="shared" si="1"/>
        <v>0.91303697051339627</v>
      </c>
      <c r="I67" s="49">
        <f>VLOOKUP($A67,'Data shares'!$C:$FB,66)</f>
        <v>8012500</v>
      </c>
      <c r="J67" s="49">
        <f>VLOOKUP($A67,'Data shares'!$C:$FB,67)</f>
        <v>8975000</v>
      </c>
      <c r="K67" s="50">
        <f t="shared" si="2"/>
        <v>-12.012480499219969</v>
      </c>
      <c r="L67" s="50">
        <f>VLOOKUP($A67,'Data shares'!$C:$FB,118)</f>
        <v>0.8</v>
      </c>
      <c r="M67" s="50">
        <f>VLOOKUP($A67,'Data shares'!$C:$FB,119)</f>
        <v>0.78</v>
      </c>
      <c r="N67" s="50">
        <f>VLOOKUP($A67,'Data shares'!$C:$FB,121)*100</f>
        <v>2.56</v>
      </c>
      <c r="O67" s="50">
        <f>VLOOKUP($A67,'Data shares'!$C:$FB,124)</f>
        <v>0.66</v>
      </c>
      <c r="P67" s="50">
        <f>VLOOKUP($A67,'Data shares'!$C:$FB,125)</f>
        <v>0.85</v>
      </c>
      <c r="Q67" s="50">
        <f>VLOOKUP($A67,'Data shares'!$C:$FB,127)*100</f>
        <v>-22.35</v>
      </c>
    </row>
    <row r="68" spans="1:17" x14ac:dyDescent="0.25">
      <c r="A68" s="97" t="str">
        <f>'Data Vlaue (Cr)'!C63</f>
        <v>EICHERMOT</v>
      </c>
      <c r="B68" s="140">
        <f>VLOOKUP($A68,'Data shares'!$C:$FB,7)</f>
        <v>5937.5</v>
      </c>
      <c r="C68" s="140">
        <f>VLOOKUP($A68,'Data shares'!$C:$FB,3)</f>
        <v>5948.5</v>
      </c>
      <c r="D68" s="140">
        <f>VLOOKUP($A68,'Data shares'!$C:$FB,4)</f>
        <v>5958.5</v>
      </c>
      <c r="E68" s="50">
        <f t="shared" si="0"/>
        <v>-0.16782747335738862</v>
      </c>
      <c r="F68" s="49">
        <f>VLOOKUP($A68,'Data shares'!$C:$FB,98)</f>
        <v>8201025</v>
      </c>
      <c r="G68" s="49">
        <f>VLOOKUP($A68,'Data shares'!$C:$FB,99)</f>
        <v>8262275</v>
      </c>
      <c r="H68" s="50">
        <f t="shared" si="1"/>
        <v>-0.74132124626691809</v>
      </c>
      <c r="I68" s="49">
        <f>VLOOKUP($A68,'Data shares'!$C:$FB,66)</f>
        <v>4087125</v>
      </c>
      <c r="J68" s="49">
        <f>VLOOKUP($A68,'Data shares'!$C:$FB,67)</f>
        <v>9088275</v>
      </c>
      <c r="K68" s="50">
        <f t="shared" si="2"/>
        <v>-122.36351958895311</v>
      </c>
      <c r="L68" s="50">
        <f>VLOOKUP($A68,'Data shares'!$C:$FB,118)</f>
        <v>0.74</v>
      </c>
      <c r="M68" s="50">
        <f>VLOOKUP($A68,'Data shares'!$C:$FB,119)</f>
        <v>0.76</v>
      </c>
      <c r="N68" s="50">
        <f>VLOOKUP($A68,'Data shares'!$C:$FB,121)*100</f>
        <v>-2.63</v>
      </c>
      <c r="O68" s="50">
        <f>VLOOKUP($A68,'Data shares'!$C:$FB,124)</f>
        <v>0.61</v>
      </c>
      <c r="P68" s="50">
        <f>VLOOKUP($A68,'Data shares'!$C:$FB,125)</f>
        <v>0.48</v>
      </c>
      <c r="Q68" s="50">
        <f>VLOOKUP($A68,'Data shares'!$C:$FB,127)*100</f>
        <v>27.08</v>
      </c>
    </row>
    <row r="69" spans="1:17" x14ac:dyDescent="0.25">
      <c r="A69" s="97" t="str">
        <f>'Data Vlaue (Cr)'!C64</f>
        <v>ETERNAL</v>
      </c>
      <c r="B69" s="140">
        <f>VLOOKUP($A69,'Data shares'!$C:$FB,7)</f>
        <v>326.55</v>
      </c>
      <c r="C69" s="140">
        <f>VLOOKUP($A69,'Data shares'!$C:$FB,3)</f>
        <v>326.3</v>
      </c>
      <c r="D69" s="140">
        <f>VLOOKUP($A69,'Data shares'!$C:$FB,4)</f>
        <v>321.7</v>
      </c>
      <c r="E69" s="50">
        <f t="shared" si="0"/>
        <v>1.4299036369288227</v>
      </c>
      <c r="F69" s="49">
        <f>VLOOKUP($A69,'Data shares'!$C:$FB,98)</f>
        <v>365626950</v>
      </c>
      <c r="G69" s="49">
        <f>VLOOKUP($A69,'Data shares'!$C:$FB,99)</f>
        <v>355931800</v>
      </c>
      <c r="H69" s="50">
        <f t="shared" si="1"/>
        <v>2.7238785632528479</v>
      </c>
      <c r="I69" s="49">
        <f>VLOOKUP($A69,'Data shares'!$C:$FB,66)</f>
        <v>466710650</v>
      </c>
      <c r="J69" s="49">
        <f>VLOOKUP($A69,'Data shares'!$C:$FB,67)</f>
        <v>278186300</v>
      </c>
      <c r="K69" s="50">
        <f t="shared" si="2"/>
        <v>40.394267840256056</v>
      </c>
      <c r="L69" s="50">
        <f>VLOOKUP($A69,'Data shares'!$C:$FB,118)</f>
        <v>0.81</v>
      </c>
      <c r="M69" s="50">
        <f>VLOOKUP($A69,'Data shares'!$C:$FB,119)</f>
        <v>0.87</v>
      </c>
      <c r="N69" s="50">
        <f>VLOOKUP($A69,'Data shares'!$C:$FB,121)*100</f>
        <v>-6.9</v>
      </c>
      <c r="O69" s="50">
        <f>VLOOKUP($A69,'Data shares'!$C:$FB,124)</f>
        <v>0.46</v>
      </c>
      <c r="P69" s="50">
        <f>VLOOKUP($A69,'Data shares'!$C:$FB,125)</f>
        <v>0.55000000000000004</v>
      </c>
      <c r="Q69" s="50">
        <f>VLOOKUP($A69,'Data shares'!$C:$FB,127)*100</f>
        <v>-16.36</v>
      </c>
    </row>
    <row r="70" spans="1:17" x14ac:dyDescent="0.25">
      <c r="A70" s="97" t="str">
        <f>'Data Vlaue (Cr)'!C65</f>
        <v>EXIDEIND</v>
      </c>
      <c r="B70" s="140">
        <f>VLOOKUP($A70,'Data shares'!$C:$FB,7)</f>
        <v>396.3</v>
      </c>
      <c r="C70" s="140">
        <f>VLOOKUP($A70,'Data shares'!$C:$FB,3)</f>
        <v>397.3</v>
      </c>
      <c r="D70" s="140">
        <f>VLOOKUP($A70,'Data shares'!$C:$FB,4)</f>
        <v>394.6</v>
      </c>
      <c r="E70" s="50">
        <f t="shared" si="0"/>
        <v>0.68423720223010354</v>
      </c>
      <c r="F70" s="49">
        <f>VLOOKUP($A70,'Data shares'!$C:$FB,98)</f>
        <v>61972200</v>
      </c>
      <c r="G70" s="49">
        <f>VLOOKUP($A70,'Data shares'!$C:$FB,99)</f>
        <v>61956000</v>
      </c>
      <c r="H70" s="50">
        <f t="shared" si="1"/>
        <v>2.6147588611272515E-2</v>
      </c>
      <c r="I70" s="49">
        <f>VLOOKUP($A70,'Data shares'!$C:$FB,66)</f>
        <v>69919200</v>
      </c>
      <c r="J70" s="49">
        <f>VLOOKUP($A70,'Data shares'!$C:$FB,67)</f>
        <v>135090000</v>
      </c>
      <c r="K70" s="50">
        <f t="shared" si="2"/>
        <v>-93.20873236535887</v>
      </c>
      <c r="L70" s="50">
        <f>VLOOKUP($A70,'Data shares'!$C:$FB,118)</f>
        <v>0.59</v>
      </c>
      <c r="M70" s="50">
        <f>VLOOKUP($A70,'Data shares'!$C:$FB,119)</f>
        <v>0.56000000000000005</v>
      </c>
      <c r="N70" s="50">
        <f>VLOOKUP($A70,'Data shares'!$C:$FB,121)*100</f>
        <v>5.36</v>
      </c>
      <c r="O70" s="50">
        <f>VLOOKUP($A70,'Data shares'!$C:$FB,124)</f>
        <v>0.25</v>
      </c>
      <c r="P70" s="50">
        <f>VLOOKUP($A70,'Data shares'!$C:$FB,125)</f>
        <v>0.33</v>
      </c>
      <c r="Q70" s="50">
        <f>VLOOKUP($A70,'Data shares'!$C:$FB,127)*100</f>
        <v>-24.240000000000002</v>
      </c>
    </row>
    <row r="71" spans="1:17" x14ac:dyDescent="0.25">
      <c r="A71" s="97" t="str">
        <f>'Data Vlaue (Cr)'!C66</f>
        <v>FEDERALBNK</v>
      </c>
      <c r="B71" s="140">
        <f>VLOOKUP($A71,'Data shares'!$C:$FB,7)</f>
        <v>199.71</v>
      </c>
      <c r="C71" s="140">
        <f>VLOOKUP($A71,'Data shares'!$C:$FB,3)</f>
        <v>199.1</v>
      </c>
      <c r="D71" s="140">
        <f>VLOOKUP($A71,'Data shares'!$C:$FB,4)</f>
        <v>199.25</v>
      </c>
      <c r="E71" s="50">
        <f t="shared" si="0"/>
        <v>-7.528230865746835E-2</v>
      </c>
      <c r="F71" s="49">
        <f>VLOOKUP($A71,'Data shares'!$C:$FB,98)</f>
        <v>191790000</v>
      </c>
      <c r="G71" s="49">
        <f>VLOOKUP($A71,'Data shares'!$C:$FB,99)</f>
        <v>189740000</v>
      </c>
      <c r="H71" s="50">
        <f t="shared" si="1"/>
        <v>1.0804258458943818</v>
      </c>
      <c r="I71" s="49">
        <f>VLOOKUP($A71,'Data shares'!$C:$FB,66)</f>
        <v>86345000</v>
      </c>
      <c r="J71" s="49">
        <f>VLOOKUP($A71,'Data shares'!$C:$FB,67)</f>
        <v>102605000</v>
      </c>
      <c r="K71" s="50">
        <f t="shared" si="2"/>
        <v>-18.831432045862528</v>
      </c>
      <c r="L71" s="50">
        <f>VLOOKUP($A71,'Data shares'!$C:$FB,118)</f>
        <v>0.75</v>
      </c>
      <c r="M71" s="50">
        <f>VLOOKUP($A71,'Data shares'!$C:$FB,119)</f>
        <v>0.72</v>
      </c>
      <c r="N71" s="50">
        <f>VLOOKUP($A71,'Data shares'!$C:$FB,121)*100</f>
        <v>4.17</v>
      </c>
      <c r="O71" s="50">
        <f>VLOOKUP($A71,'Data shares'!$C:$FB,124)</f>
        <v>0.56999999999999995</v>
      </c>
      <c r="P71" s="50">
        <f>VLOOKUP($A71,'Data shares'!$C:$FB,125)</f>
        <v>0.55000000000000004</v>
      </c>
      <c r="Q71" s="50">
        <f>VLOOKUP($A71,'Data shares'!$C:$FB,127)*100</f>
        <v>3.64</v>
      </c>
    </row>
    <row r="72" spans="1:17" x14ac:dyDescent="0.25">
      <c r="A72" s="97" t="str">
        <f>'Data Vlaue (Cr)'!C67</f>
        <v>FINNIFTY</v>
      </c>
      <c r="B72" s="140">
        <f>VLOOKUP($A72,'Data shares'!$C:$FB,7)</f>
        <v>26487.8</v>
      </c>
      <c r="C72" s="140">
        <f>VLOOKUP($A72,'Data shares'!$C:$FB,3)</f>
        <v>26549.5</v>
      </c>
      <c r="D72" s="140">
        <f>VLOOKUP($A72,'Data shares'!$C:$FB,4)</f>
        <v>26658.400000000001</v>
      </c>
      <c r="E72" s="50">
        <f t="shared" ref="E72:E135" si="3">(C72-D72)/D72*100</f>
        <v>-0.40850163550701263</v>
      </c>
      <c r="F72" s="49">
        <f>VLOOKUP($A72,'Data shares'!$C:$FB,98)</f>
        <v>2574845</v>
      </c>
      <c r="G72" s="49">
        <f>VLOOKUP($A72,'Data shares'!$C:$FB,99)</f>
        <v>2377700</v>
      </c>
      <c r="H72" s="50">
        <f t="shared" ref="H72:H135" si="4">(F72-G72)/G72*100</f>
        <v>8.2914160743575724</v>
      </c>
      <c r="I72" s="49">
        <f>VLOOKUP($A72,'Data shares'!$C:$FB,66)</f>
        <v>8503105</v>
      </c>
      <c r="J72" s="49">
        <f>VLOOKUP($A72,'Data shares'!$C:$FB,67)</f>
        <v>7756190</v>
      </c>
      <c r="K72" s="50">
        <f t="shared" ref="K72:K135" si="5">(I72-J72)/I72*100</f>
        <v>8.7840265408930023</v>
      </c>
      <c r="L72" s="50">
        <f>VLOOKUP($A72,'Data shares'!$C:$FB,118)</f>
        <v>0.76</v>
      </c>
      <c r="M72" s="50">
        <f>VLOOKUP($A72,'Data shares'!$C:$FB,119)</f>
        <v>0.84</v>
      </c>
      <c r="N72" s="50">
        <f>VLOOKUP($A72,'Data shares'!$C:$FB,121)*100</f>
        <v>-9.5200000000000014</v>
      </c>
      <c r="O72" s="50">
        <f>VLOOKUP($A72,'Data shares'!$C:$FB,124)</f>
        <v>0.84</v>
      </c>
      <c r="P72" s="50">
        <f>VLOOKUP($A72,'Data shares'!$C:$FB,125)</f>
        <v>0.9</v>
      </c>
      <c r="Q72" s="50">
        <f>VLOOKUP($A72,'Data shares'!$C:$FB,127)*100</f>
        <v>-6.67</v>
      </c>
    </row>
    <row r="73" spans="1:17" x14ac:dyDescent="0.25">
      <c r="A73" s="97" t="str">
        <f>'Data Vlaue (Cr)'!C68</f>
        <v>FORTIS</v>
      </c>
      <c r="B73" s="140">
        <f>VLOOKUP($A73,'Data shares'!$C:$FB,7)</f>
        <v>963.95</v>
      </c>
      <c r="C73" s="140">
        <f>VLOOKUP($A73,'Data shares'!$C:$FB,3)</f>
        <v>964.7</v>
      </c>
      <c r="D73" s="140">
        <f>VLOOKUP($A73,'Data shares'!$C:$FB,4)</f>
        <v>949.7</v>
      </c>
      <c r="E73" s="50">
        <f t="shared" si="3"/>
        <v>1.5794461408865959</v>
      </c>
      <c r="F73" s="49">
        <f>VLOOKUP($A73,'Data shares'!$C:$FB,98)</f>
        <v>17805625</v>
      </c>
      <c r="G73" s="49">
        <f>VLOOKUP($A73,'Data shares'!$C:$FB,99)</f>
        <v>17489425</v>
      </c>
      <c r="H73" s="50">
        <f t="shared" si="4"/>
        <v>1.8079496610094385</v>
      </c>
      <c r="I73" s="49">
        <f>VLOOKUP($A73,'Data shares'!$C:$FB,66)</f>
        <v>15486825</v>
      </c>
      <c r="J73" s="49">
        <f>VLOOKUP($A73,'Data shares'!$C:$FB,67)</f>
        <v>8075500</v>
      </c>
      <c r="K73" s="50">
        <f t="shared" si="5"/>
        <v>47.855677325726873</v>
      </c>
      <c r="L73" s="50">
        <f>VLOOKUP($A73,'Data shares'!$C:$FB,118)</f>
        <v>0.91</v>
      </c>
      <c r="M73" s="50">
        <f>VLOOKUP($A73,'Data shares'!$C:$FB,119)</f>
        <v>0.85</v>
      </c>
      <c r="N73" s="50">
        <f>VLOOKUP($A73,'Data shares'!$C:$FB,121)*100</f>
        <v>7.06</v>
      </c>
      <c r="O73" s="50">
        <f>VLOOKUP($A73,'Data shares'!$C:$FB,124)</f>
        <v>0.39</v>
      </c>
      <c r="P73" s="50">
        <f>VLOOKUP($A73,'Data shares'!$C:$FB,125)</f>
        <v>0.66</v>
      </c>
      <c r="Q73" s="50">
        <f>VLOOKUP($A73,'Data shares'!$C:$FB,127)*100</f>
        <v>-40.910000000000004</v>
      </c>
    </row>
    <row r="74" spans="1:17" x14ac:dyDescent="0.25">
      <c r="A74" s="97" t="str">
        <f>'Data Vlaue (Cr)'!C69</f>
        <v>GAIL</v>
      </c>
      <c r="B74" s="140">
        <f>VLOOKUP($A74,'Data shares'!$C:$FB,7)</f>
        <v>178.12</v>
      </c>
      <c r="C74" s="140">
        <f>VLOOKUP($A74,'Data shares'!$C:$FB,3)</f>
        <v>178.17</v>
      </c>
      <c r="D74" s="140">
        <f>VLOOKUP($A74,'Data shares'!$C:$FB,4)</f>
        <v>175.53</v>
      </c>
      <c r="E74" s="50">
        <f t="shared" si="3"/>
        <v>1.5040164074517099</v>
      </c>
      <c r="F74" s="49">
        <f>VLOOKUP($A74,'Data shares'!$C:$FB,98)</f>
        <v>176863050</v>
      </c>
      <c r="G74" s="49">
        <f>VLOOKUP($A74,'Data shares'!$C:$FB,99)</f>
        <v>173398050</v>
      </c>
      <c r="H74" s="50">
        <f t="shared" si="4"/>
        <v>1.9982923683397824</v>
      </c>
      <c r="I74" s="49">
        <f>VLOOKUP($A74,'Data shares'!$C:$FB,66)</f>
        <v>120821400</v>
      </c>
      <c r="J74" s="49">
        <f>VLOOKUP($A74,'Data shares'!$C:$FB,67)</f>
        <v>68726700</v>
      </c>
      <c r="K74" s="50">
        <f t="shared" si="5"/>
        <v>43.11711335905725</v>
      </c>
      <c r="L74" s="50">
        <f>VLOOKUP($A74,'Data shares'!$C:$FB,118)</f>
        <v>0.75</v>
      </c>
      <c r="M74" s="50">
        <f>VLOOKUP($A74,'Data shares'!$C:$FB,119)</f>
        <v>0.77</v>
      </c>
      <c r="N74" s="50">
        <f>VLOOKUP($A74,'Data shares'!$C:$FB,121)*100</f>
        <v>-2.6</v>
      </c>
      <c r="O74" s="50">
        <f>VLOOKUP($A74,'Data shares'!$C:$FB,124)</f>
        <v>0.38</v>
      </c>
      <c r="P74" s="50">
        <f>VLOOKUP($A74,'Data shares'!$C:$FB,125)</f>
        <v>0.42</v>
      </c>
      <c r="Q74" s="50">
        <f>VLOOKUP($A74,'Data shares'!$C:$FB,127)*100</f>
        <v>-9.5200000000000014</v>
      </c>
    </row>
    <row r="75" spans="1:17" x14ac:dyDescent="0.25">
      <c r="A75" s="97" t="str">
        <f>'Data Vlaue (Cr)'!C70</f>
        <v>GLENMARK</v>
      </c>
      <c r="B75" s="140">
        <f>VLOOKUP($A75,'Data shares'!$C:$FB,7)</f>
        <v>1924</v>
      </c>
      <c r="C75" s="140">
        <f>VLOOKUP($A75,'Data shares'!$C:$FB,3)</f>
        <v>1929.5</v>
      </c>
      <c r="D75" s="140">
        <f>VLOOKUP($A75,'Data shares'!$C:$FB,4)</f>
        <v>1949.8</v>
      </c>
      <c r="E75" s="50">
        <f t="shared" si="3"/>
        <v>-1.0411324238383401</v>
      </c>
      <c r="F75" s="49">
        <f>VLOOKUP($A75,'Data shares'!$C:$FB,98)</f>
        <v>13810125</v>
      </c>
      <c r="G75" s="49">
        <f>VLOOKUP($A75,'Data shares'!$C:$FB,99)</f>
        <v>13730625</v>
      </c>
      <c r="H75" s="50">
        <f t="shared" si="4"/>
        <v>0.57899767854704354</v>
      </c>
      <c r="I75" s="49">
        <f>VLOOKUP($A75,'Data shares'!$C:$FB,66)</f>
        <v>6885000</v>
      </c>
      <c r="J75" s="49">
        <f>VLOOKUP($A75,'Data shares'!$C:$FB,67)</f>
        <v>16516500</v>
      </c>
      <c r="K75" s="50">
        <f t="shared" si="5"/>
        <v>-139.89106753812638</v>
      </c>
      <c r="L75" s="50">
        <f>VLOOKUP($A75,'Data shares'!$C:$FB,118)</f>
        <v>0.47</v>
      </c>
      <c r="M75" s="50">
        <f>VLOOKUP($A75,'Data shares'!$C:$FB,119)</f>
        <v>0.56999999999999995</v>
      </c>
      <c r="N75" s="50">
        <f>VLOOKUP($A75,'Data shares'!$C:$FB,121)*100</f>
        <v>-17.54</v>
      </c>
      <c r="O75" s="50">
        <f>VLOOKUP($A75,'Data shares'!$C:$FB,124)</f>
        <v>0.51</v>
      </c>
      <c r="P75" s="50">
        <f>VLOOKUP($A75,'Data shares'!$C:$FB,125)</f>
        <v>0.83</v>
      </c>
      <c r="Q75" s="50">
        <f>VLOOKUP($A75,'Data shares'!$C:$FB,127)*100</f>
        <v>-38.550000000000004</v>
      </c>
    </row>
    <row r="76" spans="1:17" x14ac:dyDescent="0.25">
      <c r="A76" s="97" t="str">
        <f>'Data Vlaue (Cr)'!C71</f>
        <v>GMRAIRPORT</v>
      </c>
      <c r="B76" s="140">
        <f>VLOOKUP($A76,'Data shares'!$C:$FB,7)</f>
        <v>91.01</v>
      </c>
      <c r="C76" s="140">
        <f>VLOOKUP($A76,'Data shares'!$C:$FB,3)</f>
        <v>91.28</v>
      </c>
      <c r="D76" s="140">
        <f>VLOOKUP($A76,'Data shares'!$C:$FB,4)</f>
        <v>90.77</v>
      </c>
      <c r="E76" s="50">
        <f t="shared" si="3"/>
        <v>0.5618596452572493</v>
      </c>
      <c r="F76" s="49">
        <f>VLOOKUP($A76,'Data shares'!$C:$FB,98)</f>
        <v>293235975</v>
      </c>
      <c r="G76" s="49">
        <f>VLOOKUP($A76,'Data shares'!$C:$FB,99)</f>
        <v>292880250</v>
      </c>
      <c r="H76" s="50">
        <f t="shared" si="4"/>
        <v>0.12145748987854252</v>
      </c>
      <c r="I76" s="49">
        <f>VLOOKUP($A76,'Data shares'!$C:$FB,66)</f>
        <v>97908075</v>
      </c>
      <c r="J76" s="49">
        <f>VLOOKUP($A76,'Data shares'!$C:$FB,67)</f>
        <v>58471425</v>
      </c>
      <c r="K76" s="50">
        <f t="shared" si="5"/>
        <v>40.279261950559238</v>
      </c>
      <c r="L76" s="50">
        <f>VLOOKUP($A76,'Data shares'!$C:$FB,118)</f>
        <v>0.5</v>
      </c>
      <c r="M76" s="50">
        <f>VLOOKUP($A76,'Data shares'!$C:$FB,119)</f>
        <v>0.5</v>
      </c>
      <c r="N76" s="50">
        <f>VLOOKUP($A76,'Data shares'!$C:$FB,121)*100</f>
        <v>0</v>
      </c>
      <c r="O76" s="50">
        <f>VLOOKUP($A76,'Data shares'!$C:$FB,124)</f>
        <v>0.35</v>
      </c>
      <c r="P76" s="50">
        <f>VLOOKUP($A76,'Data shares'!$C:$FB,125)</f>
        <v>0.65</v>
      </c>
      <c r="Q76" s="50">
        <f>VLOOKUP($A76,'Data shares'!$C:$FB,127)*100</f>
        <v>-46.150000000000006</v>
      </c>
    </row>
    <row r="77" spans="1:17" x14ac:dyDescent="0.25">
      <c r="A77" s="97" t="str">
        <f>'Data Vlaue (Cr)'!C72</f>
        <v>GODREJCP</v>
      </c>
      <c r="B77" s="140">
        <f>VLOOKUP($A77,'Data shares'!$C:$FB,7)</f>
        <v>1246.9000000000001</v>
      </c>
      <c r="C77" s="140">
        <f>VLOOKUP($A77,'Data shares'!$C:$FB,3)</f>
        <v>1250.5999999999999</v>
      </c>
      <c r="D77" s="140">
        <f>VLOOKUP($A77,'Data shares'!$C:$FB,4)</f>
        <v>1223.0999999999999</v>
      </c>
      <c r="E77" s="50">
        <f t="shared" si="3"/>
        <v>2.2483852505927562</v>
      </c>
      <c r="F77" s="49">
        <f>VLOOKUP($A77,'Data shares'!$C:$FB,98)</f>
        <v>12626500</v>
      </c>
      <c r="G77" s="49">
        <f>VLOOKUP($A77,'Data shares'!$C:$FB,99)</f>
        <v>12155500</v>
      </c>
      <c r="H77" s="50">
        <f t="shared" si="4"/>
        <v>3.8747891900785656</v>
      </c>
      <c r="I77" s="49">
        <f>VLOOKUP($A77,'Data shares'!$C:$FB,66)</f>
        <v>15117500</v>
      </c>
      <c r="J77" s="49">
        <f>VLOOKUP($A77,'Data shares'!$C:$FB,67)</f>
        <v>4194000</v>
      </c>
      <c r="K77" s="50">
        <f t="shared" si="5"/>
        <v>72.257317678187533</v>
      </c>
      <c r="L77" s="50">
        <f>VLOOKUP($A77,'Data shares'!$C:$FB,118)</f>
        <v>0.65</v>
      </c>
      <c r="M77" s="50">
        <f>VLOOKUP($A77,'Data shares'!$C:$FB,119)</f>
        <v>0.61</v>
      </c>
      <c r="N77" s="50">
        <f>VLOOKUP($A77,'Data shares'!$C:$FB,121)*100</f>
        <v>6.5600000000000005</v>
      </c>
      <c r="O77" s="50">
        <f>VLOOKUP($A77,'Data shares'!$C:$FB,124)</f>
        <v>0.22</v>
      </c>
      <c r="P77" s="50">
        <f>VLOOKUP($A77,'Data shares'!$C:$FB,125)</f>
        <v>0.32</v>
      </c>
      <c r="Q77" s="50">
        <f>VLOOKUP($A77,'Data shares'!$C:$FB,127)*100</f>
        <v>-31.25</v>
      </c>
    </row>
    <row r="78" spans="1:17" x14ac:dyDescent="0.25">
      <c r="A78" s="97" t="str">
        <f>'Data Vlaue (Cr)'!C73</f>
        <v>GODREJPROP</v>
      </c>
      <c r="B78" s="140">
        <f>VLOOKUP($A78,'Data shares'!$C:$FB,7)</f>
        <v>2041.8</v>
      </c>
      <c r="C78" s="140">
        <f>VLOOKUP($A78,'Data shares'!$C:$FB,3)</f>
        <v>2041.6</v>
      </c>
      <c r="D78" s="140">
        <f>VLOOKUP($A78,'Data shares'!$C:$FB,4)</f>
        <v>2017</v>
      </c>
      <c r="E78" s="50">
        <f t="shared" si="3"/>
        <v>1.2196331184928066</v>
      </c>
      <c r="F78" s="49">
        <f>VLOOKUP($A78,'Data shares'!$C:$FB,98)</f>
        <v>13650725</v>
      </c>
      <c r="G78" s="49">
        <f>VLOOKUP($A78,'Data shares'!$C:$FB,99)</f>
        <v>13527800</v>
      </c>
      <c r="H78" s="50">
        <f t="shared" si="4"/>
        <v>0.90868433891689704</v>
      </c>
      <c r="I78" s="49">
        <f>VLOOKUP($A78,'Data shares'!$C:$FB,66)</f>
        <v>6559300</v>
      </c>
      <c r="J78" s="49">
        <f>VLOOKUP($A78,'Data shares'!$C:$FB,67)</f>
        <v>5631725</v>
      </c>
      <c r="K78" s="50">
        <f t="shared" si="5"/>
        <v>14.141371792721785</v>
      </c>
      <c r="L78" s="50">
        <f>VLOOKUP($A78,'Data shares'!$C:$FB,118)</f>
        <v>0.62</v>
      </c>
      <c r="M78" s="50">
        <f>VLOOKUP($A78,'Data shares'!$C:$FB,119)</f>
        <v>0.56999999999999995</v>
      </c>
      <c r="N78" s="50">
        <f>VLOOKUP($A78,'Data shares'!$C:$FB,121)*100</f>
        <v>8.77</v>
      </c>
      <c r="O78" s="50">
        <f>VLOOKUP($A78,'Data shares'!$C:$FB,124)</f>
        <v>0.4</v>
      </c>
      <c r="P78" s="50">
        <f>VLOOKUP($A78,'Data shares'!$C:$FB,125)</f>
        <v>0.44</v>
      </c>
      <c r="Q78" s="50">
        <f>VLOOKUP($A78,'Data shares'!$C:$FB,127)*100</f>
        <v>-9.09</v>
      </c>
    </row>
    <row r="79" spans="1:17" x14ac:dyDescent="0.25">
      <c r="A79" s="97" t="str">
        <f>'Data Vlaue (Cr)'!C74</f>
        <v>GRANULES</v>
      </c>
      <c r="B79" s="140">
        <f>VLOOKUP($A79,'Data shares'!$C:$FB,7)</f>
        <v>461.35</v>
      </c>
      <c r="C79" s="140">
        <f>VLOOKUP($A79,'Data shares'!$C:$FB,3)</f>
        <v>461.4</v>
      </c>
      <c r="D79" s="140">
        <f>VLOOKUP($A79,'Data shares'!$C:$FB,4)</f>
        <v>459.3</v>
      </c>
      <c r="E79" s="50">
        <f t="shared" si="3"/>
        <v>0.45721750489875157</v>
      </c>
      <c r="F79" s="49">
        <f>VLOOKUP($A79,'Data shares'!$C:$FB,98)</f>
        <v>16439975</v>
      </c>
      <c r="G79" s="49">
        <f>VLOOKUP($A79,'Data shares'!$C:$FB,99)</f>
        <v>16674325</v>
      </c>
      <c r="H79" s="50">
        <f t="shared" si="4"/>
        <v>-1.4054541937979499</v>
      </c>
      <c r="I79" s="49">
        <f>VLOOKUP($A79,'Data shares'!$C:$FB,66)</f>
        <v>5058950</v>
      </c>
      <c r="J79" s="49">
        <f>VLOOKUP($A79,'Data shares'!$C:$FB,67)</f>
        <v>3623825</v>
      </c>
      <c r="K79" s="50">
        <f t="shared" si="5"/>
        <v>28.368040798980026</v>
      </c>
      <c r="L79" s="50">
        <f>VLOOKUP($A79,'Data shares'!$C:$FB,118)</f>
        <v>0.53</v>
      </c>
      <c r="M79" s="50">
        <f>VLOOKUP($A79,'Data shares'!$C:$FB,119)</f>
        <v>0.51</v>
      </c>
      <c r="N79" s="50">
        <f>VLOOKUP($A79,'Data shares'!$C:$FB,121)*100</f>
        <v>3.92</v>
      </c>
      <c r="O79" s="50">
        <f>VLOOKUP($A79,'Data shares'!$C:$FB,124)</f>
        <v>0.41</v>
      </c>
      <c r="P79" s="50">
        <f>VLOOKUP($A79,'Data shares'!$C:$FB,125)</f>
        <v>0.54</v>
      </c>
      <c r="Q79" s="50">
        <f>VLOOKUP($A79,'Data shares'!$C:$FB,127)*100</f>
        <v>-24.07</v>
      </c>
    </row>
    <row r="80" spans="1:17" x14ac:dyDescent="0.25">
      <c r="A80" s="97" t="str">
        <f>'Data Vlaue (Cr)'!C75</f>
        <v>GRASIM</v>
      </c>
      <c r="B80" s="140">
        <f>VLOOKUP($A80,'Data shares'!$C:$FB,7)</f>
        <v>2864.9</v>
      </c>
      <c r="C80" s="140">
        <f>VLOOKUP($A80,'Data shares'!$C:$FB,3)</f>
        <v>2870.2</v>
      </c>
      <c r="D80" s="140">
        <f>VLOOKUP($A80,'Data shares'!$C:$FB,4)</f>
        <v>2831</v>
      </c>
      <c r="E80" s="50">
        <f t="shared" si="3"/>
        <v>1.3846697280112972</v>
      </c>
      <c r="F80" s="49">
        <f>VLOOKUP($A80,'Data shares'!$C:$FB,98)</f>
        <v>17017000</v>
      </c>
      <c r="G80" s="49">
        <f>VLOOKUP($A80,'Data shares'!$C:$FB,99)</f>
        <v>17128000</v>
      </c>
      <c r="H80" s="50">
        <f t="shared" si="4"/>
        <v>-0.64806165343297517</v>
      </c>
      <c r="I80" s="49">
        <f>VLOOKUP($A80,'Data shares'!$C:$FB,66)</f>
        <v>13162750</v>
      </c>
      <c r="J80" s="49">
        <f>VLOOKUP($A80,'Data shares'!$C:$FB,67)</f>
        <v>6237500</v>
      </c>
      <c r="K80" s="50">
        <f t="shared" si="5"/>
        <v>52.612485992668702</v>
      </c>
      <c r="L80" s="50">
        <f>VLOOKUP($A80,'Data shares'!$C:$FB,118)</f>
        <v>0.72</v>
      </c>
      <c r="M80" s="50">
        <f>VLOOKUP($A80,'Data shares'!$C:$FB,119)</f>
        <v>0.72</v>
      </c>
      <c r="N80" s="50">
        <f>VLOOKUP($A80,'Data shares'!$C:$FB,121)*100</f>
        <v>0</v>
      </c>
      <c r="O80" s="50">
        <f>VLOOKUP($A80,'Data shares'!$C:$FB,124)</f>
        <v>0.31</v>
      </c>
      <c r="P80" s="50">
        <f>VLOOKUP($A80,'Data shares'!$C:$FB,125)</f>
        <v>0.57999999999999996</v>
      </c>
      <c r="Q80" s="50">
        <f>VLOOKUP($A80,'Data shares'!$C:$FB,127)*100</f>
        <v>-46.550000000000004</v>
      </c>
    </row>
    <row r="81" spans="1:17" x14ac:dyDescent="0.25">
      <c r="A81" s="97" t="str">
        <f>'Data Vlaue (Cr)'!C76</f>
        <v>HAL</v>
      </c>
      <c r="B81" s="140">
        <f>VLOOKUP($A81,'Data shares'!$C:$FB,7)</f>
        <v>4468.3999999999996</v>
      </c>
      <c r="C81" s="140">
        <f>VLOOKUP($A81,'Data shares'!$C:$FB,3)</f>
        <v>4456</v>
      </c>
      <c r="D81" s="140">
        <f>VLOOKUP($A81,'Data shares'!$C:$FB,4)</f>
        <v>4443.8999999999996</v>
      </c>
      <c r="E81" s="50">
        <f t="shared" si="3"/>
        <v>0.27228335471096027</v>
      </c>
      <c r="F81" s="49">
        <f>VLOOKUP($A81,'Data shares'!$C:$FB,98)</f>
        <v>25445700</v>
      </c>
      <c r="G81" s="49">
        <f>VLOOKUP($A81,'Data shares'!$C:$FB,99)</f>
        <v>19730250</v>
      </c>
      <c r="H81" s="50">
        <f t="shared" si="4"/>
        <v>28.967955297069221</v>
      </c>
      <c r="I81" s="49">
        <f>VLOOKUP($A81,'Data shares'!$C:$FB,66)</f>
        <v>58891050</v>
      </c>
      <c r="J81" s="49">
        <f>VLOOKUP($A81,'Data shares'!$C:$FB,67)</f>
        <v>17786250</v>
      </c>
      <c r="K81" s="50">
        <f t="shared" si="5"/>
        <v>69.798042317126288</v>
      </c>
      <c r="L81" s="50">
        <f>VLOOKUP($A81,'Data shares'!$C:$FB,118)</f>
        <v>0.5</v>
      </c>
      <c r="M81" s="50">
        <f>VLOOKUP($A81,'Data shares'!$C:$FB,119)</f>
        <v>0.56000000000000005</v>
      </c>
      <c r="N81" s="50">
        <f>VLOOKUP($A81,'Data shares'!$C:$FB,121)*100</f>
        <v>-10.71</v>
      </c>
      <c r="O81" s="50">
        <f>VLOOKUP($A81,'Data shares'!$C:$FB,124)</f>
        <v>0.38</v>
      </c>
      <c r="P81" s="50">
        <f>VLOOKUP($A81,'Data shares'!$C:$FB,125)</f>
        <v>0.48</v>
      </c>
      <c r="Q81" s="50">
        <f>VLOOKUP($A81,'Data shares'!$C:$FB,127)*100</f>
        <v>-20.830000000000002</v>
      </c>
    </row>
    <row r="82" spans="1:17" x14ac:dyDescent="0.25">
      <c r="A82" s="97" t="str">
        <f>'Data Vlaue (Cr)'!C77</f>
        <v>HAVELLS</v>
      </c>
      <c r="B82" s="140">
        <f>VLOOKUP($A82,'Data shares'!$C:$FB,7)</f>
        <v>1567.9</v>
      </c>
      <c r="C82" s="140">
        <f>VLOOKUP($A82,'Data shares'!$C:$FB,3)</f>
        <v>1565.6</v>
      </c>
      <c r="D82" s="140">
        <f>VLOOKUP($A82,'Data shares'!$C:$FB,4)</f>
        <v>1570.2</v>
      </c>
      <c r="E82" s="50">
        <f t="shared" si="3"/>
        <v>-0.29295631129793254</v>
      </c>
      <c r="F82" s="49">
        <f>VLOOKUP($A82,'Data shares'!$C:$FB,98)</f>
        <v>14008500</v>
      </c>
      <c r="G82" s="49">
        <f>VLOOKUP($A82,'Data shares'!$C:$FB,99)</f>
        <v>13935500</v>
      </c>
      <c r="H82" s="50">
        <f t="shared" si="4"/>
        <v>0.52384198629399736</v>
      </c>
      <c r="I82" s="49">
        <f>VLOOKUP($A82,'Data shares'!$C:$FB,66)</f>
        <v>5471500</v>
      </c>
      <c r="J82" s="49">
        <f>VLOOKUP($A82,'Data shares'!$C:$FB,67)</f>
        <v>8201000</v>
      </c>
      <c r="K82" s="50">
        <f t="shared" si="5"/>
        <v>-49.885771726217676</v>
      </c>
      <c r="L82" s="50">
        <f>VLOOKUP($A82,'Data shares'!$C:$FB,118)</f>
        <v>0.87</v>
      </c>
      <c r="M82" s="50">
        <f>VLOOKUP($A82,'Data shares'!$C:$FB,119)</f>
        <v>0.88</v>
      </c>
      <c r="N82" s="50">
        <f>VLOOKUP($A82,'Data shares'!$C:$FB,121)*100</f>
        <v>-1.1400000000000001</v>
      </c>
      <c r="O82" s="50">
        <f>VLOOKUP($A82,'Data shares'!$C:$FB,124)</f>
        <v>0.84</v>
      </c>
      <c r="P82" s="50">
        <f>VLOOKUP($A82,'Data shares'!$C:$FB,125)</f>
        <v>0.89</v>
      </c>
      <c r="Q82" s="50">
        <f>VLOOKUP($A82,'Data shares'!$C:$FB,127)*100</f>
        <v>-5.62</v>
      </c>
    </row>
    <row r="83" spans="1:17" x14ac:dyDescent="0.25">
      <c r="A83" s="97" t="str">
        <f>'Data Vlaue (Cr)'!C78</f>
        <v>HCLTECH</v>
      </c>
      <c r="B83" s="140">
        <f>VLOOKUP($A83,'Data shares'!$C:$FB,7)</f>
        <v>1496</v>
      </c>
      <c r="C83" s="140">
        <f>VLOOKUP($A83,'Data shares'!$C:$FB,3)</f>
        <v>1499.2</v>
      </c>
      <c r="D83" s="140">
        <f>VLOOKUP($A83,'Data shares'!$C:$FB,4)</f>
        <v>1481.4</v>
      </c>
      <c r="E83" s="50">
        <f t="shared" si="3"/>
        <v>1.2015660861347344</v>
      </c>
      <c r="F83" s="49">
        <f>VLOOKUP($A83,'Data shares'!$C:$FB,98)</f>
        <v>34628650</v>
      </c>
      <c r="G83" s="49">
        <f>VLOOKUP($A83,'Data shares'!$C:$FB,99)</f>
        <v>31236450</v>
      </c>
      <c r="H83" s="50">
        <f t="shared" si="4"/>
        <v>10.859748787074075</v>
      </c>
      <c r="I83" s="49">
        <f>VLOOKUP($A83,'Data shares'!$C:$FB,66)</f>
        <v>51157050</v>
      </c>
      <c r="J83" s="49">
        <f>VLOOKUP($A83,'Data shares'!$C:$FB,67)</f>
        <v>16363200</v>
      </c>
      <c r="K83" s="50">
        <f t="shared" si="5"/>
        <v>68.013792820344406</v>
      </c>
      <c r="L83" s="50">
        <f>VLOOKUP($A83,'Data shares'!$C:$FB,118)</f>
        <v>0.64</v>
      </c>
      <c r="M83" s="50">
        <f>VLOOKUP($A83,'Data shares'!$C:$FB,119)</f>
        <v>0.64</v>
      </c>
      <c r="N83" s="50">
        <f>VLOOKUP($A83,'Data shares'!$C:$FB,121)*100</f>
        <v>0</v>
      </c>
      <c r="O83" s="50">
        <f>VLOOKUP($A83,'Data shares'!$C:$FB,124)</f>
        <v>0.35</v>
      </c>
      <c r="P83" s="50">
        <f>VLOOKUP($A83,'Data shares'!$C:$FB,125)</f>
        <v>0.48</v>
      </c>
      <c r="Q83" s="50">
        <f>VLOOKUP($A83,'Data shares'!$C:$FB,127)*100</f>
        <v>-27.08</v>
      </c>
    </row>
    <row r="84" spans="1:17" x14ac:dyDescent="0.25">
      <c r="A84" s="97" t="str">
        <f>'Data Vlaue (Cr)'!C79</f>
        <v>HDFCAMC</v>
      </c>
      <c r="B84" s="140">
        <f>VLOOKUP($A84,'Data shares'!$C:$FB,7)</f>
        <v>5709.5</v>
      </c>
      <c r="C84" s="140">
        <f>VLOOKUP($A84,'Data shares'!$C:$FB,3)</f>
        <v>5707</v>
      </c>
      <c r="D84" s="140">
        <f>VLOOKUP($A84,'Data shares'!$C:$FB,4)</f>
        <v>5724.5</v>
      </c>
      <c r="E84" s="50">
        <f t="shared" si="3"/>
        <v>-0.30570355489562406</v>
      </c>
      <c r="F84" s="49">
        <f>VLOOKUP($A84,'Data shares'!$C:$FB,98)</f>
        <v>4230000</v>
      </c>
      <c r="G84" s="49">
        <f>VLOOKUP($A84,'Data shares'!$C:$FB,99)</f>
        <v>4241250</v>
      </c>
      <c r="H84" s="50">
        <f t="shared" si="4"/>
        <v>-0.2652519893899204</v>
      </c>
      <c r="I84" s="49">
        <f>VLOOKUP($A84,'Data shares'!$C:$FB,66)</f>
        <v>2217150</v>
      </c>
      <c r="J84" s="49">
        <f>VLOOKUP($A84,'Data shares'!$C:$FB,67)</f>
        <v>3589350</v>
      </c>
      <c r="K84" s="50">
        <f t="shared" si="5"/>
        <v>-61.89026452878695</v>
      </c>
      <c r="L84" s="50">
        <f>VLOOKUP($A84,'Data shares'!$C:$FB,118)</f>
        <v>0.65</v>
      </c>
      <c r="M84" s="50">
        <f>VLOOKUP($A84,'Data shares'!$C:$FB,119)</f>
        <v>0.68</v>
      </c>
      <c r="N84" s="50">
        <f>VLOOKUP($A84,'Data shares'!$C:$FB,121)*100</f>
        <v>-4.41</v>
      </c>
      <c r="O84" s="50">
        <f>VLOOKUP($A84,'Data shares'!$C:$FB,124)</f>
        <v>0.46</v>
      </c>
      <c r="P84" s="50">
        <f>VLOOKUP($A84,'Data shares'!$C:$FB,125)</f>
        <v>0.59</v>
      </c>
      <c r="Q84" s="50">
        <f>VLOOKUP($A84,'Data shares'!$C:$FB,127)*100</f>
        <v>-22.03</v>
      </c>
    </row>
    <row r="85" spans="1:17" x14ac:dyDescent="0.25">
      <c r="A85" s="97" t="str">
        <f>'Data Vlaue (Cr)'!C80</f>
        <v>HDFCBANK</v>
      </c>
      <c r="B85" s="140">
        <f>VLOOKUP($A85,'Data shares'!$C:$FB,7)</f>
        <v>1988.2</v>
      </c>
      <c r="C85" s="140">
        <f>VLOOKUP($A85,'Data shares'!$C:$FB,3)</f>
        <v>1990.8</v>
      </c>
      <c r="D85" s="140">
        <f>VLOOKUP($A85,'Data shares'!$C:$FB,4)</f>
        <v>1994.9</v>
      </c>
      <c r="E85" s="50">
        <f t="shared" si="3"/>
        <v>-0.20552408642037878</v>
      </c>
      <c r="F85" s="49">
        <f>VLOOKUP($A85,'Data shares'!$C:$FB,98)</f>
        <v>148885550</v>
      </c>
      <c r="G85" s="49">
        <f>VLOOKUP($A85,'Data shares'!$C:$FB,99)</f>
        <v>146953950</v>
      </c>
      <c r="H85" s="50">
        <f t="shared" si="4"/>
        <v>1.3144253693078682</v>
      </c>
      <c r="I85" s="49">
        <f>VLOOKUP($A85,'Data shares'!$C:$FB,66)</f>
        <v>61818900</v>
      </c>
      <c r="J85" s="49">
        <f>VLOOKUP($A85,'Data shares'!$C:$FB,67)</f>
        <v>61675900</v>
      </c>
      <c r="K85" s="50">
        <f t="shared" si="5"/>
        <v>0.2313208420078649</v>
      </c>
      <c r="L85" s="50">
        <f>VLOOKUP($A85,'Data shares'!$C:$FB,118)</f>
        <v>0.68</v>
      </c>
      <c r="M85" s="50">
        <f>VLOOKUP($A85,'Data shares'!$C:$FB,119)</f>
        <v>0.72</v>
      </c>
      <c r="N85" s="50">
        <f>VLOOKUP($A85,'Data shares'!$C:$FB,121)*100</f>
        <v>-5.56</v>
      </c>
      <c r="O85" s="50">
        <f>VLOOKUP($A85,'Data shares'!$C:$FB,124)</f>
        <v>0.62</v>
      </c>
      <c r="P85" s="50">
        <f>VLOOKUP($A85,'Data shares'!$C:$FB,125)</f>
        <v>0.6</v>
      </c>
      <c r="Q85" s="50">
        <f>VLOOKUP($A85,'Data shares'!$C:$FB,127)*100</f>
        <v>3.3300000000000005</v>
      </c>
    </row>
    <row r="86" spans="1:17" x14ac:dyDescent="0.25">
      <c r="A86" s="97" t="str">
        <f>'Data Vlaue (Cr)'!C81</f>
        <v>HDFCLIFE</v>
      </c>
      <c r="B86" s="140">
        <f>VLOOKUP($A86,'Data shares'!$C:$FB,7)</f>
        <v>796.55</v>
      </c>
      <c r="C86" s="140">
        <f>VLOOKUP($A86,'Data shares'!$C:$FB,3)</f>
        <v>796.6</v>
      </c>
      <c r="D86" s="140">
        <f>VLOOKUP($A86,'Data shares'!$C:$FB,4)</f>
        <v>796.1</v>
      </c>
      <c r="E86" s="50">
        <f t="shared" si="3"/>
        <v>6.2806180128124611E-2</v>
      </c>
      <c r="F86" s="49">
        <f>VLOOKUP($A86,'Data shares'!$C:$FB,98)</f>
        <v>48935700</v>
      </c>
      <c r="G86" s="49">
        <f>VLOOKUP($A86,'Data shares'!$C:$FB,99)</f>
        <v>48580400</v>
      </c>
      <c r="H86" s="50">
        <f t="shared" si="4"/>
        <v>0.73136491259849645</v>
      </c>
      <c r="I86" s="49">
        <f>VLOOKUP($A86,'Data shares'!$C:$FB,66)</f>
        <v>18153300</v>
      </c>
      <c r="J86" s="49">
        <f>VLOOKUP($A86,'Data shares'!$C:$FB,67)</f>
        <v>23854600</v>
      </c>
      <c r="K86" s="50">
        <f t="shared" si="5"/>
        <v>-31.406410955583837</v>
      </c>
      <c r="L86" s="50">
        <f>VLOOKUP($A86,'Data shares'!$C:$FB,118)</f>
        <v>0.92</v>
      </c>
      <c r="M86" s="50">
        <f>VLOOKUP($A86,'Data shares'!$C:$FB,119)</f>
        <v>0.95</v>
      </c>
      <c r="N86" s="50">
        <f>VLOOKUP($A86,'Data shares'!$C:$FB,121)*100</f>
        <v>-3.16</v>
      </c>
      <c r="O86" s="50">
        <f>VLOOKUP($A86,'Data shares'!$C:$FB,124)</f>
        <v>0.47</v>
      </c>
      <c r="P86" s="50">
        <f>VLOOKUP($A86,'Data shares'!$C:$FB,125)</f>
        <v>0.53</v>
      </c>
      <c r="Q86" s="50">
        <f>VLOOKUP($A86,'Data shares'!$C:$FB,127)*100</f>
        <v>-11.32</v>
      </c>
    </row>
    <row r="87" spans="1:17" x14ac:dyDescent="0.25">
      <c r="A87" s="97" t="str">
        <f>'Data Vlaue (Cr)'!C82</f>
        <v>HEROMOTOCO</v>
      </c>
      <c r="B87" s="140">
        <f>VLOOKUP($A87,'Data shares'!$C:$FB,7)</f>
        <v>5136</v>
      </c>
      <c r="C87" s="140">
        <f>VLOOKUP($A87,'Data shares'!$C:$FB,3)</f>
        <v>5127.3999999999996</v>
      </c>
      <c r="D87" s="140">
        <f>VLOOKUP($A87,'Data shares'!$C:$FB,4)</f>
        <v>5125.8</v>
      </c>
      <c r="E87" s="50">
        <f t="shared" si="3"/>
        <v>3.1214639665992708E-2</v>
      </c>
      <c r="F87" s="49">
        <f>VLOOKUP($A87,'Data shares'!$C:$FB,98)</f>
        <v>16314750</v>
      </c>
      <c r="G87" s="49">
        <f>VLOOKUP($A87,'Data shares'!$C:$FB,99)</f>
        <v>15725100</v>
      </c>
      <c r="H87" s="50">
        <f t="shared" si="4"/>
        <v>3.7497376805234941</v>
      </c>
      <c r="I87" s="49">
        <f>VLOOKUP($A87,'Data shares'!$C:$FB,66)</f>
        <v>19848450</v>
      </c>
      <c r="J87" s="49">
        <f>VLOOKUP($A87,'Data shares'!$C:$FB,67)</f>
        <v>38976300</v>
      </c>
      <c r="K87" s="50">
        <f t="shared" si="5"/>
        <v>-96.369489809027911</v>
      </c>
      <c r="L87" s="50">
        <f>VLOOKUP($A87,'Data shares'!$C:$FB,118)</f>
        <v>0.94</v>
      </c>
      <c r="M87" s="50">
        <f>VLOOKUP($A87,'Data shares'!$C:$FB,119)</f>
        <v>1</v>
      </c>
      <c r="N87" s="50">
        <f>VLOOKUP($A87,'Data shares'!$C:$FB,121)*100</f>
        <v>-6</v>
      </c>
      <c r="O87" s="50">
        <f>VLOOKUP($A87,'Data shares'!$C:$FB,124)</f>
        <v>0.59</v>
      </c>
      <c r="P87" s="50">
        <f>VLOOKUP($A87,'Data shares'!$C:$FB,125)</f>
        <v>0.47</v>
      </c>
      <c r="Q87" s="50">
        <f>VLOOKUP($A87,'Data shares'!$C:$FB,127)*100</f>
        <v>25.53</v>
      </c>
    </row>
    <row r="88" spans="1:17" x14ac:dyDescent="0.25">
      <c r="A88" s="97" t="str">
        <f>'Data Vlaue (Cr)'!C83</f>
        <v>HFCL</v>
      </c>
      <c r="B88" s="140">
        <f>VLOOKUP($A88,'Data shares'!$C:$FB,7)</f>
        <v>75.27</v>
      </c>
      <c r="C88" s="140">
        <f>VLOOKUP($A88,'Data shares'!$C:$FB,3)</f>
        <v>75.36</v>
      </c>
      <c r="D88" s="140">
        <f>VLOOKUP($A88,'Data shares'!$C:$FB,4)</f>
        <v>74.760000000000005</v>
      </c>
      <c r="E88" s="50">
        <f t="shared" si="3"/>
        <v>0.80256821829854763</v>
      </c>
      <c r="F88" s="140">
        <f>VLOOKUP($A88,'Data shares'!$C:$FB,98)</f>
        <v>144731550</v>
      </c>
      <c r="G88" s="140">
        <f>VLOOKUP($A88,'Data shares'!$C:$FB,99)</f>
        <v>144699300</v>
      </c>
      <c r="H88" s="50">
        <f t="shared" si="4"/>
        <v>2.2287599179816348E-2</v>
      </c>
      <c r="I88" s="49">
        <f>VLOOKUP($A88,'Data shares'!$C:$FB,66)</f>
        <v>26141850</v>
      </c>
      <c r="J88" s="49">
        <f>VLOOKUP($A88,'Data shares'!$C:$FB,67)</f>
        <v>37197150</v>
      </c>
      <c r="K88" s="50">
        <f t="shared" si="5"/>
        <v>-42.289661978781155</v>
      </c>
      <c r="L88" s="50">
        <f>VLOOKUP($A88,'Data shares'!$C:$FB,118)</f>
        <v>0.56999999999999995</v>
      </c>
      <c r="M88" s="50">
        <f>VLOOKUP($A88,'Data shares'!$C:$FB,119)</f>
        <v>0.54</v>
      </c>
      <c r="N88" s="50">
        <f>VLOOKUP($A88,'Data shares'!$C:$FB,121)*100</f>
        <v>5.56</v>
      </c>
      <c r="O88" s="50">
        <f>VLOOKUP($A88,'Data shares'!$C:$FB,124)</f>
        <v>0.36</v>
      </c>
      <c r="P88" s="50">
        <f>VLOOKUP($A88,'Data shares'!$C:$FB,125)</f>
        <v>0.33</v>
      </c>
      <c r="Q88" s="50">
        <f>VLOOKUP($A88,'Data shares'!$C:$FB,127)*100</f>
        <v>9.09</v>
      </c>
    </row>
    <row r="89" spans="1:17" x14ac:dyDescent="0.25">
      <c r="A89" s="97" t="str">
        <f>'Data Vlaue (Cr)'!C84</f>
        <v>HINDALCO</v>
      </c>
      <c r="B89" s="140">
        <f>VLOOKUP($A89,'Data shares'!$C:$FB,7)</f>
        <v>700.85</v>
      </c>
      <c r="C89" s="140">
        <f>VLOOKUP($A89,'Data shares'!$C:$FB,3)</f>
        <v>702.15</v>
      </c>
      <c r="D89" s="140">
        <f>VLOOKUP($A89,'Data shares'!$C:$FB,4)</f>
        <v>709.1</v>
      </c>
      <c r="E89" s="50">
        <f t="shared" si="3"/>
        <v>-0.98011563954308911</v>
      </c>
      <c r="F89" s="49">
        <f>VLOOKUP($A89,'Data shares'!$C:$FB,98)</f>
        <v>84155400</v>
      </c>
      <c r="G89" s="49">
        <f>VLOOKUP($A89,'Data shares'!$C:$FB,99)</f>
        <v>83514200</v>
      </c>
      <c r="H89" s="50">
        <f t="shared" si="4"/>
        <v>0.76777362412619654</v>
      </c>
      <c r="I89" s="49">
        <f>VLOOKUP($A89,'Data shares'!$C:$FB,66)</f>
        <v>58392600</v>
      </c>
      <c r="J89" s="49">
        <f>VLOOKUP($A89,'Data shares'!$C:$FB,67)</f>
        <v>66918600</v>
      </c>
      <c r="K89" s="50">
        <f t="shared" si="5"/>
        <v>-14.601165216140402</v>
      </c>
      <c r="L89" s="50">
        <f>VLOOKUP($A89,'Data shares'!$C:$FB,118)</f>
        <v>0.68</v>
      </c>
      <c r="M89" s="50">
        <f>VLOOKUP($A89,'Data shares'!$C:$FB,119)</f>
        <v>0.74</v>
      </c>
      <c r="N89" s="50">
        <f>VLOOKUP($A89,'Data shares'!$C:$FB,121)*100</f>
        <v>-8.1100000000000012</v>
      </c>
      <c r="O89" s="50">
        <f>VLOOKUP($A89,'Data shares'!$C:$FB,124)</f>
        <v>0.73</v>
      </c>
      <c r="P89" s="50">
        <f>VLOOKUP($A89,'Data shares'!$C:$FB,125)</f>
        <v>0.8</v>
      </c>
      <c r="Q89" s="50">
        <f>VLOOKUP($A89,'Data shares'!$C:$FB,127)*100</f>
        <v>-8.75</v>
      </c>
    </row>
    <row r="90" spans="1:17" x14ac:dyDescent="0.25">
      <c r="A90" s="97" t="str">
        <f>'Data Vlaue (Cr)'!C85</f>
        <v>HINDPETRO</v>
      </c>
      <c r="B90" s="140">
        <f>VLOOKUP($A90,'Data shares'!$C:$FB,7)</f>
        <v>390.8</v>
      </c>
      <c r="C90" s="140">
        <f>VLOOKUP($A90,'Data shares'!$C:$FB,3)</f>
        <v>391.75</v>
      </c>
      <c r="D90" s="140">
        <f>VLOOKUP($A90,'Data shares'!$C:$FB,4)</f>
        <v>396.35</v>
      </c>
      <c r="E90" s="50">
        <f t="shared" si="3"/>
        <v>-1.1605903872839718</v>
      </c>
      <c r="F90" s="49">
        <f>VLOOKUP($A90,'Data shares'!$C:$FB,98)</f>
        <v>83697300</v>
      </c>
      <c r="G90" s="49">
        <f>VLOOKUP($A90,'Data shares'!$C:$FB,99)</f>
        <v>85590675</v>
      </c>
      <c r="H90" s="50">
        <f t="shared" si="4"/>
        <v>-2.2121276646083232</v>
      </c>
      <c r="I90" s="49">
        <f>VLOOKUP($A90,'Data shares'!$C:$FB,66)</f>
        <v>38499300</v>
      </c>
      <c r="J90" s="49">
        <f>VLOOKUP($A90,'Data shares'!$C:$FB,67)</f>
        <v>52571025</v>
      </c>
      <c r="K90" s="50">
        <f t="shared" si="5"/>
        <v>-36.550599621291816</v>
      </c>
      <c r="L90" s="50">
        <f>VLOOKUP($A90,'Data shares'!$C:$FB,118)</f>
        <v>0.56000000000000005</v>
      </c>
      <c r="M90" s="50">
        <f>VLOOKUP($A90,'Data shares'!$C:$FB,119)</f>
        <v>0.54</v>
      </c>
      <c r="N90" s="50">
        <f>VLOOKUP($A90,'Data shares'!$C:$FB,121)*100</f>
        <v>3.6999999999999997</v>
      </c>
      <c r="O90" s="50">
        <f>VLOOKUP($A90,'Data shares'!$C:$FB,124)</f>
        <v>0.43</v>
      </c>
      <c r="P90" s="50">
        <f>VLOOKUP($A90,'Data shares'!$C:$FB,125)</f>
        <v>0.46</v>
      </c>
      <c r="Q90" s="50">
        <f>VLOOKUP($A90,'Data shares'!$C:$FB,127)*100</f>
        <v>-6.52</v>
      </c>
    </row>
    <row r="91" spans="1:17" x14ac:dyDescent="0.25">
      <c r="A91" s="97" t="str">
        <f>'Data Vlaue (Cr)'!C86</f>
        <v>HINDUNILVR</v>
      </c>
      <c r="B91" s="140">
        <f>VLOOKUP($A91,'Data shares'!$C:$FB,7)</f>
        <v>2669.8</v>
      </c>
      <c r="C91" s="140">
        <f>VLOOKUP($A91,'Data shares'!$C:$FB,3)</f>
        <v>2670.8</v>
      </c>
      <c r="D91" s="140">
        <f>VLOOKUP($A91,'Data shares'!$C:$FB,4)</f>
        <v>2606.4</v>
      </c>
      <c r="E91" s="50">
        <f t="shared" si="3"/>
        <v>2.4708410067526123</v>
      </c>
      <c r="F91" s="49">
        <f>VLOOKUP($A91,'Data shares'!$C:$FB,98)</f>
        <v>29702100</v>
      </c>
      <c r="G91" s="49">
        <f>VLOOKUP($A91,'Data shares'!$C:$FB,99)</f>
        <v>27974700</v>
      </c>
      <c r="H91" s="50">
        <f t="shared" si="4"/>
        <v>6.1748651460069279</v>
      </c>
      <c r="I91" s="49">
        <f>VLOOKUP($A91,'Data shares'!$C:$FB,66)</f>
        <v>67849500</v>
      </c>
      <c r="J91" s="49">
        <f>VLOOKUP($A91,'Data shares'!$C:$FB,67)</f>
        <v>24207600</v>
      </c>
      <c r="K91" s="50">
        <f t="shared" si="5"/>
        <v>64.321623593394207</v>
      </c>
      <c r="L91" s="50">
        <f>VLOOKUP($A91,'Data shares'!$C:$FB,118)</f>
        <v>0.69</v>
      </c>
      <c r="M91" s="50">
        <f>VLOOKUP($A91,'Data shares'!$C:$FB,119)</f>
        <v>0.52</v>
      </c>
      <c r="N91" s="50">
        <f>VLOOKUP($A91,'Data shares'!$C:$FB,121)*100</f>
        <v>32.690000000000005</v>
      </c>
      <c r="O91" s="50">
        <f>VLOOKUP($A91,'Data shares'!$C:$FB,124)</f>
        <v>0.4</v>
      </c>
      <c r="P91" s="50">
        <f>VLOOKUP($A91,'Data shares'!$C:$FB,125)</f>
        <v>0.46</v>
      </c>
      <c r="Q91" s="50">
        <f>VLOOKUP($A91,'Data shares'!$C:$FB,127)*100</f>
        <v>-13.04</v>
      </c>
    </row>
    <row r="92" spans="1:17" x14ac:dyDescent="0.25">
      <c r="A92" s="97" t="str">
        <f>'Data Vlaue (Cr)'!C87</f>
        <v>HINDZINC</v>
      </c>
      <c r="B92" s="140">
        <f>VLOOKUP($A92,'Data shares'!$C:$FB,7)</f>
        <v>430</v>
      </c>
      <c r="C92" s="140">
        <f>VLOOKUP($A92,'Data shares'!$C:$FB,3)</f>
        <v>430.4</v>
      </c>
      <c r="D92" s="140">
        <f>VLOOKUP($A92,'Data shares'!$C:$FB,4)</f>
        <v>429.75</v>
      </c>
      <c r="E92" s="50">
        <f t="shared" si="3"/>
        <v>0.15125072716695223</v>
      </c>
      <c r="F92" s="49">
        <f>VLOOKUP($A92,'Data shares'!$C:$FB,98)</f>
        <v>45987725</v>
      </c>
      <c r="G92" s="49">
        <f>VLOOKUP($A92,'Data shares'!$C:$FB,99)</f>
        <v>45274775</v>
      </c>
      <c r="H92" s="50">
        <f t="shared" si="4"/>
        <v>1.5747179306799426</v>
      </c>
      <c r="I92" s="49">
        <f>VLOOKUP($A92,'Data shares'!$C:$FB,66)</f>
        <v>16699200</v>
      </c>
      <c r="J92" s="49">
        <f>VLOOKUP($A92,'Data shares'!$C:$FB,67)</f>
        <v>20003025</v>
      </c>
      <c r="K92" s="50">
        <f t="shared" si="5"/>
        <v>-19.784330985915492</v>
      </c>
      <c r="L92" s="50">
        <f>VLOOKUP($A92,'Data shares'!$C:$FB,118)</f>
        <v>0.61</v>
      </c>
      <c r="M92" s="50">
        <f>VLOOKUP($A92,'Data shares'!$C:$FB,119)</f>
        <v>0.57999999999999996</v>
      </c>
      <c r="N92" s="50">
        <f>VLOOKUP($A92,'Data shares'!$C:$FB,121)*100</f>
        <v>5.17</v>
      </c>
      <c r="O92" s="50">
        <f>VLOOKUP($A92,'Data shares'!$C:$FB,124)</f>
        <v>0.57999999999999996</v>
      </c>
      <c r="P92" s="50">
        <f>VLOOKUP($A92,'Data shares'!$C:$FB,125)</f>
        <v>0.34</v>
      </c>
      <c r="Q92" s="50">
        <f>VLOOKUP($A92,'Data shares'!$C:$FB,127)*100</f>
        <v>70.59</v>
      </c>
    </row>
    <row r="93" spans="1:17" x14ac:dyDescent="0.25">
      <c r="A93" s="97" t="str">
        <f>'Data Vlaue (Cr)'!C88</f>
        <v>HUDCO</v>
      </c>
      <c r="B93" s="140">
        <f>VLOOKUP($A93,'Data shares'!$C:$FB,7)</f>
        <v>214.39</v>
      </c>
      <c r="C93" s="140">
        <f>VLOOKUP($A93,'Data shares'!$C:$FB,3)</f>
        <v>214.29</v>
      </c>
      <c r="D93" s="140">
        <f>VLOOKUP($A93,'Data shares'!$C:$FB,4)</f>
        <v>214.64</v>
      </c>
      <c r="E93" s="50">
        <f t="shared" si="3"/>
        <v>-0.16306373462541668</v>
      </c>
      <c r="F93" s="49">
        <f>VLOOKUP($A93,'Data shares'!$C:$FB,98)</f>
        <v>58641300</v>
      </c>
      <c r="G93" s="49">
        <f>VLOOKUP($A93,'Data shares'!$C:$FB,99)</f>
        <v>57131700</v>
      </c>
      <c r="H93" s="50">
        <f t="shared" si="4"/>
        <v>2.6423159121818536</v>
      </c>
      <c r="I93" s="49">
        <f>VLOOKUP($A93,'Data shares'!$C:$FB,66)</f>
        <v>26676075</v>
      </c>
      <c r="J93" s="49">
        <f>VLOOKUP($A93,'Data shares'!$C:$FB,67)</f>
        <v>34745775</v>
      </c>
      <c r="K93" s="50">
        <f t="shared" si="5"/>
        <v>-30.250702174139189</v>
      </c>
      <c r="L93" s="50">
        <f>VLOOKUP($A93,'Data shares'!$C:$FB,118)</f>
        <v>0.6</v>
      </c>
      <c r="M93" s="50">
        <f>VLOOKUP($A93,'Data shares'!$C:$FB,119)</f>
        <v>0.64</v>
      </c>
      <c r="N93" s="50">
        <f>VLOOKUP($A93,'Data shares'!$C:$FB,121)*100</f>
        <v>-6.25</v>
      </c>
      <c r="O93" s="50">
        <f>VLOOKUP($A93,'Data shares'!$C:$FB,124)</f>
        <v>0.41</v>
      </c>
      <c r="P93" s="50">
        <f>VLOOKUP($A93,'Data shares'!$C:$FB,125)</f>
        <v>0.48</v>
      </c>
      <c r="Q93" s="50">
        <f>VLOOKUP($A93,'Data shares'!$C:$FB,127)*100</f>
        <v>-14.580000000000002</v>
      </c>
    </row>
    <row r="94" spans="1:17" x14ac:dyDescent="0.25">
      <c r="A94" s="97" t="str">
        <f>'Data Vlaue (Cr)'!C89</f>
        <v>ICICIBANK</v>
      </c>
      <c r="B94" s="140">
        <f>VLOOKUP($A94,'Data shares'!$C:$FB,7)</f>
        <v>1430.6</v>
      </c>
      <c r="C94" s="140">
        <f>VLOOKUP($A94,'Data shares'!$C:$FB,3)</f>
        <v>1431.1</v>
      </c>
      <c r="D94" s="140">
        <f>VLOOKUP($A94,'Data shares'!$C:$FB,4)</f>
        <v>1437.3</v>
      </c>
      <c r="E94" s="50">
        <f t="shared" si="3"/>
        <v>-0.4313643637375667</v>
      </c>
      <c r="F94" s="49">
        <f>VLOOKUP($A94,'Data shares'!$C:$FB,98)</f>
        <v>144616500</v>
      </c>
      <c r="G94" s="49">
        <f>VLOOKUP($A94,'Data shares'!$C:$FB,99)</f>
        <v>142655800</v>
      </c>
      <c r="H94" s="50">
        <f t="shared" si="4"/>
        <v>1.3744271175795166</v>
      </c>
      <c r="I94" s="49">
        <f>VLOOKUP($A94,'Data shares'!$C:$FB,66)</f>
        <v>49830200</v>
      </c>
      <c r="J94" s="49">
        <f>VLOOKUP($A94,'Data shares'!$C:$FB,67)</f>
        <v>43621200</v>
      </c>
      <c r="K94" s="50">
        <f t="shared" si="5"/>
        <v>12.460315230522856</v>
      </c>
      <c r="L94" s="50">
        <f>VLOOKUP($A94,'Data shares'!$C:$FB,118)</f>
        <v>0.57999999999999996</v>
      </c>
      <c r="M94" s="50">
        <f>VLOOKUP($A94,'Data shares'!$C:$FB,119)</f>
        <v>0.61</v>
      </c>
      <c r="N94" s="50">
        <f>VLOOKUP($A94,'Data shares'!$C:$FB,121)*100</f>
        <v>-4.92</v>
      </c>
      <c r="O94" s="50">
        <f>VLOOKUP($A94,'Data shares'!$C:$FB,124)</f>
        <v>0.54</v>
      </c>
      <c r="P94" s="50">
        <f>VLOOKUP($A94,'Data shares'!$C:$FB,125)</f>
        <v>0.51</v>
      </c>
      <c r="Q94" s="50">
        <f>VLOOKUP($A94,'Data shares'!$C:$FB,127)*100</f>
        <v>5.88</v>
      </c>
    </row>
    <row r="95" spans="1:17" x14ac:dyDescent="0.25">
      <c r="A95" s="97" t="str">
        <f>'Data Vlaue (Cr)'!C90</f>
        <v>ICICIGI</v>
      </c>
      <c r="B95" s="140">
        <f>VLOOKUP($A95,'Data shares'!$C:$FB,7)</f>
        <v>1968.5</v>
      </c>
      <c r="C95" s="140">
        <f>VLOOKUP($A95,'Data shares'!$C:$FB,3)</f>
        <v>1975.2</v>
      </c>
      <c r="D95" s="140">
        <f>VLOOKUP($A95,'Data shares'!$C:$FB,4)</f>
        <v>1953.2</v>
      </c>
      <c r="E95" s="50">
        <f t="shared" si="3"/>
        <v>1.1263567479008805</v>
      </c>
      <c r="F95" s="49">
        <f>VLOOKUP($A95,'Data shares'!$C:$FB,98)</f>
        <v>6343675</v>
      </c>
      <c r="G95" s="49">
        <f>VLOOKUP($A95,'Data shares'!$C:$FB,99)</f>
        <v>6192550</v>
      </c>
      <c r="H95" s="50">
        <f t="shared" si="4"/>
        <v>2.440432455127532</v>
      </c>
      <c r="I95" s="49">
        <f>VLOOKUP($A95,'Data shares'!$C:$FB,66)</f>
        <v>1744275</v>
      </c>
      <c r="J95" s="49">
        <f>VLOOKUP($A95,'Data shares'!$C:$FB,67)</f>
        <v>1663025</v>
      </c>
      <c r="K95" s="50">
        <f t="shared" si="5"/>
        <v>4.65809577044904</v>
      </c>
      <c r="L95" s="50">
        <f>VLOOKUP($A95,'Data shares'!$C:$FB,118)</f>
        <v>0.78</v>
      </c>
      <c r="M95" s="50">
        <f>VLOOKUP($A95,'Data shares'!$C:$FB,119)</f>
        <v>0.88</v>
      </c>
      <c r="N95" s="50">
        <f>VLOOKUP($A95,'Data shares'!$C:$FB,121)*100</f>
        <v>-11.360000000000001</v>
      </c>
      <c r="O95" s="50">
        <f>VLOOKUP($A95,'Data shares'!$C:$FB,124)</f>
        <v>0.31</v>
      </c>
      <c r="P95" s="50">
        <f>VLOOKUP($A95,'Data shares'!$C:$FB,125)</f>
        <v>0.62</v>
      </c>
      <c r="Q95" s="50">
        <f>VLOOKUP($A95,'Data shares'!$C:$FB,127)*100</f>
        <v>-50</v>
      </c>
    </row>
    <row r="96" spans="1:17" x14ac:dyDescent="0.25">
      <c r="A96" s="97" t="str">
        <f>'Data Vlaue (Cr)'!C91</f>
        <v>ICICIPRULI</v>
      </c>
      <c r="B96" s="140">
        <f>VLOOKUP($A96,'Data shares'!$C:$FB,7)</f>
        <v>632.04999999999995</v>
      </c>
      <c r="C96" s="140">
        <f>VLOOKUP($A96,'Data shares'!$C:$FB,3)</f>
        <v>634.04999999999995</v>
      </c>
      <c r="D96" s="140">
        <f>VLOOKUP($A96,'Data shares'!$C:$FB,4)</f>
        <v>634.1</v>
      </c>
      <c r="E96" s="50">
        <f t="shared" si="3"/>
        <v>-7.8851916101668838E-3</v>
      </c>
      <c r="F96" s="49">
        <f>VLOOKUP($A96,'Data shares'!$C:$FB,98)</f>
        <v>17801625</v>
      </c>
      <c r="G96" s="49">
        <f>VLOOKUP($A96,'Data shares'!$C:$FB,99)</f>
        <v>17561125</v>
      </c>
      <c r="H96" s="50">
        <f t="shared" si="4"/>
        <v>1.3695022386094284</v>
      </c>
      <c r="I96" s="49">
        <f>VLOOKUP($A96,'Data shares'!$C:$FB,66)</f>
        <v>3308725</v>
      </c>
      <c r="J96" s="49">
        <f>VLOOKUP($A96,'Data shares'!$C:$FB,67)</f>
        <v>5228100</v>
      </c>
      <c r="K96" s="50">
        <f t="shared" si="5"/>
        <v>-58.009505171931785</v>
      </c>
      <c r="L96" s="50">
        <f>VLOOKUP($A96,'Data shares'!$C:$FB,118)</f>
        <v>0.72</v>
      </c>
      <c r="M96" s="50">
        <f>VLOOKUP($A96,'Data shares'!$C:$FB,119)</f>
        <v>0.68</v>
      </c>
      <c r="N96" s="50">
        <f>VLOOKUP($A96,'Data shares'!$C:$FB,121)*100</f>
        <v>5.88</v>
      </c>
      <c r="O96" s="50">
        <f>VLOOKUP($A96,'Data shares'!$C:$FB,124)</f>
        <v>0.28999999999999998</v>
      </c>
      <c r="P96" s="50">
        <f>VLOOKUP($A96,'Data shares'!$C:$FB,125)</f>
        <v>0.34</v>
      </c>
      <c r="Q96" s="50">
        <f>VLOOKUP($A96,'Data shares'!$C:$FB,127)*100</f>
        <v>-14.71</v>
      </c>
    </row>
    <row r="97" spans="1:17" x14ac:dyDescent="0.25">
      <c r="A97" s="97" t="str">
        <f>'Data Vlaue (Cr)'!C92</f>
        <v>IDEA</v>
      </c>
      <c r="B97" s="140">
        <f>VLOOKUP($A97,'Data shares'!$C:$FB,7)</f>
        <v>6.79</v>
      </c>
      <c r="C97" s="140">
        <f>VLOOKUP($A97,'Data shares'!$C:$FB,3)</f>
        <v>6.79</v>
      </c>
      <c r="D97" s="140">
        <f>VLOOKUP($A97,'Data shares'!$C:$FB,4)</f>
        <v>6.6</v>
      </c>
      <c r="E97" s="50">
        <f t="shared" si="3"/>
        <v>2.8787878787878847</v>
      </c>
      <c r="F97" s="49">
        <f>VLOOKUP($A97,'Data shares'!$C:$FB,98)</f>
        <v>7642464375</v>
      </c>
      <c r="G97" s="49">
        <f>VLOOKUP($A97,'Data shares'!$C:$FB,99)</f>
        <v>7589358450</v>
      </c>
      <c r="H97" s="50">
        <f t="shared" si="4"/>
        <v>0.69974195249665672</v>
      </c>
      <c r="I97" s="49">
        <f>VLOOKUP($A97,'Data shares'!$C:$FB,66)</f>
        <v>2353385850</v>
      </c>
      <c r="J97" s="49">
        <f>VLOOKUP($A97,'Data shares'!$C:$FB,67)</f>
        <v>2183489775</v>
      </c>
      <c r="K97" s="50">
        <f t="shared" si="5"/>
        <v>7.2192188544007774</v>
      </c>
      <c r="L97" s="50">
        <f>VLOOKUP($A97,'Data shares'!$C:$FB,118)</f>
        <v>0.5</v>
      </c>
      <c r="M97" s="50">
        <f>VLOOKUP($A97,'Data shares'!$C:$FB,119)</f>
        <v>0.5</v>
      </c>
      <c r="N97" s="50">
        <f>VLOOKUP($A97,'Data shares'!$C:$FB,121)*100</f>
        <v>0</v>
      </c>
      <c r="O97" s="50">
        <f>VLOOKUP($A97,'Data shares'!$C:$FB,124)</f>
        <v>0.28000000000000003</v>
      </c>
      <c r="P97" s="50">
        <f>VLOOKUP($A97,'Data shares'!$C:$FB,125)</f>
        <v>0.26</v>
      </c>
      <c r="Q97" s="50">
        <f>VLOOKUP($A97,'Data shares'!$C:$FB,127)*100</f>
        <v>7.6899999999999995</v>
      </c>
    </row>
    <row r="98" spans="1:17" x14ac:dyDescent="0.25">
      <c r="A98" s="97" t="str">
        <f>'Data Vlaue (Cr)'!C93</f>
        <v>IDFCFIRSTB</v>
      </c>
      <c r="B98" s="140">
        <f>VLOOKUP($A98,'Data shares'!$C:$FB,7)</f>
        <v>71.25</v>
      </c>
      <c r="C98" s="140">
        <f>VLOOKUP($A98,'Data shares'!$C:$FB,3)</f>
        <v>71.27</v>
      </c>
      <c r="D98" s="140">
        <f>VLOOKUP($A98,'Data shares'!$C:$FB,4)</f>
        <v>71.489999999999995</v>
      </c>
      <c r="E98" s="50">
        <f t="shared" si="3"/>
        <v>-0.30773534760106153</v>
      </c>
      <c r="F98" s="49">
        <f>VLOOKUP($A98,'Data shares'!$C:$FB,98)</f>
        <v>587728925</v>
      </c>
      <c r="G98" s="49">
        <f>VLOOKUP($A98,'Data shares'!$C:$FB,99)</f>
        <v>581932050</v>
      </c>
      <c r="H98" s="50">
        <f t="shared" si="4"/>
        <v>0.99614293455739378</v>
      </c>
      <c r="I98" s="49">
        <f>VLOOKUP($A98,'Data shares'!$C:$FB,66)</f>
        <v>126993300</v>
      </c>
      <c r="J98" s="49">
        <f>VLOOKUP($A98,'Data shares'!$C:$FB,67)</f>
        <v>255628275</v>
      </c>
      <c r="K98" s="50">
        <f t="shared" si="5"/>
        <v>-101.29272567922875</v>
      </c>
      <c r="L98" s="50">
        <f>VLOOKUP($A98,'Data shares'!$C:$FB,118)</f>
        <v>0.78</v>
      </c>
      <c r="M98" s="50">
        <f>VLOOKUP($A98,'Data shares'!$C:$FB,119)</f>
        <v>0.82</v>
      </c>
      <c r="N98" s="50">
        <f>VLOOKUP($A98,'Data shares'!$C:$FB,121)*100</f>
        <v>-4.88</v>
      </c>
      <c r="O98" s="50">
        <f>VLOOKUP($A98,'Data shares'!$C:$FB,124)</f>
        <v>0.66</v>
      </c>
      <c r="P98" s="50">
        <f>VLOOKUP($A98,'Data shares'!$C:$FB,125)</f>
        <v>0.7</v>
      </c>
      <c r="Q98" s="50">
        <f>VLOOKUP($A98,'Data shares'!$C:$FB,127)*100</f>
        <v>-5.71</v>
      </c>
    </row>
    <row r="99" spans="1:17" x14ac:dyDescent="0.25">
      <c r="A99" s="97" t="str">
        <f>'Data Vlaue (Cr)'!C94</f>
        <v>IEX</v>
      </c>
      <c r="B99" s="140">
        <f>VLOOKUP($A99,'Data shares'!$C:$FB,7)</f>
        <v>143.15</v>
      </c>
      <c r="C99" s="140">
        <f>VLOOKUP($A99,'Data shares'!$C:$FB,3)</f>
        <v>143.63999999999999</v>
      </c>
      <c r="D99" s="140">
        <f>VLOOKUP($A99,'Data shares'!$C:$FB,4)</f>
        <v>142.19999999999999</v>
      </c>
      <c r="E99" s="50">
        <f t="shared" si="3"/>
        <v>1.0126582278480998</v>
      </c>
      <c r="F99" s="49">
        <f>VLOOKUP($A99,'Data shares'!$C:$FB,98)</f>
        <v>122640000</v>
      </c>
      <c r="G99" s="49">
        <f>VLOOKUP($A99,'Data shares'!$C:$FB,99)</f>
        <v>123611250</v>
      </c>
      <c r="H99" s="50">
        <f t="shared" si="4"/>
        <v>-0.78572945423656826</v>
      </c>
      <c r="I99" s="49">
        <f>VLOOKUP($A99,'Data shares'!$C:$FB,66)</f>
        <v>62433750</v>
      </c>
      <c r="J99" s="49">
        <f>VLOOKUP($A99,'Data shares'!$C:$FB,67)</f>
        <v>47373750</v>
      </c>
      <c r="K99" s="50">
        <f t="shared" si="5"/>
        <v>24.121568862994774</v>
      </c>
      <c r="L99" s="50">
        <f>VLOOKUP($A99,'Data shares'!$C:$FB,118)</f>
        <v>0.75</v>
      </c>
      <c r="M99" s="50">
        <f>VLOOKUP($A99,'Data shares'!$C:$FB,119)</f>
        <v>0.72</v>
      </c>
      <c r="N99" s="50">
        <f>VLOOKUP($A99,'Data shares'!$C:$FB,121)*100</f>
        <v>4.17</v>
      </c>
      <c r="O99" s="50">
        <f>VLOOKUP($A99,'Data shares'!$C:$FB,124)</f>
        <v>0.65</v>
      </c>
      <c r="P99" s="50">
        <f>VLOOKUP($A99,'Data shares'!$C:$FB,125)</f>
        <v>0.71</v>
      </c>
      <c r="Q99" s="50">
        <f>VLOOKUP($A99,'Data shares'!$C:$FB,127)*100</f>
        <v>-8.4500000000000011</v>
      </c>
    </row>
    <row r="100" spans="1:17" x14ac:dyDescent="0.25">
      <c r="A100" s="97" t="str">
        <f>'Data Vlaue (Cr)'!C95</f>
        <v>IGL</v>
      </c>
      <c r="B100" s="140">
        <f>VLOOKUP($A100,'Data shares'!$C:$FB,7)</f>
        <v>205.23</v>
      </c>
      <c r="C100" s="140">
        <f>VLOOKUP($A100,'Data shares'!$C:$FB,3)</f>
        <v>205.82</v>
      </c>
      <c r="D100" s="140">
        <f>VLOOKUP($A100,'Data shares'!$C:$FB,4)</f>
        <v>204.81</v>
      </c>
      <c r="E100" s="50">
        <f t="shared" si="3"/>
        <v>0.49313998339924364</v>
      </c>
      <c r="F100" s="49">
        <f>VLOOKUP($A100,'Data shares'!$C:$FB,98)</f>
        <v>33365750</v>
      </c>
      <c r="G100" s="49">
        <f>VLOOKUP($A100,'Data shares'!$C:$FB,99)</f>
        <v>31968750</v>
      </c>
      <c r="H100" s="50">
        <f t="shared" si="4"/>
        <v>4.3698924731182798</v>
      </c>
      <c r="I100" s="49">
        <f>VLOOKUP($A100,'Data shares'!$C:$FB,66)</f>
        <v>19849500</v>
      </c>
      <c r="J100" s="49">
        <f>VLOOKUP($A100,'Data shares'!$C:$FB,67)</f>
        <v>9539750</v>
      </c>
      <c r="K100" s="50">
        <f t="shared" si="5"/>
        <v>51.939595455804934</v>
      </c>
      <c r="L100" s="50">
        <f>VLOOKUP($A100,'Data shares'!$C:$FB,118)</f>
        <v>0.65</v>
      </c>
      <c r="M100" s="50">
        <f>VLOOKUP($A100,'Data shares'!$C:$FB,119)</f>
        <v>0.67</v>
      </c>
      <c r="N100" s="50">
        <f>VLOOKUP($A100,'Data shares'!$C:$FB,121)*100</f>
        <v>-2.9899999999999998</v>
      </c>
      <c r="O100" s="50">
        <f>VLOOKUP($A100,'Data shares'!$C:$FB,124)</f>
        <v>0.27</v>
      </c>
      <c r="P100" s="50">
        <f>VLOOKUP($A100,'Data shares'!$C:$FB,125)</f>
        <v>0.32</v>
      </c>
      <c r="Q100" s="50">
        <f>VLOOKUP($A100,'Data shares'!$C:$FB,127)*100</f>
        <v>-15.620000000000001</v>
      </c>
    </row>
    <row r="101" spans="1:17" x14ac:dyDescent="0.25">
      <c r="A101" s="97" t="str">
        <f>'Data Vlaue (Cr)'!C96</f>
        <v>IIFL</v>
      </c>
      <c r="B101" s="140">
        <f>VLOOKUP($A101,'Data shares'!$C:$FB,7)</f>
        <v>471.5</v>
      </c>
      <c r="C101" s="140">
        <f>VLOOKUP($A101,'Data shares'!$C:$FB,3)</f>
        <v>471.55</v>
      </c>
      <c r="D101" s="140">
        <f>VLOOKUP($A101,'Data shares'!$C:$FB,4)</f>
        <v>472.25</v>
      </c>
      <c r="E101" s="50">
        <f t="shared" si="3"/>
        <v>-0.148226574907356</v>
      </c>
      <c r="F101" s="49">
        <f>VLOOKUP($A101,'Data shares'!$C:$FB,98)</f>
        <v>21781650</v>
      </c>
      <c r="G101" s="49">
        <f>VLOOKUP($A101,'Data shares'!$C:$FB,99)</f>
        <v>22324500</v>
      </c>
      <c r="H101" s="50">
        <f t="shared" si="4"/>
        <v>-2.4316334072431633</v>
      </c>
      <c r="I101" s="49">
        <f>VLOOKUP($A101,'Data shares'!$C:$FB,66)</f>
        <v>11142450</v>
      </c>
      <c r="J101" s="49">
        <f>VLOOKUP($A101,'Data shares'!$C:$FB,67)</f>
        <v>31816950</v>
      </c>
      <c r="K101" s="50">
        <f t="shared" si="5"/>
        <v>-185.54716422330816</v>
      </c>
      <c r="L101" s="50">
        <f>VLOOKUP($A101,'Data shares'!$C:$FB,118)</f>
        <v>0.57999999999999996</v>
      </c>
      <c r="M101" s="50">
        <f>VLOOKUP($A101,'Data shares'!$C:$FB,119)</f>
        <v>0.56999999999999995</v>
      </c>
      <c r="N101" s="50">
        <f>VLOOKUP($A101,'Data shares'!$C:$FB,121)*100</f>
        <v>1.7500000000000002</v>
      </c>
      <c r="O101" s="50">
        <f>VLOOKUP($A101,'Data shares'!$C:$FB,124)</f>
        <v>0.49</v>
      </c>
      <c r="P101" s="50">
        <f>VLOOKUP($A101,'Data shares'!$C:$FB,125)</f>
        <v>0.3</v>
      </c>
      <c r="Q101" s="50">
        <f>VLOOKUP($A101,'Data shares'!$C:$FB,127)*100</f>
        <v>63.33</v>
      </c>
    </row>
    <row r="102" spans="1:17" x14ac:dyDescent="0.25">
      <c r="A102" s="97" t="str">
        <f>'Data Vlaue (Cr)'!C97</f>
        <v>INDHOTEL</v>
      </c>
      <c r="B102" s="140">
        <f>VLOOKUP($A102,'Data shares'!$C:$FB,7)</f>
        <v>806.8</v>
      </c>
      <c r="C102" s="140">
        <f>VLOOKUP($A102,'Data shares'!$C:$FB,3)</f>
        <v>807.4</v>
      </c>
      <c r="D102" s="140">
        <f>VLOOKUP($A102,'Data shares'!$C:$FB,4)</f>
        <v>777.6</v>
      </c>
      <c r="E102" s="50">
        <f t="shared" si="3"/>
        <v>3.8323045267489655</v>
      </c>
      <c r="F102" s="49">
        <f>VLOOKUP($A102,'Data shares'!$C:$FB,98)</f>
        <v>41891000</v>
      </c>
      <c r="G102" s="49">
        <f>VLOOKUP($A102,'Data shares'!$C:$FB,99)</f>
        <v>37147000</v>
      </c>
      <c r="H102" s="50">
        <f t="shared" si="4"/>
        <v>12.770883247637762</v>
      </c>
      <c r="I102" s="49">
        <f>VLOOKUP($A102,'Data shares'!$C:$FB,66)</f>
        <v>132184000</v>
      </c>
      <c r="J102" s="49">
        <f>VLOOKUP($A102,'Data shares'!$C:$FB,67)</f>
        <v>13509000</v>
      </c>
      <c r="K102" s="50">
        <f t="shared" si="5"/>
        <v>89.780154935544388</v>
      </c>
      <c r="L102" s="50">
        <f>VLOOKUP($A102,'Data shares'!$C:$FB,118)</f>
        <v>0.82</v>
      </c>
      <c r="M102" s="50">
        <f>VLOOKUP($A102,'Data shares'!$C:$FB,119)</f>
        <v>0.77</v>
      </c>
      <c r="N102" s="50">
        <f>VLOOKUP($A102,'Data shares'!$C:$FB,121)*100</f>
        <v>6.49</v>
      </c>
      <c r="O102" s="50">
        <f>VLOOKUP($A102,'Data shares'!$C:$FB,124)</f>
        <v>0.28999999999999998</v>
      </c>
      <c r="P102" s="50">
        <f>VLOOKUP($A102,'Data shares'!$C:$FB,125)</f>
        <v>0.44</v>
      </c>
      <c r="Q102" s="50">
        <f>VLOOKUP($A102,'Data shares'!$C:$FB,127)*100</f>
        <v>-34.089999999999996</v>
      </c>
    </row>
    <row r="103" spans="1:17" x14ac:dyDescent="0.25">
      <c r="A103" s="97" t="str">
        <f>'Data Vlaue (Cr)'!C98</f>
        <v>INDIANB</v>
      </c>
      <c r="B103" s="140">
        <f>VLOOKUP($A103,'Data shares'!$C:$FB,7)</f>
        <v>670.05</v>
      </c>
      <c r="C103" s="140">
        <f>VLOOKUP($A103,'Data shares'!$C:$FB,3)</f>
        <v>671.5</v>
      </c>
      <c r="D103" s="140">
        <f>VLOOKUP($A103,'Data shares'!$C:$FB,4)</f>
        <v>673</v>
      </c>
      <c r="E103" s="50">
        <f t="shared" si="3"/>
        <v>-0.22288261515601782</v>
      </c>
      <c r="F103" s="49">
        <f>VLOOKUP($A103,'Data shares'!$C:$FB,98)</f>
        <v>11986000</v>
      </c>
      <c r="G103" s="49">
        <f>VLOOKUP($A103,'Data shares'!$C:$FB,99)</f>
        <v>12021000</v>
      </c>
      <c r="H103" s="50">
        <f t="shared" si="4"/>
        <v>-0.29115714166874634</v>
      </c>
      <c r="I103" s="49">
        <f>VLOOKUP($A103,'Data shares'!$C:$FB,66)</f>
        <v>3763000</v>
      </c>
      <c r="J103" s="49">
        <f>VLOOKUP($A103,'Data shares'!$C:$FB,67)</f>
        <v>7174000</v>
      </c>
      <c r="K103" s="50">
        <f t="shared" si="5"/>
        <v>-90.645761360616532</v>
      </c>
      <c r="L103" s="50">
        <f>VLOOKUP($A103,'Data shares'!$C:$FB,118)</f>
        <v>0.7</v>
      </c>
      <c r="M103" s="50">
        <f>VLOOKUP($A103,'Data shares'!$C:$FB,119)</f>
        <v>0.73</v>
      </c>
      <c r="N103" s="50">
        <f>VLOOKUP($A103,'Data shares'!$C:$FB,121)*100</f>
        <v>-4.1099999999999994</v>
      </c>
      <c r="O103" s="50">
        <f>VLOOKUP($A103,'Data shares'!$C:$FB,124)</f>
        <v>0.34</v>
      </c>
      <c r="P103" s="50">
        <f>VLOOKUP($A103,'Data shares'!$C:$FB,125)</f>
        <v>0.32</v>
      </c>
      <c r="Q103" s="50">
        <f>VLOOKUP($A103,'Data shares'!$C:$FB,127)*100</f>
        <v>6.25</v>
      </c>
    </row>
    <row r="104" spans="1:17" x14ac:dyDescent="0.25">
      <c r="A104" s="97" t="str">
        <f>'Data Vlaue (Cr)'!C99</f>
        <v>INDIAVIX</v>
      </c>
      <c r="B104" s="140">
        <f>VLOOKUP($A104,'Data shares'!$C:$FB,7)</f>
        <v>11.79</v>
      </c>
      <c r="C104" s="140">
        <f>VLOOKUP($A104,'Data shares'!$C:$FB,3)</f>
        <v>11.79</v>
      </c>
      <c r="D104" s="140">
        <f>VLOOKUP($A104,'Data shares'!$C:$FB,4)</f>
        <v>11.79</v>
      </c>
      <c r="E104" s="50">
        <f t="shared" si="3"/>
        <v>0</v>
      </c>
      <c r="F104" s="49">
        <f>VLOOKUP($A104,'Data shares'!$C:$FB,98)</f>
        <v>0</v>
      </c>
      <c r="G104" s="49">
        <f>VLOOKUP($A104,'Data shares'!$C:$FB,99)</f>
        <v>0</v>
      </c>
      <c r="H104" s="50" t="e">
        <f t="shared" si="4"/>
        <v>#DIV/0!</v>
      </c>
      <c r="I104" s="49">
        <f>VLOOKUP($A104,'Data shares'!$C:$FB,66)</f>
        <v>0</v>
      </c>
      <c r="J104" s="49">
        <f>VLOOKUP($A104,'Data shares'!$C:$FB,67)</f>
        <v>0</v>
      </c>
      <c r="K104" s="50" t="e">
        <f t="shared" si="5"/>
        <v>#DIV/0!</v>
      </c>
      <c r="L104" s="50">
        <f>VLOOKUP($A104,'Data shares'!$C:$FB,118)</f>
        <v>0</v>
      </c>
      <c r="M104" s="50">
        <f>VLOOKUP($A104,'Data shares'!$C:$FB,119)</f>
        <v>0</v>
      </c>
      <c r="N104" s="50">
        <f>VLOOKUP($A104,'Data shares'!$C:$FB,121)*100</f>
        <v>0</v>
      </c>
      <c r="O104" s="50">
        <f>VLOOKUP($A104,'Data shares'!$C:$FB,124)</f>
        <v>0</v>
      </c>
      <c r="P104" s="50">
        <f>VLOOKUP($A104,'Data shares'!$C:$FB,125)</f>
        <v>0</v>
      </c>
      <c r="Q104" s="50">
        <f>VLOOKUP($A104,'Data shares'!$C:$FB,127)*100</f>
        <v>0</v>
      </c>
    </row>
    <row r="105" spans="1:17" x14ac:dyDescent="0.25">
      <c r="A105" s="97" t="str">
        <f>'Data Vlaue (Cr)'!C100</f>
        <v>INDIGO</v>
      </c>
      <c r="B105" s="140">
        <f>VLOOKUP($A105,'Data shares'!$C:$FB,7)</f>
        <v>6155.5</v>
      </c>
      <c r="C105" s="140">
        <f>VLOOKUP($A105,'Data shares'!$C:$FB,3)</f>
        <v>6145</v>
      </c>
      <c r="D105" s="140">
        <f>VLOOKUP($A105,'Data shares'!$C:$FB,4)</f>
        <v>6065.5</v>
      </c>
      <c r="E105" s="50">
        <f t="shared" si="3"/>
        <v>1.3106916165196605</v>
      </c>
      <c r="F105" s="49">
        <f>VLOOKUP($A105,'Data shares'!$C:$FB,98)</f>
        <v>10728750</v>
      </c>
      <c r="G105" s="49">
        <f>VLOOKUP($A105,'Data shares'!$C:$FB,99)</f>
        <v>10044300</v>
      </c>
      <c r="H105" s="50">
        <f t="shared" si="4"/>
        <v>6.8143125952032495</v>
      </c>
      <c r="I105" s="49">
        <f>VLOOKUP($A105,'Data shares'!$C:$FB,66)</f>
        <v>6603000</v>
      </c>
      <c r="J105" s="49">
        <f>VLOOKUP($A105,'Data shares'!$C:$FB,67)</f>
        <v>4368000</v>
      </c>
      <c r="K105" s="50">
        <f t="shared" si="5"/>
        <v>33.848250795093136</v>
      </c>
      <c r="L105" s="50">
        <f>VLOOKUP($A105,'Data shares'!$C:$FB,118)</f>
        <v>1.02</v>
      </c>
      <c r="M105" s="50">
        <f>VLOOKUP($A105,'Data shares'!$C:$FB,119)</f>
        <v>0.96</v>
      </c>
      <c r="N105" s="50">
        <f>VLOOKUP($A105,'Data shares'!$C:$FB,121)*100</f>
        <v>6.25</v>
      </c>
      <c r="O105" s="50">
        <f>VLOOKUP($A105,'Data shares'!$C:$FB,124)</f>
        <v>0.44</v>
      </c>
      <c r="P105" s="50">
        <f>VLOOKUP($A105,'Data shares'!$C:$FB,125)</f>
        <v>0.79</v>
      </c>
      <c r="Q105" s="50">
        <f>VLOOKUP($A105,'Data shares'!$C:$FB,127)*100</f>
        <v>-44.3</v>
      </c>
    </row>
    <row r="106" spans="1:17" x14ac:dyDescent="0.25">
      <c r="A106" s="97" t="str">
        <f>'Data Vlaue (Cr)'!C101</f>
        <v>INDUSINDBK</v>
      </c>
      <c r="B106" s="140">
        <f>VLOOKUP($A106,'Data shares'!$C:$FB,7)</f>
        <v>778.2</v>
      </c>
      <c r="C106" s="140">
        <f>VLOOKUP($A106,'Data shares'!$C:$FB,3)</f>
        <v>780.1</v>
      </c>
      <c r="D106" s="140">
        <f>VLOOKUP($A106,'Data shares'!$C:$FB,4)</f>
        <v>786.35</v>
      </c>
      <c r="E106" s="50">
        <f t="shared" si="3"/>
        <v>-0.79481147071914537</v>
      </c>
      <c r="F106" s="49">
        <f>VLOOKUP($A106,'Data shares'!$C:$FB,98)</f>
        <v>81572400</v>
      </c>
      <c r="G106" s="49">
        <f>VLOOKUP($A106,'Data shares'!$C:$FB,99)</f>
        <v>80230500</v>
      </c>
      <c r="H106" s="50">
        <f t="shared" si="4"/>
        <v>1.6725559481743226</v>
      </c>
      <c r="I106" s="49">
        <f>VLOOKUP($A106,'Data shares'!$C:$FB,66)</f>
        <v>24546200</v>
      </c>
      <c r="J106" s="49">
        <f>VLOOKUP($A106,'Data shares'!$C:$FB,67)</f>
        <v>22452500</v>
      </c>
      <c r="K106" s="50">
        <f t="shared" si="5"/>
        <v>8.5296298408715003</v>
      </c>
      <c r="L106" s="50">
        <f>VLOOKUP($A106,'Data shares'!$C:$FB,118)</f>
        <v>0.57999999999999996</v>
      </c>
      <c r="M106" s="50">
        <f>VLOOKUP($A106,'Data shares'!$C:$FB,119)</f>
        <v>0.62</v>
      </c>
      <c r="N106" s="50">
        <f>VLOOKUP($A106,'Data shares'!$C:$FB,121)*100</f>
        <v>-6.45</v>
      </c>
      <c r="O106" s="50">
        <f>VLOOKUP($A106,'Data shares'!$C:$FB,124)</f>
        <v>0.49</v>
      </c>
      <c r="P106" s="50">
        <f>VLOOKUP($A106,'Data shares'!$C:$FB,125)</f>
        <v>0.56000000000000005</v>
      </c>
      <c r="Q106" s="50">
        <f>VLOOKUP($A106,'Data shares'!$C:$FB,127)*100</f>
        <v>-12.5</v>
      </c>
    </row>
    <row r="107" spans="1:17" x14ac:dyDescent="0.25">
      <c r="A107" s="97" t="str">
        <f>'Data Vlaue (Cr)'!C102</f>
        <v>INDUSTOWER</v>
      </c>
      <c r="B107" s="140">
        <f>VLOOKUP($A107,'Data shares'!$C:$FB,7)</f>
        <v>349.1</v>
      </c>
      <c r="C107" s="140">
        <f>VLOOKUP($A107,'Data shares'!$C:$FB,3)</f>
        <v>349.4</v>
      </c>
      <c r="D107" s="140">
        <f>VLOOKUP($A107,'Data shares'!$C:$FB,4)</f>
        <v>341.25</v>
      </c>
      <c r="E107" s="50">
        <f t="shared" si="3"/>
        <v>2.3882783882783816</v>
      </c>
      <c r="F107" s="49">
        <f>VLOOKUP($A107,'Data shares'!$C:$FB,98)</f>
        <v>117668900</v>
      </c>
      <c r="G107" s="49">
        <f>VLOOKUP($A107,'Data shares'!$C:$FB,99)</f>
        <v>115499700</v>
      </c>
      <c r="H107" s="50">
        <f t="shared" si="4"/>
        <v>1.8781001162773581</v>
      </c>
      <c r="I107" s="49">
        <f>VLOOKUP($A107,'Data shares'!$C:$FB,66)</f>
        <v>153119000</v>
      </c>
      <c r="J107" s="49">
        <f>VLOOKUP($A107,'Data shares'!$C:$FB,67)</f>
        <v>65752600</v>
      </c>
      <c r="K107" s="50">
        <f t="shared" si="5"/>
        <v>57.057843899189521</v>
      </c>
      <c r="L107" s="50">
        <f>VLOOKUP($A107,'Data shares'!$C:$FB,118)</f>
        <v>0.68</v>
      </c>
      <c r="M107" s="50">
        <f>VLOOKUP($A107,'Data shares'!$C:$FB,119)</f>
        <v>0.54</v>
      </c>
      <c r="N107" s="50">
        <f>VLOOKUP($A107,'Data shares'!$C:$FB,121)*100</f>
        <v>25.929999999999996</v>
      </c>
      <c r="O107" s="50">
        <f>VLOOKUP($A107,'Data shares'!$C:$FB,124)</f>
        <v>0.39</v>
      </c>
      <c r="P107" s="50">
        <f>VLOOKUP($A107,'Data shares'!$C:$FB,125)</f>
        <v>0.27</v>
      </c>
      <c r="Q107" s="50">
        <f>VLOOKUP($A107,'Data shares'!$C:$FB,127)*100</f>
        <v>44.440000000000005</v>
      </c>
    </row>
    <row r="108" spans="1:17" x14ac:dyDescent="0.25">
      <c r="A108" s="97" t="str">
        <f>'Data Vlaue (Cr)'!C103</f>
        <v>INFY</v>
      </c>
      <c r="B108" s="140">
        <f>VLOOKUP($A108,'Data shares'!$C:$FB,7)</f>
        <v>1496.2</v>
      </c>
      <c r="C108" s="140">
        <f>VLOOKUP($A108,'Data shares'!$C:$FB,3)</f>
        <v>1498.5</v>
      </c>
      <c r="D108" s="140">
        <f>VLOOKUP($A108,'Data shares'!$C:$FB,4)</f>
        <v>1445.5</v>
      </c>
      <c r="E108" s="50">
        <f t="shared" si="3"/>
        <v>3.6665513663092355</v>
      </c>
      <c r="F108" s="49">
        <f>VLOOKUP($A108,'Data shares'!$C:$FB,98)</f>
        <v>126023200</v>
      </c>
      <c r="G108" s="49">
        <f>VLOOKUP($A108,'Data shares'!$C:$FB,99)</f>
        <v>130279200</v>
      </c>
      <c r="H108" s="50">
        <f t="shared" si="4"/>
        <v>-3.2668300081670751</v>
      </c>
      <c r="I108" s="49">
        <f>VLOOKUP($A108,'Data shares'!$C:$FB,66)</f>
        <v>181916800</v>
      </c>
      <c r="J108" s="49">
        <f>VLOOKUP($A108,'Data shares'!$C:$FB,67)</f>
        <v>38982800</v>
      </c>
      <c r="K108" s="50">
        <f t="shared" si="5"/>
        <v>78.57108304455663</v>
      </c>
      <c r="L108" s="50">
        <f>VLOOKUP($A108,'Data shares'!$C:$FB,118)</f>
        <v>0.68</v>
      </c>
      <c r="M108" s="50">
        <f>VLOOKUP($A108,'Data shares'!$C:$FB,119)</f>
        <v>0.55000000000000004</v>
      </c>
      <c r="N108" s="50">
        <f>VLOOKUP($A108,'Data shares'!$C:$FB,121)*100</f>
        <v>23.64</v>
      </c>
      <c r="O108" s="50">
        <f>VLOOKUP($A108,'Data shares'!$C:$FB,124)</f>
        <v>0.44</v>
      </c>
      <c r="P108" s="50">
        <f>VLOOKUP($A108,'Data shares'!$C:$FB,125)</f>
        <v>0.48</v>
      </c>
      <c r="Q108" s="50">
        <f>VLOOKUP($A108,'Data shares'!$C:$FB,127)*100</f>
        <v>-8.33</v>
      </c>
    </row>
    <row r="109" spans="1:17" x14ac:dyDescent="0.25">
      <c r="A109" s="97" t="str">
        <f>'Data Vlaue (Cr)'!C104</f>
        <v>INOXWIND</v>
      </c>
      <c r="B109" s="140">
        <f>VLOOKUP($A109,'Data shares'!$C:$FB,7)</f>
        <v>144.19</v>
      </c>
      <c r="C109" s="140">
        <f>VLOOKUP($A109,'Data shares'!$C:$FB,3)</f>
        <v>144.13</v>
      </c>
      <c r="D109" s="140">
        <f>VLOOKUP($A109,'Data shares'!$C:$FB,4)</f>
        <v>144.52000000000001</v>
      </c>
      <c r="E109" s="50">
        <f t="shared" si="3"/>
        <v>-0.26985884306671376</v>
      </c>
      <c r="F109" s="49">
        <f>VLOOKUP($A109,'Data shares'!$C:$FB,98)</f>
        <v>84136208</v>
      </c>
      <c r="G109" s="49">
        <f>VLOOKUP($A109,'Data shares'!$C:$FB,99)</f>
        <v>85163616</v>
      </c>
      <c r="H109" s="50">
        <f t="shared" si="4"/>
        <v>-1.2063931151068079</v>
      </c>
      <c r="I109" s="49">
        <f>VLOOKUP($A109,'Data shares'!$C:$FB,66)</f>
        <v>38707760</v>
      </c>
      <c r="J109" s="49">
        <f>VLOOKUP($A109,'Data shares'!$C:$FB,67)</f>
        <v>196323272</v>
      </c>
      <c r="K109" s="50">
        <f t="shared" si="5"/>
        <v>-407.19357565511416</v>
      </c>
      <c r="L109" s="50">
        <f>VLOOKUP($A109,'Data shares'!$C:$FB,118)</f>
        <v>0.52</v>
      </c>
      <c r="M109" s="50">
        <f>VLOOKUP($A109,'Data shares'!$C:$FB,119)</f>
        <v>0.51</v>
      </c>
      <c r="N109" s="50">
        <f>VLOOKUP($A109,'Data shares'!$C:$FB,121)*100</f>
        <v>1.96</v>
      </c>
      <c r="O109" s="50">
        <f>VLOOKUP($A109,'Data shares'!$C:$FB,124)</f>
        <v>0.34</v>
      </c>
      <c r="P109" s="50">
        <f>VLOOKUP($A109,'Data shares'!$C:$FB,125)</f>
        <v>0.27</v>
      </c>
      <c r="Q109" s="50">
        <f>VLOOKUP($A109,'Data shares'!$C:$FB,127)*100</f>
        <v>25.929999999999996</v>
      </c>
    </row>
    <row r="110" spans="1:17" x14ac:dyDescent="0.25">
      <c r="A110" s="97" t="str">
        <f>'Data Vlaue (Cr)'!C105</f>
        <v>IOC</v>
      </c>
      <c r="B110" s="140">
        <f>VLOOKUP($A110,'Data shares'!$C:$FB,7)</f>
        <v>141.44</v>
      </c>
      <c r="C110" s="140">
        <f>VLOOKUP($A110,'Data shares'!$C:$FB,3)</f>
        <v>141.71</v>
      </c>
      <c r="D110" s="140">
        <f>VLOOKUP($A110,'Data shares'!$C:$FB,4)</f>
        <v>142.47999999999999</v>
      </c>
      <c r="E110" s="50">
        <f t="shared" si="3"/>
        <v>-0.54042672655810065</v>
      </c>
      <c r="F110" s="49">
        <f>VLOOKUP($A110,'Data shares'!$C:$FB,98)</f>
        <v>159880500</v>
      </c>
      <c r="G110" s="49">
        <f>VLOOKUP($A110,'Data shares'!$C:$FB,99)</f>
        <v>162503250</v>
      </c>
      <c r="H110" s="50">
        <f t="shared" si="4"/>
        <v>-1.6139677206455871</v>
      </c>
      <c r="I110" s="49">
        <f>VLOOKUP($A110,'Data shares'!$C:$FB,66)</f>
        <v>77249250</v>
      </c>
      <c r="J110" s="49">
        <f>VLOOKUP($A110,'Data shares'!$C:$FB,67)</f>
        <v>103452375</v>
      </c>
      <c r="K110" s="50">
        <f t="shared" si="5"/>
        <v>-33.920232235264422</v>
      </c>
      <c r="L110" s="50">
        <f>VLOOKUP($A110,'Data shares'!$C:$FB,118)</f>
        <v>0.85</v>
      </c>
      <c r="M110" s="50">
        <f>VLOOKUP($A110,'Data shares'!$C:$FB,119)</f>
        <v>0.82</v>
      </c>
      <c r="N110" s="50">
        <f>VLOOKUP($A110,'Data shares'!$C:$FB,121)*100</f>
        <v>3.66</v>
      </c>
      <c r="O110" s="50">
        <f>VLOOKUP($A110,'Data shares'!$C:$FB,124)</f>
        <v>0.77</v>
      </c>
      <c r="P110" s="50">
        <f>VLOOKUP($A110,'Data shares'!$C:$FB,125)</f>
        <v>0.68</v>
      </c>
      <c r="Q110" s="50">
        <f>VLOOKUP($A110,'Data shares'!$C:$FB,127)*100</f>
        <v>13.239999999999998</v>
      </c>
    </row>
    <row r="111" spans="1:17" x14ac:dyDescent="0.25">
      <c r="A111" s="97" t="str">
        <f>'Data Vlaue (Cr)'!C106</f>
        <v>IRB</v>
      </c>
      <c r="B111" s="140">
        <f>VLOOKUP($A111,'Data shares'!$C:$FB,7)</f>
        <v>44.6</v>
      </c>
      <c r="C111" s="140">
        <f>VLOOKUP($A111,'Data shares'!$C:$FB,3)</f>
        <v>44.59</v>
      </c>
      <c r="D111" s="140">
        <f>VLOOKUP($A111,'Data shares'!$C:$FB,4)</f>
        <v>45.21</v>
      </c>
      <c r="E111" s="50">
        <f t="shared" si="3"/>
        <v>-1.3713780137137743</v>
      </c>
      <c r="F111" s="49">
        <f>VLOOKUP($A111,'Data shares'!$C:$FB,98)</f>
        <v>113737850</v>
      </c>
      <c r="G111" s="49">
        <f>VLOOKUP($A111,'Data shares'!$C:$FB,99)</f>
        <v>115710925</v>
      </c>
      <c r="H111" s="50">
        <f t="shared" si="4"/>
        <v>-1.7051760669962668</v>
      </c>
      <c r="I111" s="49">
        <f>VLOOKUP($A111,'Data shares'!$C:$FB,66)</f>
        <v>26350475</v>
      </c>
      <c r="J111" s="49">
        <f>VLOOKUP($A111,'Data shares'!$C:$FB,67)</f>
        <v>37418375</v>
      </c>
      <c r="K111" s="50">
        <f t="shared" si="5"/>
        <v>-42.002658396101019</v>
      </c>
      <c r="L111" s="50">
        <f>VLOOKUP($A111,'Data shares'!$C:$FB,118)</f>
        <v>0.48</v>
      </c>
      <c r="M111" s="50">
        <f>VLOOKUP($A111,'Data shares'!$C:$FB,119)</f>
        <v>0.52</v>
      </c>
      <c r="N111" s="50">
        <f>VLOOKUP($A111,'Data shares'!$C:$FB,121)*100</f>
        <v>-7.6899999999999995</v>
      </c>
      <c r="O111" s="50">
        <f>VLOOKUP($A111,'Data shares'!$C:$FB,124)</f>
        <v>0.47</v>
      </c>
      <c r="P111" s="50">
        <f>VLOOKUP($A111,'Data shares'!$C:$FB,125)</f>
        <v>0.26</v>
      </c>
      <c r="Q111" s="50">
        <f>VLOOKUP($A111,'Data shares'!$C:$FB,127)*100</f>
        <v>80.77</v>
      </c>
    </row>
    <row r="112" spans="1:17" x14ac:dyDescent="0.25">
      <c r="A112" s="97" t="str">
        <f>'Data Vlaue (Cr)'!C107</f>
        <v>IRCTC</v>
      </c>
      <c r="B112" s="140">
        <f>VLOOKUP($A112,'Data shares'!$C:$FB,7)</f>
        <v>731.2</v>
      </c>
      <c r="C112" s="140">
        <f>VLOOKUP($A112,'Data shares'!$C:$FB,3)</f>
        <v>731.2</v>
      </c>
      <c r="D112" s="140">
        <f>VLOOKUP($A112,'Data shares'!$C:$FB,4)</f>
        <v>727.3</v>
      </c>
      <c r="E112" s="50">
        <f t="shared" si="3"/>
        <v>0.53622989137908583</v>
      </c>
      <c r="F112" s="49">
        <f>VLOOKUP($A112,'Data shares'!$C:$FB,98)</f>
        <v>31100125</v>
      </c>
      <c r="G112" s="49">
        <f>VLOOKUP($A112,'Data shares'!$C:$FB,99)</f>
        <v>30576875</v>
      </c>
      <c r="H112" s="50">
        <f t="shared" si="4"/>
        <v>1.7112605522964657</v>
      </c>
      <c r="I112" s="49">
        <f>VLOOKUP($A112,'Data shares'!$C:$FB,66)</f>
        <v>13169625</v>
      </c>
      <c r="J112" s="49">
        <f>VLOOKUP($A112,'Data shares'!$C:$FB,67)</f>
        <v>11937625</v>
      </c>
      <c r="K112" s="50">
        <f t="shared" si="5"/>
        <v>9.3548601421832434</v>
      </c>
      <c r="L112" s="50">
        <f>VLOOKUP($A112,'Data shares'!$C:$FB,118)</f>
        <v>0.7</v>
      </c>
      <c r="M112" s="50">
        <f>VLOOKUP($A112,'Data shares'!$C:$FB,119)</f>
        <v>0.67</v>
      </c>
      <c r="N112" s="50">
        <f>VLOOKUP($A112,'Data shares'!$C:$FB,121)*100</f>
        <v>4.4799999999999995</v>
      </c>
      <c r="O112" s="50">
        <f>VLOOKUP($A112,'Data shares'!$C:$FB,124)</f>
        <v>0.31</v>
      </c>
      <c r="P112" s="50">
        <f>VLOOKUP($A112,'Data shares'!$C:$FB,125)</f>
        <v>0.37</v>
      </c>
      <c r="Q112" s="50">
        <f>VLOOKUP($A112,'Data shares'!$C:$FB,127)*100</f>
        <v>-16.220000000000002</v>
      </c>
    </row>
    <row r="113" spans="1:17" x14ac:dyDescent="0.25">
      <c r="A113" s="97" t="str">
        <f>'Data Vlaue (Cr)'!C108</f>
        <v>IREDA</v>
      </c>
      <c r="B113" s="140">
        <f>VLOOKUP($A113,'Data shares'!$C:$FB,7)</f>
        <v>148.78</v>
      </c>
      <c r="C113" s="140">
        <f>VLOOKUP($A113,'Data shares'!$C:$FB,3)</f>
        <v>148.58000000000001</v>
      </c>
      <c r="D113" s="140">
        <f>VLOOKUP($A113,'Data shares'!$C:$FB,4)</f>
        <v>148.84</v>
      </c>
      <c r="E113" s="50">
        <f t="shared" si="3"/>
        <v>-0.17468422467078129</v>
      </c>
      <c r="F113" s="49">
        <f>VLOOKUP($A113,'Data shares'!$C:$FB,98)</f>
        <v>69244950</v>
      </c>
      <c r="G113" s="49">
        <f>VLOOKUP($A113,'Data shares'!$C:$FB,99)</f>
        <v>68254800</v>
      </c>
      <c r="H113" s="50">
        <f t="shared" si="4"/>
        <v>1.4506672058228871</v>
      </c>
      <c r="I113" s="49">
        <f>VLOOKUP($A113,'Data shares'!$C:$FB,66)</f>
        <v>15331800</v>
      </c>
      <c r="J113" s="49">
        <f>VLOOKUP($A113,'Data shares'!$C:$FB,67)</f>
        <v>22421550</v>
      </c>
      <c r="K113" s="50">
        <f t="shared" si="5"/>
        <v>-46.242124212421245</v>
      </c>
      <c r="L113" s="50">
        <f>VLOOKUP($A113,'Data shares'!$C:$FB,118)</f>
        <v>0.57999999999999996</v>
      </c>
      <c r="M113" s="50">
        <f>VLOOKUP($A113,'Data shares'!$C:$FB,119)</f>
        <v>0.59</v>
      </c>
      <c r="N113" s="50">
        <f>VLOOKUP($A113,'Data shares'!$C:$FB,121)*100</f>
        <v>-1.69</v>
      </c>
      <c r="O113" s="50">
        <f>VLOOKUP($A113,'Data shares'!$C:$FB,124)</f>
        <v>0.56000000000000005</v>
      </c>
      <c r="P113" s="50">
        <f>VLOOKUP($A113,'Data shares'!$C:$FB,125)</f>
        <v>0.27</v>
      </c>
      <c r="Q113" s="50">
        <f>VLOOKUP($A113,'Data shares'!$C:$FB,127)*100</f>
        <v>107.41000000000001</v>
      </c>
    </row>
    <row r="114" spans="1:17" x14ac:dyDescent="0.25">
      <c r="A114" s="97" t="str">
        <f>'Data Vlaue (Cr)'!C109</f>
        <v>IRFC</v>
      </c>
      <c r="B114" s="140">
        <f>VLOOKUP($A114,'Data shares'!$C:$FB,7)</f>
        <v>126.73</v>
      </c>
      <c r="C114" s="140">
        <f>VLOOKUP($A114,'Data shares'!$C:$FB,3)</f>
        <v>127.2</v>
      </c>
      <c r="D114" s="140">
        <f>VLOOKUP($A114,'Data shares'!$C:$FB,4)</f>
        <v>127.27</v>
      </c>
      <c r="E114" s="50">
        <f t="shared" si="3"/>
        <v>-5.5001178596678857E-2</v>
      </c>
      <c r="F114" s="49">
        <f>VLOOKUP($A114,'Data shares'!$C:$FB,98)</f>
        <v>98251500</v>
      </c>
      <c r="G114" s="49">
        <f>VLOOKUP($A114,'Data shares'!$C:$FB,99)</f>
        <v>95824750</v>
      </c>
      <c r="H114" s="50">
        <f t="shared" si="4"/>
        <v>2.5324876923759261</v>
      </c>
      <c r="I114" s="49">
        <f>VLOOKUP($A114,'Data shares'!$C:$FB,66)</f>
        <v>42708250</v>
      </c>
      <c r="J114" s="49">
        <f>VLOOKUP($A114,'Data shares'!$C:$FB,67)</f>
        <v>45619500</v>
      </c>
      <c r="K114" s="50">
        <f t="shared" si="5"/>
        <v>-6.8165986665339835</v>
      </c>
      <c r="L114" s="50">
        <f>VLOOKUP($A114,'Data shares'!$C:$FB,118)</f>
        <v>0.43</v>
      </c>
      <c r="M114" s="50">
        <f>VLOOKUP($A114,'Data shares'!$C:$FB,119)</f>
        <v>0.43</v>
      </c>
      <c r="N114" s="50">
        <f>VLOOKUP($A114,'Data shares'!$C:$FB,121)*100</f>
        <v>0</v>
      </c>
      <c r="O114" s="50">
        <f>VLOOKUP($A114,'Data shares'!$C:$FB,124)</f>
        <v>0.42</v>
      </c>
      <c r="P114" s="50">
        <f>VLOOKUP($A114,'Data shares'!$C:$FB,125)</f>
        <v>0.32</v>
      </c>
      <c r="Q114" s="50">
        <f>VLOOKUP($A114,'Data shares'!$C:$FB,127)*100</f>
        <v>31.25</v>
      </c>
    </row>
    <row r="115" spans="1:17" x14ac:dyDescent="0.25">
      <c r="A115" s="97" t="str">
        <f>'Data Vlaue (Cr)'!C110</f>
        <v>ITC</v>
      </c>
      <c r="B115" s="140">
        <f>VLOOKUP($A115,'Data shares'!$C:$FB,7)</f>
        <v>406.05</v>
      </c>
      <c r="C115" s="140">
        <f>VLOOKUP($A115,'Data shares'!$C:$FB,3)</f>
        <v>407.25</v>
      </c>
      <c r="D115" s="140">
        <f>VLOOKUP($A115,'Data shares'!$C:$FB,4)</f>
        <v>409.55</v>
      </c>
      <c r="E115" s="50">
        <f t="shared" si="3"/>
        <v>-0.56159199120986725</v>
      </c>
      <c r="F115" s="49">
        <f>VLOOKUP($A115,'Data shares'!$C:$FB,98)</f>
        <v>198811200</v>
      </c>
      <c r="G115" s="49">
        <f>VLOOKUP($A115,'Data shares'!$C:$FB,99)</f>
        <v>189088000</v>
      </c>
      <c r="H115" s="50">
        <f t="shared" si="4"/>
        <v>5.1421560331697407</v>
      </c>
      <c r="I115" s="49">
        <f>VLOOKUP($A115,'Data shares'!$C:$FB,66)</f>
        <v>100918400</v>
      </c>
      <c r="J115" s="49">
        <f>VLOOKUP($A115,'Data shares'!$C:$FB,67)</f>
        <v>89185600</v>
      </c>
      <c r="K115" s="50">
        <f t="shared" si="5"/>
        <v>11.626026571963092</v>
      </c>
      <c r="L115" s="50">
        <f>VLOOKUP($A115,'Data shares'!$C:$FB,118)</f>
        <v>0.54</v>
      </c>
      <c r="M115" s="50">
        <f>VLOOKUP($A115,'Data shares'!$C:$FB,119)</f>
        <v>0.53</v>
      </c>
      <c r="N115" s="50">
        <f>VLOOKUP($A115,'Data shares'!$C:$FB,121)*100</f>
        <v>1.8900000000000001</v>
      </c>
      <c r="O115" s="50">
        <f>VLOOKUP($A115,'Data shares'!$C:$FB,124)</f>
        <v>0.54</v>
      </c>
      <c r="P115" s="50">
        <f>VLOOKUP($A115,'Data shares'!$C:$FB,125)</f>
        <v>0.59</v>
      </c>
      <c r="Q115" s="50">
        <f>VLOOKUP($A115,'Data shares'!$C:$FB,127)*100</f>
        <v>-8.4699999999999989</v>
      </c>
    </row>
    <row r="116" spans="1:17" x14ac:dyDescent="0.25">
      <c r="A116" s="97" t="str">
        <f>'Data Vlaue (Cr)'!C111</f>
        <v>JINDALSTEL</v>
      </c>
      <c r="B116" s="140">
        <f>VLOOKUP($A116,'Data shares'!$C:$FB,7)</f>
        <v>1016.25</v>
      </c>
      <c r="C116" s="140">
        <f>VLOOKUP($A116,'Data shares'!$C:$FB,3)</f>
        <v>1014.8</v>
      </c>
      <c r="D116" s="140">
        <f>VLOOKUP($A116,'Data shares'!$C:$FB,4)</f>
        <v>1006.4</v>
      </c>
      <c r="E116" s="50">
        <f t="shared" si="3"/>
        <v>0.83465818759936183</v>
      </c>
      <c r="F116" s="49">
        <f>VLOOKUP($A116,'Data shares'!$C:$FB,98)</f>
        <v>21676250</v>
      </c>
      <c r="G116" s="49">
        <f>VLOOKUP($A116,'Data shares'!$C:$FB,99)</f>
        <v>21710625</v>
      </c>
      <c r="H116" s="50">
        <f t="shared" si="4"/>
        <v>-0.15833261363963497</v>
      </c>
      <c r="I116" s="49">
        <f>VLOOKUP($A116,'Data shares'!$C:$FB,66)</f>
        <v>16077500</v>
      </c>
      <c r="J116" s="49">
        <f>VLOOKUP($A116,'Data shares'!$C:$FB,67)</f>
        <v>12142500</v>
      </c>
      <c r="K116" s="50">
        <f t="shared" si="5"/>
        <v>24.4751982584357</v>
      </c>
      <c r="L116" s="50">
        <f>VLOOKUP($A116,'Data shares'!$C:$FB,118)</f>
        <v>0.83</v>
      </c>
      <c r="M116" s="50">
        <f>VLOOKUP($A116,'Data shares'!$C:$FB,119)</f>
        <v>0.79</v>
      </c>
      <c r="N116" s="50">
        <f>VLOOKUP($A116,'Data shares'!$C:$FB,121)*100</f>
        <v>5.0599999999999996</v>
      </c>
      <c r="O116" s="50">
        <f>VLOOKUP($A116,'Data shares'!$C:$FB,124)</f>
        <v>0.43</v>
      </c>
      <c r="P116" s="50">
        <f>VLOOKUP($A116,'Data shares'!$C:$FB,125)</f>
        <v>0.46</v>
      </c>
      <c r="Q116" s="50">
        <f>VLOOKUP($A116,'Data shares'!$C:$FB,127)*100</f>
        <v>-6.52</v>
      </c>
    </row>
    <row r="117" spans="1:17" x14ac:dyDescent="0.25">
      <c r="A117" s="97" t="str">
        <f>'Data Vlaue (Cr)'!C112</f>
        <v>JIOFIN</v>
      </c>
      <c r="B117" s="140">
        <f>VLOOKUP($A117,'Data shares'!$C:$FB,7)</f>
        <v>328.45</v>
      </c>
      <c r="C117" s="140">
        <f>VLOOKUP($A117,'Data shares'!$C:$FB,3)</f>
        <v>329.05</v>
      </c>
      <c r="D117" s="140">
        <f>VLOOKUP($A117,'Data shares'!$C:$FB,4)</f>
        <v>332.4</v>
      </c>
      <c r="E117" s="50">
        <f t="shared" si="3"/>
        <v>-1.0078219013236962</v>
      </c>
      <c r="F117" s="49">
        <f>VLOOKUP($A117,'Data shares'!$C:$FB,98)</f>
        <v>216785150</v>
      </c>
      <c r="G117" s="49">
        <f>VLOOKUP($A117,'Data shares'!$C:$FB,99)</f>
        <v>211765550</v>
      </c>
      <c r="H117" s="50">
        <f t="shared" si="4"/>
        <v>2.3703572181594224</v>
      </c>
      <c r="I117" s="49">
        <f>VLOOKUP($A117,'Data shares'!$C:$FB,66)</f>
        <v>94538150</v>
      </c>
      <c r="J117" s="49">
        <f>VLOOKUP($A117,'Data shares'!$C:$FB,67)</f>
        <v>96953950</v>
      </c>
      <c r="K117" s="50">
        <f t="shared" si="5"/>
        <v>-2.5553705038653707</v>
      </c>
      <c r="L117" s="50">
        <f>VLOOKUP($A117,'Data shares'!$C:$FB,118)</f>
        <v>0.7</v>
      </c>
      <c r="M117" s="50">
        <f>VLOOKUP($A117,'Data shares'!$C:$FB,119)</f>
        <v>0.77</v>
      </c>
      <c r="N117" s="50">
        <f>VLOOKUP($A117,'Data shares'!$C:$FB,121)*100</f>
        <v>-9.09</v>
      </c>
      <c r="O117" s="50">
        <f>VLOOKUP($A117,'Data shares'!$C:$FB,124)</f>
        <v>0.54</v>
      </c>
      <c r="P117" s="50">
        <f>VLOOKUP($A117,'Data shares'!$C:$FB,125)</f>
        <v>0.55000000000000004</v>
      </c>
      <c r="Q117" s="50">
        <f>VLOOKUP($A117,'Data shares'!$C:$FB,127)*100</f>
        <v>-1.82</v>
      </c>
    </row>
    <row r="118" spans="1:17" x14ac:dyDescent="0.25">
      <c r="A118" s="97" t="str">
        <f>'Data Vlaue (Cr)'!C113</f>
        <v>JSL</v>
      </c>
      <c r="B118" s="140">
        <f>VLOOKUP($A118,'Data shares'!$C:$FB,7)</f>
        <v>765.05</v>
      </c>
      <c r="C118" s="140">
        <f>VLOOKUP($A118,'Data shares'!$C:$FB,3)</f>
        <v>765.1</v>
      </c>
      <c r="D118" s="140">
        <f>VLOOKUP($A118,'Data shares'!$C:$FB,4)</f>
        <v>757.8</v>
      </c>
      <c r="E118" s="50">
        <f t="shared" si="3"/>
        <v>0.96331485880180379</v>
      </c>
      <c r="F118" s="49">
        <f>VLOOKUP($A118,'Data shares'!$C:$FB,98)</f>
        <v>7463000</v>
      </c>
      <c r="G118" s="49">
        <f>VLOOKUP($A118,'Data shares'!$C:$FB,99)</f>
        <v>7612600</v>
      </c>
      <c r="H118" s="50">
        <f t="shared" si="4"/>
        <v>-1.9651630192050022</v>
      </c>
      <c r="I118" s="49">
        <f>VLOOKUP($A118,'Data shares'!$C:$FB,66)</f>
        <v>6011200</v>
      </c>
      <c r="J118" s="49">
        <f>VLOOKUP($A118,'Data shares'!$C:$FB,67)</f>
        <v>5936400</v>
      </c>
      <c r="K118" s="50">
        <f t="shared" si="5"/>
        <v>1.244343891402715</v>
      </c>
      <c r="L118" s="50">
        <f>VLOOKUP($A118,'Data shares'!$C:$FB,118)</f>
        <v>0.79</v>
      </c>
      <c r="M118" s="50">
        <f>VLOOKUP($A118,'Data shares'!$C:$FB,119)</f>
        <v>0.68</v>
      </c>
      <c r="N118" s="50">
        <f>VLOOKUP($A118,'Data shares'!$C:$FB,121)*100</f>
        <v>16.18</v>
      </c>
      <c r="O118" s="50">
        <f>VLOOKUP($A118,'Data shares'!$C:$FB,124)</f>
        <v>0.55000000000000004</v>
      </c>
      <c r="P118" s="50">
        <f>VLOOKUP($A118,'Data shares'!$C:$FB,125)</f>
        <v>0.34</v>
      </c>
      <c r="Q118" s="50">
        <f>VLOOKUP($A118,'Data shares'!$C:$FB,127)*100</f>
        <v>61.760000000000005</v>
      </c>
    </row>
    <row r="119" spans="1:17" x14ac:dyDescent="0.25">
      <c r="A119" s="97" t="str">
        <f>'Data Vlaue (Cr)'!C114</f>
        <v>JSWENERGY</v>
      </c>
      <c r="B119" s="140">
        <f>VLOOKUP($A119,'Data shares'!$C:$FB,7)</f>
        <v>531.75</v>
      </c>
      <c r="C119" s="140">
        <f>VLOOKUP($A119,'Data shares'!$C:$FB,3)</f>
        <v>533.4</v>
      </c>
      <c r="D119" s="140">
        <f>VLOOKUP($A119,'Data shares'!$C:$FB,4)</f>
        <v>535.20000000000005</v>
      </c>
      <c r="E119" s="50">
        <f t="shared" si="3"/>
        <v>-0.33632286995516969</v>
      </c>
      <c r="F119" s="49">
        <f>VLOOKUP($A119,'Data shares'!$C:$FB,98)</f>
        <v>50198000</v>
      </c>
      <c r="G119" s="49">
        <f>VLOOKUP($A119,'Data shares'!$C:$FB,99)</f>
        <v>48804000</v>
      </c>
      <c r="H119" s="50">
        <f t="shared" si="4"/>
        <v>2.8563232521924431</v>
      </c>
      <c r="I119" s="49">
        <f>VLOOKUP($A119,'Data shares'!$C:$FB,66)</f>
        <v>11102000</v>
      </c>
      <c r="J119" s="49">
        <f>VLOOKUP($A119,'Data shares'!$C:$FB,67)</f>
        <v>6921000</v>
      </c>
      <c r="K119" s="50">
        <f t="shared" si="5"/>
        <v>37.659881102504059</v>
      </c>
      <c r="L119" s="50">
        <f>VLOOKUP($A119,'Data shares'!$C:$FB,118)</f>
        <v>0.56000000000000005</v>
      </c>
      <c r="M119" s="50">
        <f>VLOOKUP($A119,'Data shares'!$C:$FB,119)</f>
        <v>0.56000000000000005</v>
      </c>
      <c r="N119" s="50">
        <f>VLOOKUP($A119,'Data shares'!$C:$FB,121)*100</f>
        <v>0</v>
      </c>
      <c r="O119" s="50">
        <f>VLOOKUP($A119,'Data shares'!$C:$FB,124)</f>
        <v>0.39</v>
      </c>
      <c r="P119" s="50">
        <f>VLOOKUP($A119,'Data shares'!$C:$FB,125)</f>
        <v>0.28000000000000003</v>
      </c>
      <c r="Q119" s="50">
        <f>VLOOKUP($A119,'Data shares'!$C:$FB,127)*100</f>
        <v>39.290000000000006</v>
      </c>
    </row>
    <row r="120" spans="1:17" x14ac:dyDescent="0.25">
      <c r="A120" s="97" t="str">
        <f>'Data Vlaue (Cr)'!C115</f>
        <v>JSWSTEEL</v>
      </c>
      <c r="B120" s="140">
        <f>VLOOKUP($A120,'Data shares'!$C:$FB,7)</f>
        <v>1082.5999999999999</v>
      </c>
      <c r="C120" s="140">
        <f>VLOOKUP($A120,'Data shares'!$C:$FB,3)</f>
        <v>1086</v>
      </c>
      <c r="D120" s="140">
        <f>VLOOKUP($A120,'Data shares'!$C:$FB,4)</f>
        <v>1077.4000000000001</v>
      </c>
      <c r="E120" s="50">
        <f t="shared" si="3"/>
        <v>0.79821793205865132</v>
      </c>
      <c r="F120" s="49">
        <f>VLOOKUP($A120,'Data shares'!$C:$FB,98)</f>
        <v>56536650</v>
      </c>
      <c r="G120" s="49">
        <f>VLOOKUP($A120,'Data shares'!$C:$FB,99)</f>
        <v>55183275</v>
      </c>
      <c r="H120" s="50">
        <f t="shared" si="4"/>
        <v>2.4525093880346898</v>
      </c>
      <c r="I120" s="49">
        <f>VLOOKUP($A120,'Data shares'!$C:$FB,66)</f>
        <v>28533600</v>
      </c>
      <c r="J120" s="49">
        <f>VLOOKUP($A120,'Data shares'!$C:$FB,67)</f>
        <v>26773875</v>
      </c>
      <c r="K120" s="50">
        <f t="shared" si="5"/>
        <v>6.1672028766086298</v>
      </c>
      <c r="L120" s="50">
        <f>VLOOKUP($A120,'Data shares'!$C:$FB,118)</f>
        <v>0.77</v>
      </c>
      <c r="M120" s="50">
        <f>VLOOKUP($A120,'Data shares'!$C:$FB,119)</f>
        <v>0.67</v>
      </c>
      <c r="N120" s="50">
        <f>VLOOKUP($A120,'Data shares'!$C:$FB,121)*100</f>
        <v>14.93</v>
      </c>
      <c r="O120" s="50">
        <f>VLOOKUP($A120,'Data shares'!$C:$FB,124)</f>
        <v>0.4</v>
      </c>
      <c r="P120" s="50">
        <f>VLOOKUP($A120,'Data shares'!$C:$FB,125)</f>
        <v>0.37</v>
      </c>
      <c r="Q120" s="50">
        <f>VLOOKUP($A120,'Data shares'!$C:$FB,127)*100</f>
        <v>8.1100000000000012</v>
      </c>
    </row>
    <row r="121" spans="1:17" x14ac:dyDescent="0.25">
      <c r="A121" s="97" t="str">
        <f>'Data Vlaue (Cr)'!C116</f>
        <v>JUBLFOOD</v>
      </c>
      <c r="B121" s="140">
        <f>VLOOKUP($A121,'Data shares'!$C:$FB,7)</f>
        <v>634.20000000000005</v>
      </c>
      <c r="C121" s="140">
        <f>VLOOKUP($A121,'Data shares'!$C:$FB,3)</f>
        <v>635.9</v>
      </c>
      <c r="D121" s="140">
        <f>VLOOKUP($A121,'Data shares'!$C:$FB,4)</f>
        <v>634.85</v>
      </c>
      <c r="E121" s="50">
        <f t="shared" si="3"/>
        <v>0.16539340001574457</v>
      </c>
      <c r="F121" s="49">
        <f>VLOOKUP($A121,'Data shares'!$C:$FB,98)</f>
        <v>37483750</v>
      </c>
      <c r="G121" s="49">
        <f>VLOOKUP($A121,'Data shares'!$C:$FB,99)</f>
        <v>37431250</v>
      </c>
      <c r="H121" s="50">
        <f t="shared" si="4"/>
        <v>0.1402571380864919</v>
      </c>
      <c r="I121" s="49">
        <f>VLOOKUP($A121,'Data shares'!$C:$FB,66)</f>
        <v>9443750</v>
      </c>
      <c r="J121" s="49">
        <f>VLOOKUP($A121,'Data shares'!$C:$FB,67)</f>
        <v>18561250</v>
      </c>
      <c r="K121" s="50">
        <f t="shared" si="5"/>
        <v>-96.545334215751154</v>
      </c>
      <c r="L121" s="50">
        <f>VLOOKUP($A121,'Data shares'!$C:$FB,118)</f>
        <v>0.52</v>
      </c>
      <c r="M121" s="50">
        <f>VLOOKUP($A121,'Data shares'!$C:$FB,119)</f>
        <v>0.51</v>
      </c>
      <c r="N121" s="50">
        <f>VLOOKUP($A121,'Data shares'!$C:$FB,121)*100</f>
        <v>1.96</v>
      </c>
      <c r="O121" s="50">
        <f>VLOOKUP($A121,'Data shares'!$C:$FB,124)</f>
        <v>0.36</v>
      </c>
      <c r="P121" s="50">
        <f>VLOOKUP($A121,'Data shares'!$C:$FB,125)</f>
        <v>0.41</v>
      </c>
      <c r="Q121" s="50">
        <f>VLOOKUP($A121,'Data shares'!$C:$FB,127)*100</f>
        <v>-12.2</v>
      </c>
    </row>
    <row r="122" spans="1:17" x14ac:dyDescent="0.25">
      <c r="A122" s="97" t="str">
        <f>'Data Vlaue (Cr)'!C117</f>
        <v>KALYANKJIL</v>
      </c>
      <c r="B122" s="140">
        <f>VLOOKUP($A122,'Data shares'!$C:$FB,7)</f>
        <v>510.6</v>
      </c>
      <c r="C122" s="140">
        <f>VLOOKUP($A122,'Data shares'!$C:$FB,3)</f>
        <v>511.25</v>
      </c>
      <c r="D122" s="140">
        <f>VLOOKUP($A122,'Data shares'!$C:$FB,4)</f>
        <v>509.05</v>
      </c>
      <c r="E122" s="50">
        <f t="shared" si="3"/>
        <v>0.43217758569884851</v>
      </c>
      <c r="F122" s="49">
        <f>VLOOKUP($A122,'Data shares'!$C:$FB,98)</f>
        <v>72647900</v>
      </c>
      <c r="G122" s="49">
        <f>VLOOKUP($A122,'Data shares'!$C:$FB,99)</f>
        <v>70434200</v>
      </c>
      <c r="H122" s="50">
        <f t="shared" si="4"/>
        <v>3.1429334045108765</v>
      </c>
      <c r="I122" s="49">
        <f>VLOOKUP($A122,'Data shares'!$C:$FB,66)</f>
        <v>91829775</v>
      </c>
      <c r="J122" s="49">
        <f>VLOOKUP($A122,'Data shares'!$C:$FB,67)</f>
        <v>82488525</v>
      </c>
      <c r="K122" s="50">
        <f t="shared" si="5"/>
        <v>10.172354228244597</v>
      </c>
      <c r="L122" s="50">
        <f>VLOOKUP($A122,'Data shares'!$C:$FB,118)</f>
        <v>0.35</v>
      </c>
      <c r="M122" s="50">
        <f>VLOOKUP($A122,'Data shares'!$C:$FB,119)</f>
        <v>0.33</v>
      </c>
      <c r="N122" s="50">
        <f>VLOOKUP($A122,'Data shares'!$C:$FB,121)*100</f>
        <v>6.0600000000000005</v>
      </c>
      <c r="O122" s="50">
        <f>VLOOKUP($A122,'Data shares'!$C:$FB,124)</f>
        <v>0.3</v>
      </c>
      <c r="P122" s="50">
        <f>VLOOKUP($A122,'Data shares'!$C:$FB,125)</f>
        <v>0.44</v>
      </c>
      <c r="Q122" s="50">
        <f>VLOOKUP($A122,'Data shares'!$C:$FB,127)*100</f>
        <v>-31.819999999999997</v>
      </c>
    </row>
    <row r="123" spans="1:17" x14ac:dyDescent="0.25">
      <c r="A123" s="97" t="str">
        <f>'Data Vlaue (Cr)'!C118</f>
        <v>KAYNES</v>
      </c>
      <c r="B123" s="140">
        <f>VLOOKUP($A123,'Data shares'!$C:$FB,7)</f>
        <v>6200.5</v>
      </c>
      <c r="C123" s="140">
        <f>VLOOKUP($A123,'Data shares'!$C:$FB,3)</f>
        <v>6218.5</v>
      </c>
      <c r="D123" s="140">
        <f>VLOOKUP($A123,'Data shares'!$C:$FB,4)</f>
        <v>6292</v>
      </c>
      <c r="E123" s="50">
        <f t="shared" si="3"/>
        <v>-1.1681500317863955</v>
      </c>
      <c r="F123" s="49">
        <f>VLOOKUP($A123,'Data shares'!$C:$FB,98)</f>
        <v>2407900</v>
      </c>
      <c r="G123" s="49">
        <f>VLOOKUP($A123,'Data shares'!$C:$FB,99)</f>
        <v>2321500</v>
      </c>
      <c r="H123" s="50">
        <f t="shared" si="4"/>
        <v>3.7217316390264918</v>
      </c>
      <c r="I123" s="49">
        <f>VLOOKUP($A123,'Data shares'!$C:$FB,66)</f>
        <v>1954100</v>
      </c>
      <c r="J123" s="49">
        <f>VLOOKUP($A123,'Data shares'!$C:$FB,67)</f>
        <v>2093500</v>
      </c>
      <c r="K123" s="50">
        <f t="shared" si="5"/>
        <v>-7.1337188475513029</v>
      </c>
      <c r="L123" s="50">
        <f>VLOOKUP($A123,'Data shares'!$C:$FB,118)</f>
        <v>0.63</v>
      </c>
      <c r="M123" s="50">
        <f>VLOOKUP($A123,'Data shares'!$C:$FB,119)</f>
        <v>0.68</v>
      </c>
      <c r="N123" s="50">
        <f>VLOOKUP($A123,'Data shares'!$C:$FB,121)*100</f>
        <v>-7.35</v>
      </c>
      <c r="O123" s="50">
        <f>VLOOKUP($A123,'Data shares'!$C:$FB,124)</f>
        <v>0.45</v>
      </c>
      <c r="P123" s="50">
        <f>VLOOKUP($A123,'Data shares'!$C:$FB,125)</f>
        <v>0.44</v>
      </c>
      <c r="Q123" s="50">
        <f>VLOOKUP($A123,'Data shares'!$C:$FB,127)*100</f>
        <v>2.27</v>
      </c>
    </row>
    <row r="124" spans="1:17" x14ac:dyDescent="0.25">
      <c r="A124" s="97" t="str">
        <f>'Data Vlaue (Cr)'!C119</f>
        <v>KEI</v>
      </c>
      <c r="B124" s="140">
        <f>VLOOKUP($A124,'Data shares'!$C:$FB,7)</f>
        <v>3986.4</v>
      </c>
      <c r="C124" s="140">
        <f>VLOOKUP($A124,'Data shares'!$C:$FB,3)</f>
        <v>3987.7</v>
      </c>
      <c r="D124" s="140">
        <f>VLOOKUP($A124,'Data shares'!$C:$FB,4)</f>
        <v>3956.2</v>
      </c>
      <c r="E124" s="50">
        <f t="shared" si="3"/>
        <v>0.79621859359991909</v>
      </c>
      <c r="F124" s="49">
        <f>VLOOKUP($A124,'Data shares'!$C:$FB,98)</f>
        <v>2041200</v>
      </c>
      <c r="G124" s="49">
        <f>VLOOKUP($A124,'Data shares'!$C:$FB,99)</f>
        <v>1917125</v>
      </c>
      <c r="H124" s="50">
        <f t="shared" si="4"/>
        <v>6.4719306252852578</v>
      </c>
      <c r="I124" s="49">
        <f>VLOOKUP($A124,'Data shares'!$C:$FB,66)</f>
        <v>4120725</v>
      </c>
      <c r="J124" s="49">
        <f>VLOOKUP($A124,'Data shares'!$C:$FB,67)</f>
        <v>2007775</v>
      </c>
      <c r="K124" s="50">
        <f t="shared" si="5"/>
        <v>51.276171062131063</v>
      </c>
      <c r="L124" s="50">
        <f>VLOOKUP($A124,'Data shares'!$C:$FB,118)</f>
        <v>0.72</v>
      </c>
      <c r="M124" s="50">
        <f>VLOOKUP($A124,'Data shares'!$C:$FB,119)</f>
        <v>1.01</v>
      </c>
      <c r="N124" s="50">
        <f>VLOOKUP($A124,'Data shares'!$C:$FB,121)*100</f>
        <v>-28.71</v>
      </c>
      <c r="O124" s="50">
        <f>VLOOKUP($A124,'Data shares'!$C:$FB,124)</f>
        <v>0.32</v>
      </c>
      <c r="P124" s="50">
        <f>VLOOKUP($A124,'Data shares'!$C:$FB,125)</f>
        <v>0.44</v>
      </c>
      <c r="Q124" s="50">
        <f>VLOOKUP($A124,'Data shares'!$C:$FB,127)*100</f>
        <v>-27.27</v>
      </c>
    </row>
    <row r="125" spans="1:17" x14ac:dyDescent="0.25">
      <c r="A125" s="97" t="str">
        <f>'Data Vlaue (Cr)'!C120</f>
        <v>KFINTECH</v>
      </c>
      <c r="B125" s="140">
        <f>VLOOKUP($A125,'Data shares'!$C:$FB,7)</f>
        <v>1115.8</v>
      </c>
      <c r="C125" s="140">
        <f>VLOOKUP($A125,'Data shares'!$C:$FB,3)</f>
        <v>1112.4000000000001</v>
      </c>
      <c r="D125" s="140">
        <f>VLOOKUP($A125,'Data shares'!$C:$FB,4)</f>
        <v>1122.5999999999999</v>
      </c>
      <c r="E125" s="50">
        <f t="shared" si="3"/>
        <v>-0.90860502405129329</v>
      </c>
      <c r="F125" s="49">
        <f>VLOOKUP($A125,'Data shares'!$C:$FB,98)</f>
        <v>3725100</v>
      </c>
      <c r="G125" s="49">
        <f>VLOOKUP($A125,'Data shares'!$C:$FB,99)</f>
        <v>3529350</v>
      </c>
      <c r="H125" s="50">
        <f t="shared" si="4"/>
        <v>5.5463470610735683</v>
      </c>
      <c r="I125" s="49">
        <f>VLOOKUP($A125,'Data shares'!$C:$FB,66)</f>
        <v>2022300</v>
      </c>
      <c r="J125" s="49">
        <f>VLOOKUP($A125,'Data shares'!$C:$FB,67)</f>
        <v>2493450</v>
      </c>
      <c r="K125" s="50">
        <f t="shared" si="5"/>
        <v>-23.297730307076101</v>
      </c>
      <c r="L125" s="50">
        <f>VLOOKUP($A125,'Data shares'!$C:$FB,118)</f>
        <v>0.47</v>
      </c>
      <c r="M125" s="50">
        <f>VLOOKUP($A125,'Data shares'!$C:$FB,119)</f>
        <v>0.56000000000000005</v>
      </c>
      <c r="N125" s="50">
        <f>VLOOKUP($A125,'Data shares'!$C:$FB,121)*100</f>
        <v>-16.07</v>
      </c>
      <c r="O125" s="50">
        <f>VLOOKUP($A125,'Data shares'!$C:$FB,124)</f>
        <v>0.35</v>
      </c>
      <c r="P125" s="50">
        <f>VLOOKUP($A125,'Data shares'!$C:$FB,125)</f>
        <v>0.33</v>
      </c>
      <c r="Q125" s="50">
        <f>VLOOKUP($A125,'Data shares'!$C:$FB,127)*100</f>
        <v>6.0600000000000005</v>
      </c>
    </row>
    <row r="126" spans="1:17" x14ac:dyDescent="0.25">
      <c r="A126" s="97" t="str">
        <f>'Data Vlaue (Cr)'!C121</f>
        <v>KOTAKBANK</v>
      </c>
      <c r="B126" s="140">
        <f>VLOOKUP($A126,'Data shares'!$C:$FB,7)</f>
        <v>2017.5</v>
      </c>
      <c r="C126" s="140">
        <f>VLOOKUP($A126,'Data shares'!$C:$FB,3)</f>
        <v>2019.2</v>
      </c>
      <c r="D126" s="140">
        <f>VLOOKUP($A126,'Data shares'!$C:$FB,4)</f>
        <v>2031.2</v>
      </c>
      <c r="E126" s="50">
        <f t="shared" si="3"/>
        <v>-0.59078377313903108</v>
      </c>
      <c r="F126" s="49">
        <f>VLOOKUP($A126,'Data shares'!$C:$FB,98)</f>
        <v>47134400</v>
      </c>
      <c r="G126" s="49">
        <f>VLOOKUP($A126,'Data shares'!$C:$FB,99)</f>
        <v>47187600</v>
      </c>
      <c r="H126" s="50">
        <f t="shared" si="4"/>
        <v>-0.1127414829319567</v>
      </c>
      <c r="I126" s="49">
        <f>VLOOKUP($A126,'Data shares'!$C:$FB,66)</f>
        <v>13440400</v>
      </c>
      <c r="J126" s="49">
        <f>VLOOKUP($A126,'Data shares'!$C:$FB,67)</f>
        <v>22498400</v>
      </c>
      <c r="K126" s="50">
        <f t="shared" si="5"/>
        <v>-67.393827564655822</v>
      </c>
      <c r="L126" s="50">
        <f>VLOOKUP($A126,'Data shares'!$C:$FB,118)</f>
        <v>0.72</v>
      </c>
      <c r="M126" s="50">
        <f>VLOOKUP($A126,'Data shares'!$C:$FB,119)</f>
        <v>0.74</v>
      </c>
      <c r="N126" s="50">
        <f>VLOOKUP($A126,'Data shares'!$C:$FB,121)*100</f>
        <v>-2.7</v>
      </c>
      <c r="O126" s="50">
        <f>VLOOKUP($A126,'Data shares'!$C:$FB,124)</f>
        <v>0.64</v>
      </c>
      <c r="P126" s="50">
        <f>VLOOKUP($A126,'Data shares'!$C:$FB,125)</f>
        <v>0.57999999999999996</v>
      </c>
      <c r="Q126" s="50">
        <f>VLOOKUP($A126,'Data shares'!$C:$FB,127)*100</f>
        <v>10.34</v>
      </c>
    </row>
    <row r="127" spans="1:17" x14ac:dyDescent="0.25">
      <c r="A127" s="97" t="str">
        <f>'Data Vlaue (Cr)'!C122</f>
        <v>KPITTECH</v>
      </c>
      <c r="B127" s="140">
        <f>VLOOKUP($A127,'Data shares'!$C:$FB,7)</f>
        <v>1214.5999999999999</v>
      </c>
      <c r="C127" s="140">
        <f>VLOOKUP($A127,'Data shares'!$C:$FB,3)</f>
        <v>1217.5999999999999</v>
      </c>
      <c r="D127" s="140">
        <f>VLOOKUP($A127,'Data shares'!$C:$FB,4)</f>
        <v>1203</v>
      </c>
      <c r="E127" s="50">
        <f t="shared" si="3"/>
        <v>1.21363258520365</v>
      </c>
      <c r="F127" s="49">
        <f>VLOOKUP($A127,'Data shares'!$C:$FB,98)</f>
        <v>9710000</v>
      </c>
      <c r="G127" s="49">
        <f>VLOOKUP($A127,'Data shares'!$C:$FB,99)</f>
        <v>9623200</v>
      </c>
      <c r="H127" s="50">
        <f t="shared" si="4"/>
        <v>0.90198686507606607</v>
      </c>
      <c r="I127" s="49">
        <f>VLOOKUP($A127,'Data shares'!$C:$FB,66)</f>
        <v>5985200</v>
      </c>
      <c r="J127" s="49">
        <f>VLOOKUP($A127,'Data shares'!$C:$FB,67)</f>
        <v>5182400</v>
      </c>
      <c r="K127" s="50">
        <f t="shared" si="5"/>
        <v>13.41308561117423</v>
      </c>
      <c r="L127" s="50">
        <f>VLOOKUP($A127,'Data shares'!$C:$FB,118)</f>
        <v>0.86</v>
      </c>
      <c r="M127" s="50">
        <f>VLOOKUP($A127,'Data shares'!$C:$FB,119)</f>
        <v>0.84</v>
      </c>
      <c r="N127" s="50">
        <f>VLOOKUP($A127,'Data shares'!$C:$FB,121)*100</f>
        <v>2.3800000000000003</v>
      </c>
      <c r="O127" s="50">
        <f>VLOOKUP($A127,'Data shares'!$C:$FB,124)</f>
        <v>0.28999999999999998</v>
      </c>
      <c r="P127" s="50">
        <f>VLOOKUP($A127,'Data shares'!$C:$FB,125)</f>
        <v>0.56000000000000005</v>
      </c>
      <c r="Q127" s="50">
        <f>VLOOKUP($A127,'Data shares'!$C:$FB,127)*100</f>
        <v>-48.209999999999994</v>
      </c>
    </row>
    <row r="128" spans="1:17" x14ac:dyDescent="0.25">
      <c r="A128" s="97" t="str">
        <f>'Data Vlaue (Cr)'!C123</f>
        <v>LAURUSLABS</v>
      </c>
      <c r="B128" s="140">
        <f>VLOOKUP($A128,'Data shares'!$C:$FB,7)</f>
        <v>876.05</v>
      </c>
      <c r="C128" s="140">
        <f>VLOOKUP($A128,'Data shares'!$C:$FB,3)</f>
        <v>876.65</v>
      </c>
      <c r="D128" s="140">
        <f>VLOOKUP($A128,'Data shares'!$C:$FB,4)</f>
        <v>885.65</v>
      </c>
      <c r="E128" s="50">
        <f t="shared" si="3"/>
        <v>-1.0162027889120984</v>
      </c>
      <c r="F128" s="49">
        <f>VLOOKUP($A128,'Data shares'!$C:$FB,98)</f>
        <v>39827600</v>
      </c>
      <c r="G128" s="49">
        <f>VLOOKUP($A128,'Data shares'!$C:$FB,99)</f>
        <v>39023500</v>
      </c>
      <c r="H128" s="50">
        <f t="shared" si="4"/>
        <v>2.0605532563711608</v>
      </c>
      <c r="I128" s="49">
        <f>VLOOKUP($A128,'Data shares'!$C:$FB,66)</f>
        <v>25726100</v>
      </c>
      <c r="J128" s="49">
        <f>VLOOKUP($A128,'Data shares'!$C:$FB,67)</f>
        <v>33620900</v>
      </c>
      <c r="K128" s="50">
        <f t="shared" si="5"/>
        <v>-30.687900614550983</v>
      </c>
      <c r="L128" s="50">
        <f>VLOOKUP($A128,'Data shares'!$C:$FB,118)</f>
        <v>0.63</v>
      </c>
      <c r="M128" s="50">
        <f>VLOOKUP($A128,'Data shares'!$C:$FB,119)</f>
        <v>0.67</v>
      </c>
      <c r="N128" s="50">
        <f>VLOOKUP($A128,'Data shares'!$C:$FB,121)*100</f>
        <v>-5.9700000000000006</v>
      </c>
      <c r="O128" s="50">
        <f>VLOOKUP($A128,'Data shares'!$C:$FB,124)</f>
        <v>0.5</v>
      </c>
      <c r="P128" s="50">
        <f>VLOOKUP($A128,'Data shares'!$C:$FB,125)</f>
        <v>0.43</v>
      </c>
      <c r="Q128" s="50">
        <f>VLOOKUP($A128,'Data shares'!$C:$FB,127)*100</f>
        <v>16.28</v>
      </c>
    </row>
    <row r="129" spans="1:17" x14ac:dyDescent="0.25">
      <c r="A129" s="97" t="str">
        <f>'Data Vlaue (Cr)'!C124</f>
        <v>LICHSGFIN</v>
      </c>
      <c r="B129" s="140">
        <f>VLOOKUP($A129,'Data shares'!$C:$FB,7)</f>
        <v>580.1</v>
      </c>
      <c r="C129" s="140">
        <f>VLOOKUP($A129,'Data shares'!$C:$FB,3)</f>
        <v>572.15</v>
      </c>
      <c r="D129" s="140">
        <f>VLOOKUP($A129,'Data shares'!$C:$FB,4)</f>
        <v>571.9</v>
      </c>
      <c r="E129" s="50">
        <f t="shared" si="3"/>
        <v>4.3713936002797694E-2</v>
      </c>
      <c r="F129" s="49">
        <f>VLOOKUP($A129,'Data shares'!$C:$FB,98)</f>
        <v>51902000</v>
      </c>
      <c r="G129" s="49">
        <f>VLOOKUP($A129,'Data shares'!$C:$FB,99)</f>
        <v>53517000</v>
      </c>
      <c r="H129" s="50">
        <f t="shared" si="4"/>
        <v>-3.0177326830726687</v>
      </c>
      <c r="I129" s="49">
        <f>VLOOKUP($A129,'Data shares'!$C:$FB,66)</f>
        <v>17146000</v>
      </c>
      <c r="J129" s="49">
        <f>VLOOKUP($A129,'Data shares'!$C:$FB,67)</f>
        <v>29222000</v>
      </c>
      <c r="K129" s="50">
        <f t="shared" si="5"/>
        <v>-70.430421089466932</v>
      </c>
      <c r="L129" s="50">
        <f>VLOOKUP($A129,'Data shares'!$C:$FB,118)</f>
        <v>0.65</v>
      </c>
      <c r="M129" s="50">
        <f>VLOOKUP($A129,'Data shares'!$C:$FB,119)</f>
        <v>0.66</v>
      </c>
      <c r="N129" s="50">
        <f>VLOOKUP($A129,'Data shares'!$C:$FB,121)*100</f>
        <v>-1.52</v>
      </c>
      <c r="O129" s="50">
        <f>VLOOKUP($A129,'Data shares'!$C:$FB,124)</f>
        <v>0.39</v>
      </c>
      <c r="P129" s="50">
        <f>VLOOKUP($A129,'Data shares'!$C:$FB,125)</f>
        <v>0.34</v>
      </c>
      <c r="Q129" s="50">
        <f>VLOOKUP($A129,'Data shares'!$C:$FB,127)*100</f>
        <v>14.71</v>
      </c>
    </row>
    <row r="130" spans="1:17" x14ac:dyDescent="0.25">
      <c r="A130" s="97" t="str">
        <f>'Data Vlaue (Cr)'!C125</f>
        <v>LICI</v>
      </c>
      <c r="B130" s="140">
        <f>VLOOKUP($A130,'Data shares'!$C:$FB,7)</f>
        <v>899.35</v>
      </c>
      <c r="C130" s="140">
        <f>VLOOKUP($A130,'Data shares'!$C:$FB,3)</f>
        <v>901.5</v>
      </c>
      <c r="D130" s="140">
        <f>VLOOKUP($A130,'Data shares'!$C:$FB,4)</f>
        <v>897.7</v>
      </c>
      <c r="E130" s="50">
        <f t="shared" si="3"/>
        <v>0.4233039991088286</v>
      </c>
      <c r="F130" s="49">
        <f>VLOOKUP($A130,'Data shares'!$C:$FB,98)</f>
        <v>16210600</v>
      </c>
      <c r="G130" s="49">
        <f>VLOOKUP($A130,'Data shares'!$C:$FB,99)</f>
        <v>16062200</v>
      </c>
      <c r="H130" s="50">
        <f t="shared" si="4"/>
        <v>0.92390830645864197</v>
      </c>
      <c r="I130" s="49">
        <f>VLOOKUP($A130,'Data shares'!$C:$FB,66)</f>
        <v>7380100</v>
      </c>
      <c r="J130" s="49">
        <f>VLOOKUP($A130,'Data shares'!$C:$FB,67)</f>
        <v>12280800</v>
      </c>
      <c r="K130" s="50">
        <f t="shared" si="5"/>
        <v>-66.404249264915109</v>
      </c>
      <c r="L130" s="50">
        <f>VLOOKUP($A130,'Data shares'!$C:$FB,118)</f>
        <v>0.56999999999999995</v>
      </c>
      <c r="M130" s="50">
        <f>VLOOKUP($A130,'Data shares'!$C:$FB,119)</f>
        <v>0.55000000000000004</v>
      </c>
      <c r="N130" s="50">
        <f>VLOOKUP($A130,'Data shares'!$C:$FB,121)*100</f>
        <v>3.64</v>
      </c>
      <c r="O130" s="50">
        <f>VLOOKUP($A130,'Data shares'!$C:$FB,124)</f>
        <v>0.45</v>
      </c>
      <c r="P130" s="50">
        <f>VLOOKUP($A130,'Data shares'!$C:$FB,125)</f>
        <v>0.38</v>
      </c>
      <c r="Q130" s="50">
        <f>VLOOKUP($A130,'Data shares'!$C:$FB,127)*100</f>
        <v>18.420000000000002</v>
      </c>
    </row>
    <row r="131" spans="1:17" x14ac:dyDescent="0.25">
      <c r="A131" s="97" t="str">
        <f>'Data Vlaue (Cr)'!C126</f>
        <v>LODHA</v>
      </c>
      <c r="B131" s="140">
        <f>VLOOKUP($A131,'Data shares'!$C:$FB,7)</f>
        <v>1300</v>
      </c>
      <c r="C131" s="140">
        <f>VLOOKUP($A131,'Data shares'!$C:$FB,3)</f>
        <v>1295.7</v>
      </c>
      <c r="D131" s="140">
        <f>VLOOKUP($A131,'Data shares'!$C:$FB,4)</f>
        <v>1254.5999999999999</v>
      </c>
      <c r="E131" s="50">
        <f t="shared" si="3"/>
        <v>3.2759445241511349</v>
      </c>
      <c r="F131" s="49">
        <f>VLOOKUP($A131,'Data shares'!$C:$FB,98)</f>
        <v>12225150</v>
      </c>
      <c r="G131" s="49">
        <f>VLOOKUP($A131,'Data shares'!$C:$FB,99)</f>
        <v>12196800</v>
      </c>
      <c r="H131" s="50">
        <f t="shared" si="4"/>
        <v>0.23243801652892562</v>
      </c>
      <c r="I131" s="49">
        <f>VLOOKUP($A131,'Data shares'!$C:$FB,66)</f>
        <v>17132400</v>
      </c>
      <c r="J131" s="49">
        <f>VLOOKUP($A131,'Data shares'!$C:$FB,67)</f>
        <v>4587750</v>
      </c>
      <c r="K131" s="50">
        <f t="shared" si="5"/>
        <v>73.221790292078168</v>
      </c>
      <c r="L131" s="50">
        <f>VLOOKUP($A131,'Data shares'!$C:$FB,118)</f>
        <v>0.64</v>
      </c>
      <c r="M131" s="50">
        <f>VLOOKUP($A131,'Data shares'!$C:$FB,119)</f>
        <v>0.53</v>
      </c>
      <c r="N131" s="50">
        <f>VLOOKUP($A131,'Data shares'!$C:$FB,121)*100</f>
        <v>20.75</v>
      </c>
      <c r="O131" s="50">
        <f>VLOOKUP($A131,'Data shares'!$C:$FB,124)</f>
        <v>0.2</v>
      </c>
      <c r="P131" s="50">
        <f>VLOOKUP($A131,'Data shares'!$C:$FB,125)</f>
        <v>0.61</v>
      </c>
      <c r="Q131" s="50">
        <f>VLOOKUP($A131,'Data shares'!$C:$FB,127)*100</f>
        <v>-67.210000000000008</v>
      </c>
    </row>
    <row r="132" spans="1:17" x14ac:dyDescent="0.25">
      <c r="A132" s="97" t="str">
        <f>'Data Vlaue (Cr)'!C127</f>
        <v>LT</v>
      </c>
      <c r="B132" s="140">
        <f>VLOOKUP($A132,'Data shares'!$C:$FB,7)</f>
        <v>3592.3</v>
      </c>
      <c r="C132" s="140">
        <f>VLOOKUP($A132,'Data shares'!$C:$FB,3)</f>
        <v>3595.4</v>
      </c>
      <c r="D132" s="140">
        <f>VLOOKUP($A132,'Data shares'!$C:$FB,4)</f>
        <v>3623.3</v>
      </c>
      <c r="E132" s="50">
        <f t="shared" si="3"/>
        <v>-0.77001628349847073</v>
      </c>
      <c r="F132" s="49">
        <f>VLOOKUP($A132,'Data shares'!$C:$FB,98)</f>
        <v>24609725</v>
      </c>
      <c r="G132" s="49">
        <f>VLOOKUP($A132,'Data shares'!$C:$FB,99)</f>
        <v>23446500</v>
      </c>
      <c r="H132" s="50">
        <f t="shared" si="4"/>
        <v>4.9611882370503064</v>
      </c>
      <c r="I132" s="49">
        <f>VLOOKUP($A132,'Data shares'!$C:$FB,66)</f>
        <v>15168475</v>
      </c>
      <c r="J132" s="49">
        <f>VLOOKUP($A132,'Data shares'!$C:$FB,67)</f>
        <v>9083375</v>
      </c>
      <c r="K132" s="50">
        <f t="shared" si="5"/>
        <v>40.116755309943812</v>
      </c>
      <c r="L132" s="50">
        <f>VLOOKUP($A132,'Data shares'!$C:$FB,118)</f>
        <v>0.48</v>
      </c>
      <c r="M132" s="50">
        <f>VLOOKUP($A132,'Data shares'!$C:$FB,119)</f>
        <v>0.53</v>
      </c>
      <c r="N132" s="50">
        <f>VLOOKUP($A132,'Data shares'!$C:$FB,121)*100</f>
        <v>-9.43</v>
      </c>
      <c r="O132" s="50">
        <f>VLOOKUP($A132,'Data shares'!$C:$FB,124)</f>
        <v>0.44</v>
      </c>
      <c r="P132" s="50">
        <f>VLOOKUP($A132,'Data shares'!$C:$FB,125)</f>
        <v>0.38</v>
      </c>
      <c r="Q132" s="50">
        <f>VLOOKUP($A132,'Data shares'!$C:$FB,127)*100</f>
        <v>15.790000000000001</v>
      </c>
    </row>
    <row r="133" spans="1:17" x14ac:dyDescent="0.25">
      <c r="A133" s="97" t="str">
        <f>'Data Vlaue (Cr)'!C128</f>
        <v>LTF</v>
      </c>
      <c r="B133" s="140">
        <f>VLOOKUP($A133,'Data shares'!$C:$FB,7)</f>
        <v>216.53</v>
      </c>
      <c r="C133" s="140">
        <f>VLOOKUP($A133,'Data shares'!$C:$FB,3)</f>
        <v>216.44</v>
      </c>
      <c r="D133" s="140">
        <f>VLOOKUP($A133,'Data shares'!$C:$FB,4)</f>
        <v>217.14</v>
      </c>
      <c r="E133" s="50">
        <f t="shared" si="3"/>
        <v>-0.32237266279818949</v>
      </c>
      <c r="F133" s="49">
        <f>VLOOKUP($A133,'Data shares'!$C:$FB,98)</f>
        <v>105245194</v>
      </c>
      <c r="G133" s="49">
        <f>VLOOKUP($A133,'Data shares'!$C:$FB,99)</f>
        <v>106164366</v>
      </c>
      <c r="H133" s="50">
        <f t="shared" si="4"/>
        <v>-0.86580086580086579</v>
      </c>
      <c r="I133" s="49">
        <f>VLOOKUP($A133,'Data shares'!$C:$FB,66)</f>
        <v>45324996</v>
      </c>
      <c r="J133" s="49">
        <f>VLOOKUP($A133,'Data shares'!$C:$FB,67)</f>
        <v>137786560</v>
      </c>
      <c r="K133" s="50">
        <f t="shared" si="5"/>
        <v>-203.99684977357748</v>
      </c>
      <c r="L133" s="50">
        <f>VLOOKUP($A133,'Data shares'!$C:$FB,118)</f>
        <v>0.97</v>
      </c>
      <c r="M133" s="50">
        <f>VLOOKUP($A133,'Data shares'!$C:$FB,119)</f>
        <v>0.98</v>
      </c>
      <c r="N133" s="50">
        <f>VLOOKUP($A133,'Data shares'!$C:$FB,121)*100</f>
        <v>-1.02</v>
      </c>
      <c r="O133" s="50">
        <f>VLOOKUP($A133,'Data shares'!$C:$FB,124)</f>
        <v>0.46</v>
      </c>
      <c r="P133" s="50">
        <f>VLOOKUP($A133,'Data shares'!$C:$FB,125)</f>
        <v>0.54</v>
      </c>
      <c r="Q133" s="50">
        <f>VLOOKUP($A133,'Data shares'!$C:$FB,127)*100</f>
        <v>-14.81</v>
      </c>
    </row>
    <row r="134" spans="1:17" x14ac:dyDescent="0.25">
      <c r="A134" s="97" t="str">
        <f>'Data Vlaue (Cr)'!C129</f>
        <v>LTIM</v>
      </c>
      <c r="B134" s="140">
        <f>VLOOKUP($A134,'Data shares'!$C:$FB,7)</f>
        <v>5180.5</v>
      </c>
      <c r="C134" s="140">
        <f>VLOOKUP($A134,'Data shares'!$C:$FB,3)</f>
        <v>5193</v>
      </c>
      <c r="D134" s="140">
        <f>VLOOKUP($A134,'Data shares'!$C:$FB,4)</f>
        <v>5116.5</v>
      </c>
      <c r="E134" s="50">
        <f t="shared" si="3"/>
        <v>1.4951627088830255</v>
      </c>
      <c r="F134" s="49">
        <f>VLOOKUP($A134,'Data shares'!$C:$FB,98)</f>
        <v>4228050</v>
      </c>
      <c r="G134" s="49">
        <f>VLOOKUP($A134,'Data shares'!$C:$FB,99)</f>
        <v>4302300</v>
      </c>
      <c r="H134" s="50">
        <f t="shared" si="4"/>
        <v>-1.7258210724496199</v>
      </c>
      <c r="I134" s="49">
        <f>VLOOKUP($A134,'Data shares'!$C:$FB,66)</f>
        <v>4501350</v>
      </c>
      <c r="J134" s="49">
        <f>VLOOKUP($A134,'Data shares'!$C:$FB,67)</f>
        <v>2177400</v>
      </c>
      <c r="K134" s="50">
        <f t="shared" si="5"/>
        <v>51.627844979839374</v>
      </c>
      <c r="L134" s="50">
        <f>VLOOKUP($A134,'Data shares'!$C:$FB,118)</f>
        <v>0.66</v>
      </c>
      <c r="M134" s="50">
        <f>VLOOKUP($A134,'Data shares'!$C:$FB,119)</f>
        <v>0.56999999999999995</v>
      </c>
      <c r="N134" s="50">
        <f>VLOOKUP($A134,'Data shares'!$C:$FB,121)*100</f>
        <v>15.790000000000001</v>
      </c>
      <c r="O134" s="50">
        <f>VLOOKUP($A134,'Data shares'!$C:$FB,124)</f>
        <v>0.34</v>
      </c>
      <c r="P134" s="50">
        <f>VLOOKUP($A134,'Data shares'!$C:$FB,125)</f>
        <v>0.43</v>
      </c>
      <c r="Q134" s="50">
        <f>VLOOKUP($A134,'Data shares'!$C:$FB,127)*100</f>
        <v>-20.93</v>
      </c>
    </row>
    <row r="135" spans="1:17" x14ac:dyDescent="0.25">
      <c r="A135" s="97" t="str">
        <f>'Data Vlaue (Cr)'!C130</f>
        <v>LUPIN</v>
      </c>
      <c r="B135" s="140">
        <f>VLOOKUP($A135,'Data shares'!$C:$FB,7)</f>
        <v>1940.3</v>
      </c>
      <c r="C135" s="140">
        <f>VLOOKUP($A135,'Data shares'!$C:$FB,3)</f>
        <v>1944.6</v>
      </c>
      <c r="D135" s="140">
        <f>VLOOKUP($A135,'Data shares'!$C:$FB,4)</f>
        <v>1975.1</v>
      </c>
      <c r="E135" s="50">
        <f t="shared" si="3"/>
        <v>-1.5442256088299326</v>
      </c>
      <c r="F135" s="49">
        <f>VLOOKUP($A135,'Data shares'!$C:$FB,98)</f>
        <v>17628150</v>
      </c>
      <c r="G135" s="49">
        <f>VLOOKUP($A135,'Data shares'!$C:$FB,99)</f>
        <v>17323850</v>
      </c>
      <c r="H135" s="50">
        <f t="shared" si="4"/>
        <v>1.7565379520141307</v>
      </c>
      <c r="I135" s="49">
        <f>VLOOKUP($A135,'Data shares'!$C:$FB,66)</f>
        <v>6382650</v>
      </c>
      <c r="J135" s="49">
        <f>VLOOKUP($A135,'Data shares'!$C:$FB,67)</f>
        <v>4692425</v>
      </c>
      <c r="K135" s="50">
        <f t="shared" si="5"/>
        <v>26.481555466773205</v>
      </c>
      <c r="L135" s="50">
        <f>VLOOKUP($A135,'Data shares'!$C:$FB,118)</f>
        <v>0.69</v>
      </c>
      <c r="M135" s="50">
        <f>VLOOKUP($A135,'Data shares'!$C:$FB,119)</f>
        <v>0.73</v>
      </c>
      <c r="N135" s="50">
        <f>VLOOKUP($A135,'Data shares'!$C:$FB,121)*100</f>
        <v>-5.48</v>
      </c>
      <c r="O135" s="50">
        <f>VLOOKUP($A135,'Data shares'!$C:$FB,124)</f>
        <v>0.64</v>
      </c>
      <c r="P135" s="50">
        <f>VLOOKUP($A135,'Data shares'!$C:$FB,125)</f>
        <v>0.39</v>
      </c>
      <c r="Q135" s="50">
        <f>VLOOKUP($A135,'Data shares'!$C:$FB,127)*100</f>
        <v>64.099999999999994</v>
      </c>
    </row>
    <row r="136" spans="1:17" x14ac:dyDescent="0.25">
      <c r="A136" s="97" t="str">
        <f>'Data Vlaue (Cr)'!C131</f>
        <v>M&amp;M</v>
      </c>
      <c r="B136" s="140">
        <f>VLOOKUP($A136,'Data shares'!$C:$FB,7)</f>
        <v>3395.6</v>
      </c>
      <c r="C136" s="140">
        <f>VLOOKUP($A136,'Data shares'!$C:$FB,3)</f>
        <v>3396.3</v>
      </c>
      <c r="D136" s="140">
        <f>VLOOKUP($A136,'Data shares'!$C:$FB,4)</f>
        <v>3356.4</v>
      </c>
      <c r="E136" s="50">
        <f t="shared" ref="E136:E172" si="6">(C136-D136)/D136*100</f>
        <v>1.1887736860922444</v>
      </c>
      <c r="F136" s="49">
        <f>VLOOKUP($A136,'Data shares'!$C:$FB,98)</f>
        <v>32555800</v>
      </c>
      <c r="G136" s="49">
        <f>VLOOKUP($A136,'Data shares'!$C:$FB,99)</f>
        <v>32220800</v>
      </c>
      <c r="H136" s="50">
        <f t="shared" ref="H136:H172" si="7">(F136-G136)/G136*100</f>
        <v>1.0397010626675938</v>
      </c>
      <c r="I136" s="49">
        <f>VLOOKUP($A136,'Data shares'!$C:$FB,66)</f>
        <v>18444600</v>
      </c>
      <c r="J136" s="49">
        <f>VLOOKUP($A136,'Data shares'!$C:$FB,67)</f>
        <v>26685400</v>
      </c>
      <c r="K136" s="50">
        <f t="shared" ref="K136:K172" si="8">(I136-J136)/I136*100</f>
        <v>-44.678659336608007</v>
      </c>
      <c r="L136" s="50">
        <f>VLOOKUP($A136,'Data shares'!$C:$FB,118)</f>
        <v>0.85</v>
      </c>
      <c r="M136" s="50">
        <f>VLOOKUP($A136,'Data shares'!$C:$FB,119)</f>
        <v>0.8</v>
      </c>
      <c r="N136" s="50">
        <f>VLOOKUP($A136,'Data shares'!$C:$FB,121)*100</f>
        <v>6.25</v>
      </c>
      <c r="O136" s="50">
        <f>VLOOKUP($A136,'Data shares'!$C:$FB,124)</f>
        <v>0.54</v>
      </c>
      <c r="P136" s="50">
        <f>VLOOKUP($A136,'Data shares'!$C:$FB,125)</f>
        <v>0.61</v>
      </c>
      <c r="Q136" s="50">
        <f>VLOOKUP($A136,'Data shares'!$C:$FB,127)*100</f>
        <v>-11.48</v>
      </c>
    </row>
    <row r="137" spans="1:17" x14ac:dyDescent="0.25">
      <c r="A137" s="97" t="str">
        <f>'Data Vlaue (Cr)'!C132</f>
        <v>MANAPPURAM</v>
      </c>
      <c r="B137" s="140">
        <f>VLOOKUP($A137,'Data shares'!$C:$FB,7)</f>
        <v>266.10000000000002</v>
      </c>
      <c r="C137" s="140">
        <f>VLOOKUP($A137,'Data shares'!$C:$FB,3)</f>
        <v>266.64999999999998</v>
      </c>
      <c r="D137" s="140">
        <f>VLOOKUP($A137,'Data shares'!$C:$FB,4)</f>
        <v>270.25</v>
      </c>
      <c r="E137" s="50">
        <f t="shared" si="6"/>
        <v>-1.3320999074930704</v>
      </c>
      <c r="F137" s="49">
        <f>VLOOKUP($A137,'Data shares'!$C:$FB,98)</f>
        <v>61485000</v>
      </c>
      <c r="G137" s="49">
        <f>VLOOKUP($A137,'Data shares'!$C:$FB,99)</f>
        <v>59598000</v>
      </c>
      <c r="H137" s="50">
        <f t="shared" si="7"/>
        <v>3.1662136313299101</v>
      </c>
      <c r="I137" s="49">
        <f>VLOOKUP($A137,'Data shares'!$C:$FB,66)</f>
        <v>33003000</v>
      </c>
      <c r="J137" s="49">
        <f>VLOOKUP($A137,'Data shares'!$C:$FB,67)</f>
        <v>40167000</v>
      </c>
      <c r="K137" s="50">
        <f t="shared" si="8"/>
        <v>-21.707117534769566</v>
      </c>
      <c r="L137" s="50">
        <f>VLOOKUP($A137,'Data shares'!$C:$FB,118)</f>
        <v>0.82</v>
      </c>
      <c r="M137" s="50">
        <f>VLOOKUP($A137,'Data shares'!$C:$FB,119)</f>
        <v>0.86</v>
      </c>
      <c r="N137" s="50">
        <f>VLOOKUP($A137,'Data shares'!$C:$FB,121)*100</f>
        <v>-4.6500000000000004</v>
      </c>
      <c r="O137" s="50">
        <f>VLOOKUP($A137,'Data shares'!$C:$FB,124)</f>
        <v>0.79</v>
      </c>
      <c r="P137" s="50">
        <f>VLOOKUP($A137,'Data shares'!$C:$FB,125)</f>
        <v>0.7</v>
      </c>
      <c r="Q137" s="50">
        <f>VLOOKUP($A137,'Data shares'!$C:$FB,127)*100</f>
        <v>12.86</v>
      </c>
    </row>
    <row r="138" spans="1:17" x14ac:dyDescent="0.25">
      <c r="A138" s="97" t="str">
        <f>'Data Vlaue (Cr)'!C133</f>
        <v>MANKIND</v>
      </c>
      <c r="B138" s="140">
        <f>VLOOKUP($A138,'Data shares'!$C:$FB,7)</f>
        <v>2506.6</v>
      </c>
      <c r="C138" s="140">
        <f>VLOOKUP($A138,'Data shares'!$C:$FB,3)</f>
        <v>2512.9</v>
      </c>
      <c r="D138" s="140">
        <f>VLOOKUP($A138,'Data shares'!$C:$FB,4)</f>
        <v>2499.4</v>
      </c>
      <c r="E138" s="50">
        <f t="shared" si="6"/>
        <v>0.54012963111146672</v>
      </c>
      <c r="F138" s="49">
        <f>VLOOKUP($A138,'Data shares'!$C:$FB,98)</f>
        <v>3032100</v>
      </c>
      <c r="G138" s="49">
        <f>VLOOKUP($A138,'Data shares'!$C:$FB,99)</f>
        <v>3013200</v>
      </c>
      <c r="H138" s="50">
        <f t="shared" si="7"/>
        <v>0.62724014336917566</v>
      </c>
      <c r="I138" s="49">
        <f>VLOOKUP($A138,'Data shares'!$C:$FB,66)</f>
        <v>1076400</v>
      </c>
      <c r="J138" s="49">
        <f>VLOOKUP($A138,'Data shares'!$C:$FB,67)</f>
        <v>2087100</v>
      </c>
      <c r="K138" s="50">
        <f t="shared" si="8"/>
        <v>-93.896321070234109</v>
      </c>
      <c r="L138" s="50">
        <f>VLOOKUP($A138,'Data shares'!$C:$FB,118)</f>
        <v>0.48</v>
      </c>
      <c r="M138" s="50">
        <f>VLOOKUP($A138,'Data shares'!$C:$FB,119)</f>
        <v>0.47</v>
      </c>
      <c r="N138" s="50">
        <f>VLOOKUP($A138,'Data shares'!$C:$FB,121)*100</f>
        <v>2.13</v>
      </c>
      <c r="O138" s="50">
        <f>VLOOKUP($A138,'Data shares'!$C:$FB,124)</f>
        <v>0.19</v>
      </c>
      <c r="P138" s="50">
        <f>VLOOKUP($A138,'Data shares'!$C:$FB,125)</f>
        <v>0.18</v>
      </c>
      <c r="Q138" s="50">
        <f>VLOOKUP($A138,'Data shares'!$C:$FB,127)*100</f>
        <v>5.56</v>
      </c>
    </row>
    <row r="139" spans="1:17" x14ac:dyDescent="0.25">
      <c r="A139" s="97" t="str">
        <f>'Data Vlaue (Cr)'!C134</f>
        <v>MARICO</v>
      </c>
      <c r="B139" s="140">
        <f>VLOOKUP($A139,'Data shares'!$C:$FB,7)</f>
        <v>751.85</v>
      </c>
      <c r="C139" s="140">
        <f>VLOOKUP($A139,'Data shares'!$C:$FB,3)</f>
        <v>752.4</v>
      </c>
      <c r="D139" s="140">
        <f>VLOOKUP($A139,'Data shares'!$C:$FB,4)</f>
        <v>727.25</v>
      </c>
      <c r="E139" s="50">
        <f t="shared" si="6"/>
        <v>3.4582330697834278</v>
      </c>
      <c r="F139" s="49">
        <f>VLOOKUP($A139,'Data shares'!$C:$FB,98)</f>
        <v>36283200</v>
      </c>
      <c r="G139" s="49">
        <f>VLOOKUP($A139,'Data shares'!$C:$FB,99)</f>
        <v>34473600</v>
      </c>
      <c r="H139" s="50">
        <f t="shared" si="7"/>
        <v>5.2492341966026173</v>
      </c>
      <c r="I139" s="49">
        <f>VLOOKUP($A139,'Data shares'!$C:$FB,66)</f>
        <v>66022800</v>
      </c>
      <c r="J139" s="49">
        <f>VLOOKUP($A139,'Data shares'!$C:$FB,67)</f>
        <v>14485200</v>
      </c>
      <c r="K139" s="50">
        <f t="shared" si="8"/>
        <v>78.060306439593603</v>
      </c>
      <c r="L139" s="50">
        <f>VLOOKUP($A139,'Data shares'!$C:$FB,118)</f>
        <v>0.7</v>
      </c>
      <c r="M139" s="50">
        <f>VLOOKUP($A139,'Data shares'!$C:$FB,119)</f>
        <v>0.41</v>
      </c>
      <c r="N139" s="50">
        <f>VLOOKUP($A139,'Data shares'!$C:$FB,121)*100</f>
        <v>70.73</v>
      </c>
      <c r="O139" s="50">
        <f>VLOOKUP($A139,'Data shares'!$C:$FB,124)</f>
        <v>0.26</v>
      </c>
      <c r="P139" s="50">
        <f>VLOOKUP($A139,'Data shares'!$C:$FB,125)</f>
        <v>0.3</v>
      </c>
      <c r="Q139" s="50">
        <f>VLOOKUP($A139,'Data shares'!$C:$FB,127)*100</f>
        <v>-13.33</v>
      </c>
    </row>
    <row r="140" spans="1:17" x14ac:dyDescent="0.25">
      <c r="A140" s="97" t="str">
        <f>'Data Vlaue (Cr)'!C135</f>
        <v>MARUTI</v>
      </c>
      <c r="B140" s="140">
        <f>VLOOKUP($A140,'Data shares'!$C:$FB,7)</f>
        <v>14221</v>
      </c>
      <c r="C140" s="140">
        <f>VLOOKUP($A140,'Data shares'!$C:$FB,3)</f>
        <v>14221</v>
      </c>
      <c r="D140" s="140">
        <f>VLOOKUP($A140,'Data shares'!$C:$FB,4)</f>
        <v>14236</v>
      </c>
      <c r="E140" s="50">
        <f t="shared" si="6"/>
        <v>-0.10536667603259343</v>
      </c>
      <c r="F140" s="49">
        <f>VLOOKUP($A140,'Data shares'!$C:$FB,98)</f>
        <v>13113950</v>
      </c>
      <c r="G140" s="49">
        <f>VLOOKUP($A140,'Data shares'!$C:$FB,99)</f>
        <v>13132750</v>
      </c>
      <c r="H140" s="50">
        <f t="shared" si="7"/>
        <v>-0.14315356646551561</v>
      </c>
      <c r="I140" s="49">
        <f>VLOOKUP($A140,'Data shares'!$C:$FB,66)</f>
        <v>12857000</v>
      </c>
      <c r="J140" s="49">
        <f>VLOOKUP($A140,'Data shares'!$C:$FB,67)</f>
        <v>30536100</v>
      </c>
      <c r="K140" s="50">
        <f t="shared" si="8"/>
        <v>-137.50563895154392</v>
      </c>
      <c r="L140" s="50">
        <f>VLOOKUP($A140,'Data shares'!$C:$FB,118)</f>
        <v>1.1100000000000001</v>
      </c>
      <c r="M140" s="50">
        <f>VLOOKUP($A140,'Data shares'!$C:$FB,119)</f>
        <v>1.1399999999999999</v>
      </c>
      <c r="N140" s="50">
        <f>VLOOKUP($A140,'Data shares'!$C:$FB,121)*100</f>
        <v>-2.63</v>
      </c>
      <c r="O140" s="50">
        <f>VLOOKUP($A140,'Data shares'!$C:$FB,124)</f>
        <v>0.94</v>
      </c>
      <c r="P140" s="50">
        <f>VLOOKUP($A140,'Data shares'!$C:$FB,125)</f>
        <v>0.76</v>
      </c>
      <c r="Q140" s="50">
        <f>VLOOKUP($A140,'Data shares'!$C:$FB,127)*100</f>
        <v>23.68</v>
      </c>
    </row>
    <row r="141" spans="1:17" x14ac:dyDescent="0.25">
      <c r="A141" s="97" t="str">
        <f>'Data Vlaue (Cr)'!C136</f>
        <v>MAXHEALTH</v>
      </c>
      <c r="B141" s="140">
        <f>VLOOKUP($A141,'Data shares'!$C:$FB,7)</f>
        <v>1225.5999999999999</v>
      </c>
      <c r="C141" s="140">
        <f>VLOOKUP($A141,'Data shares'!$C:$FB,3)</f>
        <v>1229.7</v>
      </c>
      <c r="D141" s="140">
        <f>VLOOKUP($A141,'Data shares'!$C:$FB,4)</f>
        <v>1234.5999999999999</v>
      </c>
      <c r="E141" s="50">
        <f t="shared" si="6"/>
        <v>-0.39688968086828641</v>
      </c>
      <c r="F141" s="49">
        <f>VLOOKUP($A141,'Data shares'!$C:$FB,98)</f>
        <v>19491150</v>
      </c>
      <c r="G141" s="49">
        <f>VLOOKUP($A141,'Data shares'!$C:$FB,99)</f>
        <v>19005525</v>
      </c>
      <c r="H141" s="50">
        <f t="shared" si="7"/>
        <v>2.5551780337559737</v>
      </c>
      <c r="I141" s="49">
        <f>VLOOKUP($A141,'Data shares'!$C:$FB,66)</f>
        <v>7146300</v>
      </c>
      <c r="J141" s="49">
        <f>VLOOKUP($A141,'Data shares'!$C:$FB,67)</f>
        <v>8234625</v>
      </c>
      <c r="K141" s="50">
        <f t="shared" si="8"/>
        <v>-15.229209521010873</v>
      </c>
      <c r="L141" s="50">
        <f>VLOOKUP($A141,'Data shares'!$C:$FB,118)</f>
        <v>0.36</v>
      </c>
      <c r="M141" s="50">
        <f>VLOOKUP($A141,'Data shares'!$C:$FB,119)</f>
        <v>0.36</v>
      </c>
      <c r="N141" s="50">
        <f>VLOOKUP($A141,'Data shares'!$C:$FB,121)*100</f>
        <v>0</v>
      </c>
      <c r="O141" s="50">
        <f>VLOOKUP($A141,'Data shares'!$C:$FB,124)</f>
        <v>0.4</v>
      </c>
      <c r="P141" s="50">
        <f>VLOOKUP($A141,'Data shares'!$C:$FB,125)</f>
        <v>0.31</v>
      </c>
      <c r="Q141" s="50">
        <f>VLOOKUP($A141,'Data shares'!$C:$FB,127)*100</f>
        <v>29.03</v>
      </c>
    </row>
    <row r="142" spans="1:17" x14ac:dyDescent="0.25">
      <c r="A142" s="97" t="str">
        <f>'Data Vlaue (Cr)'!C137</f>
        <v>MAZDOCK</v>
      </c>
      <c r="B142" s="140">
        <f>VLOOKUP($A142,'Data shares'!$C:$FB,7)</f>
        <v>2772.9</v>
      </c>
      <c r="C142" s="140">
        <f>VLOOKUP($A142,'Data shares'!$C:$FB,3)</f>
        <v>2782.8</v>
      </c>
      <c r="D142" s="140">
        <f>VLOOKUP($A142,'Data shares'!$C:$FB,4)</f>
        <v>2752.6</v>
      </c>
      <c r="E142" s="50">
        <f t="shared" si="6"/>
        <v>1.0971445179103492</v>
      </c>
      <c r="F142" s="49">
        <f>VLOOKUP($A142,'Data shares'!$C:$FB,98)</f>
        <v>6475875</v>
      </c>
      <c r="G142" s="49">
        <f>VLOOKUP($A142,'Data shares'!$C:$FB,99)</f>
        <v>6411650</v>
      </c>
      <c r="H142" s="50">
        <f t="shared" si="7"/>
        <v>1.0016922321087396</v>
      </c>
      <c r="I142" s="49">
        <f>VLOOKUP($A142,'Data shares'!$C:$FB,66)</f>
        <v>6891850</v>
      </c>
      <c r="J142" s="49">
        <f>VLOOKUP($A142,'Data shares'!$C:$FB,67)</f>
        <v>3757775</v>
      </c>
      <c r="K142" s="50">
        <f t="shared" si="8"/>
        <v>45.475090142704786</v>
      </c>
      <c r="L142" s="50">
        <f>VLOOKUP($A142,'Data shares'!$C:$FB,118)</f>
        <v>0.46</v>
      </c>
      <c r="M142" s="50">
        <f>VLOOKUP($A142,'Data shares'!$C:$FB,119)</f>
        <v>0.42</v>
      </c>
      <c r="N142" s="50">
        <f>VLOOKUP($A142,'Data shares'!$C:$FB,121)*100</f>
        <v>9.5200000000000014</v>
      </c>
      <c r="O142" s="50">
        <f>VLOOKUP($A142,'Data shares'!$C:$FB,124)</f>
        <v>0.31</v>
      </c>
      <c r="P142" s="50">
        <f>VLOOKUP($A142,'Data shares'!$C:$FB,125)</f>
        <v>0.18</v>
      </c>
      <c r="Q142" s="50">
        <f>VLOOKUP($A142,'Data shares'!$C:$FB,127)*100</f>
        <v>72.22</v>
      </c>
    </row>
    <row r="143" spans="1:17" x14ac:dyDescent="0.25">
      <c r="A143" s="97" t="str">
        <f>'Data Vlaue (Cr)'!C138</f>
        <v>MCX</v>
      </c>
      <c r="B143" s="140">
        <f>VLOOKUP($A143,'Data shares'!$C:$FB,7)</f>
        <v>8224</v>
      </c>
      <c r="C143" s="140">
        <f>VLOOKUP($A143,'Data shares'!$C:$FB,3)</f>
        <v>8248</v>
      </c>
      <c r="D143" s="140">
        <f>VLOOKUP($A143,'Data shares'!$C:$FB,4)</f>
        <v>8325</v>
      </c>
      <c r="E143" s="50">
        <f t="shared" si="6"/>
        <v>-0.92492492492492495</v>
      </c>
      <c r="F143" s="49">
        <f>VLOOKUP($A143,'Data shares'!$C:$FB,98)</f>
        <v>5397000</v>
      </c>
      <c r="G143" s="49">
        <f>VLOOKUP($A143,'Data shares'!$C:$FB,99)</f>
        <v>5440375</v>
      </c>
      <c r="H143" s="50">
        <f t="shared" si="7"/>
        <v>-0.79727959929232817</v>
      </c>
      <c r="I143" s="49">
        <f>VLOOKUP($A143,'Data shares'!$C:$FB,66)</f>
        <v>4162375</v>
      </c>
      <c r="J143" s="49">
        <f>VLOOKUP($A143,'Data shares'!$C:$FB,67)</f>
        <v>7975750</v>
      </c>
      <c r="K143" s="50">
        <f t="shared" si="8"/>
        <v>-91.615363824739475</v>
      </c>
      <c r="L143" s="50">
        <f>VLOOKUP($A143,'Data shares'!$C:$FB,118)</f>
        <v>0.66</v>
      </c>
      <c r="M143" s="50">
        <f>VLOOKUP($A143,'Data shares'!$C:$FB,119)</f>
        <v>0.71</v>
      </c>
      <c r="N143" s="50">
        <f>VLOOKUP($A143,'Data shares'!$C:$FB,121)*100</f>
        <v>-7.04</v>
      </c>
      <c r="O143" s="50">
        <f>VLOOKUP($A143,'Data shares'!$C:$FB,124)</f>
        <v>0.77</v>
      </c>
      <c r="P143" s="50">
        <f>VLOOKUP($A143,'Data shares'!$C:$FB,125)</f>
        <v>0.83</v>
      </c>
      <c r="Q143" s="50">
        <f>VLOOKUP($A143,'Data shares'!$C:$FB,127)*100</f>
        <v>-7.23</v>
      </c>
    </row>
    <row r="144" spans="1:17" x14ac:dyDescent="0.25">
      <c r="A144" s="97" t="str">
        <f>'Data Vlaue (Cr)'!C139</f>
        <v>MFSL</v>
      </c>
      <c r="B144" s="140">
        <f>VLOOKUP($A144,'Data shares'!$C:$FB,7)</f>
        <v>1643.6</v>
      </c>
      <c r="C144" s="140">
        <f>VLOOKUP($A144,'Data shares'!$C:$FB,3)</f>
        <v>1645.1</v>
      </c>
      <c r="D144" s="140">
        <f>VLOOKUP($A144,'Data shares'!$C:$FB,4)</f>
        <v>1639.4</v>
      </c>
      <c r="E144" s="50">
        <f t="shared" si="6"/>
        <v>0.34768817860191642</v>
      </c>
      <c r="F144" s="49">
        <f>VLOOKUP($A144,'Data shares'!$C:$FB,98)</f>
        <v>8100000</v>
      </c>
      <c r="G144" s="49">
        <f>VLOOKUP($A144,'Data shares'!$C:$FB,99)</f>
        <v>8163200</v>
      </c>
      <c r="H144" s="50">
        <f t="shared" si="7"/>
        <v>-0.77420619364954923</v>
      </c>
      <c r="I144" s="49">
        <f>VLOOKUP($A144,'Data shares'!$C:$FB,66)</f>
        <v>2124800</v>
      </c>
      <c r="J144" s="49">
        <f>VLOOKUP($A144,'Data shares'!$C:$FB,67)</f>
        <v>6391200</v>
      </c>
      <c r="K144" s="50">
        <f t="shared" si="8"/>
        <v>-200.79066265060243</v>
      </c>
      <c r="L144" s="50">
        <f>VLOOKUP($A144,'Data shares'!$C:$FB,118)</f>
        <v>0.91</v>
      </c>
      <c r="M144" s="50">
        <f>VLOOKUP($A144,'Data shares'!$C:$FB,119)</f>
        <v>0.88</v>
      </c>
      <c r="N144" s="50">
        <f>VLOOKUP($A144,'Data shares'!$C:$FB,121)*100</f>
        <v>3.4099999999999997</v>
      </c>
      <c r="O144" s="50">
        <f>VLOOKUP($A144,'Data shares'!$C:$FB,124)</f>
        <v>0.55000000000000004</v>
      </c>
      <c r="P144" s="50">
        <f>VLOOKUP($A144,'Data shares'!$C:$FB,125)</f>
        <v>1.1499999999999999</v>
      </c>
      <c r="Q144" s="50">
        <f>VLOOKUP($A144,'Data shares'!$C:$FB,127)*100</f>
        <v>-52.17</v>
      </c>
    </row>
    <row r="145" spans="1:17" x14ac:dyDescent="0.25">
      <c r="A145" s="97" t="str">
        <f>'Data Vlaue (Cr)'!C140</f>
        <v>MIDCPNIFTY</v>
      </c>
      <c r="B145" s="140">
        <f>VLOOKUP($A145,'Data shares'!$C:$FB,7)</f>
        <v>12999.8</v>
      </c>
      <c r="C145" s="140">
        <f>VLOOKUP($A145,'Data shares'!$C:$FB,3)</f>
        <v>13023.85</v>
      </c>
      <c r="D145" s="140">
        <f>VLOOKUP($A145,'Data shares'!$C:$FB,4)</f>
        <v>12958.3</v>
      </c>
      <c r="E145" s="50">
        <f t="shared" si="6"/>
        <v>0.5058533912627512</v>
      </c>
      <c r="F145" s="49">
        <f>VLOOKUP($A145,'Data shares'!$C:$FB,98)</f>
        <v>21169680</v>
      </c>
      <c r="G145" s="49">
        <f>VLOOKUP($A145,'Data shares'!$C:$FB,99)</f>
        <v>18416720</v>
      </c>
      <c r="H145" s="50">
        <f t="shared" si="7"/>
        <v>14.948155806245628</v>
      </c>
      <c r="I145" s="49">
        <f>VLOOKUP($A145,'Data shares'!$C:$FB,66)</f>
        <v>70461160</v>
      </c>
      <c r="J145" s="49">
        <f>VLOOKUP($A145,'Data shares'!$C:$FB,67)</f>
        <v>63741580</v>
      </c>
      <c r="K145" s="50">
        <f t="shared" si="8"/>
        <v>9.5365730567024443</v>
      </c>
      <c r="L145" s="50">
        <f>VLOOKUP($A145,'Data shares'!$C:$FB,118)</f>
        <v>1.33</v>
      </c>
      <c r="M145" s="50">
        <f>VLOOKUP($A145,'Data shares'!$C:$FB,119)</f>
        <v>1.1200000000000001</v>
      </c>
      <c r="N145" s="50">
        <f>VLOOKUP($A145,'Data shares'!$C:$FB,121)*100</f>
        <v>18.75</v>
      </c>
      <c r="O145" s="50">
        <f>VLOOKUP($A145,'Data shares'!$C:$FB,124)</f>
        <v>1.1299999999999999</v>
      </c>
      <c r="P145" s="50">
        <f>VLOOKUP($A145,'Data shares'!$C:$FB,125)</f>
        <v>0.92</v>
      </c>
      <c r="Q145" s="50">
        <f>VLOOKUP($A145,'Data shares'!$C:$FB,127)*100</f>
        <v>22.830000000000002</v>
      </c>
    </row>
    <row r="146" spans="1:17" x14ac:dyDescent="0.25">
      <c r="A146" s="97" t="str">
        <f>'Data Vlaue (Cr)'!C141</f>
        <v>MOTHERSON</v>
      </c>
      <c r="B146" s="140">
        <f>VLOOKUP($A146,'Data shares'!$C:$FB,7)</f>
        <v>97.97</v>
      </c>
      <c r="C146" s="140">
        <f>VLOOKUP($A146,'Data shares'!$C:$FB,3)</f>
        <v>97.99</v>
      </c>
      <c r="D146" s="140">
        <f>VLOOKUP($A146,'Data shares'!$C:$FB,4)</f>
        <v>99.62</v>
      </c>
      <c r="E146" s="50">
        <f t="shared" si="6"/>
        <v>-1.6362176269825432</v>
      </c>
      <c r="F146" s="49">
        <f>VLOOKUP($A146,'Data shares'!$C:$FB,98)</f>
        <v>245784750</v>
      </c>
      <c r="G146" s="49">
        <f>VLOOKUP($A146,'Data shares'!$C:$FB,99)</f>
        <v>245895450</v>
      </c>
      <c r="H146" s="50">
        <f t="shared" si="7"/>
        <v>-4.5019133131580923E-2</v>
      </c>
      <c r="I146" s="49">
        <f>VLOOKUP($A146,'Data shares'!$C:$FB,66)</f>
        <v>116241150</v>
      </c>
      <c r="J146" s="49">
        <f>VLOOKUP($A146,'Data shares'!$C:$FB,67)</f>
        <v>262438950</v>
      </c>
      <c r="K146" s="50">
        <f t="shared" si="8"/>
        <v>-125.7711232209936</v>
      </c>
      <c r="L146" s="50">
        <f>VLOOKUP($A146,'Data shares'!$C:$FB,118)</f>
        <v>0.73</v>
      </c>
      <c r="M146" s="50">
        <f>VLOOKUP($A146,'Data shares'!$C:$FB,119)</f>
        <v>0.87</v>
      </c>
      <c r="N146" s="50">
        <f>VLOOKUP($A146,'Data shares'!$C:$FB,121)*100</f>
        <v>-16.09</v>
      </c>
      <c r="O146" s="50">
        <f>VLOOKUP($A146,'Data shares'!$C:$FB,124)</f>
        <v>0.53</v>
      </c>
      <c r="P146" s="50">
        <f>VLOOKUP($A146,'Data shares'!$C:$FB,125)</f>
        <v>0.33</v>
      </c>
      <c r="Q146" s="50">
        <f>VLOOKUP($A146,'Data shares'!$C:$FB,127)*100</f>
        <v>60.61</v>
      </c>
    </row>
    <row r="147" spans="1:17" x14ac:dyDescent="0.25">
      <c r="A147" s="97" t="str">
        <f>'Data Vlaue (Cr)'!C142</f>
        <v>MPHASIS</v>
      </c>
      <c r="B147" s="140">
        <f>VLOOKUP($A147,'Data shares'!$C:$FB,7)</f>
        <v>2835.5</v>
      </c>
      <c r="C147" s="140">
        <f>VLOOKUP($A147,'Data shares'!$C:$FB,3)</f>
        <v>2838.9</v>
      </c>
      <c r="D147" s="140">
        <f>VLOOKUP($A147,'Data shares'!$C:$FB,4)</f>
        <v>2745.7</v>
      </c>
      <c r="E147" s="50">
        <f t="shared" si="6"/>
        <v>3.3943985140401458</v>
      </c>
      <c r="F147" s="49">
        <f>VLOOKUP($A147,'Data shares'!$C:$FB,98)</f>
        <v>5617425</v>
      </c>
      <c r="G147" s="49">
        <f>VLOOKUP($A147,'Data shares'!$C:$FB,99)</f>
        <v>5350675</v>
      </c>
      <c r="H147" s="50">
        <f t="shared" si="7"/>
        <v>4.9853523153620811</v>
      </c>
      <c r="I147" s="49">
        <f>VLOOKUP($A147,'Data shares'!$C:$FB,66)</f>
        <v>9561475</v>
      </c>
      <c r="J147" s="49">
        <f>VLOOKUP($A147,'Data shares'!$C:$FB,67)</f>
        <v>1662100</v>
      </c>
      <c r="K147" s="50">
        <f t="shared" si="8"/>
        <v>82.616698783399002</v>
      </c>
      <c r="L147" s="50">
        <f>VLOOKUP($A147,'Data shares'!$C:$FB,118)</f>
        <v>0.74</v>
      </c>
      <c r="M147" s="50">
        <f>VLOOKUP($A147,'Data shares'!$C:$FB,119)</f>
        <v>0.54</v>
      </c>
      <c r="N147" s="50">
        <f>VLOOKUP($A147,'Data shares'!$C:$FB,121)*100</f>
        <v>37.04</v>
      </c>
      <c r="O147" s="50">
        <f>VLOOKUP($A147,'Data shares'!$C:$FB,124)</f>
        <v>0.35</v>
      </c>
      <c r="P147" s="50">
        <f>VLOOKUP($A147,'Data shares'!$C:$FB,125)</f>
        <v>0.27</v>
      </c>
      <c r="Q147" s="50">
        <f>VLOOKUP($A147,'Data shares'!$C:$FB,127)*100</f>
        <v>29.630000000000003</v>
      </c>
    </row>
    <row r="148" spans="1:17" x14ac:dyDescent="0.25">
      <c r="A148" s="97" t="str">
        <f>'Data Vlaue (Cr)'!C143</f>
        <v>MUTHOOTFIN</v>
      </c>
      <c r="B148" s="140">
        <f>VLOOKUP($A148,'Data shares'!$C:$FB,7)</f>
        <v>2683.9</v>
      </c>
      <c r="C148" s="140">
        <f>VLOOKUP($A148,'Data shares'!$C:$FB,3)</f>
        <v>2687.5</v>
      </c>
      <c r="D148" s="140">
        <f>VLOOKUP($A148,'Data shares'!$C:$FB,4)</f>
        <v>2750</v>
      </c>
      <c r="E148" s="50">
        <f t="shared" si="6"/>
        <v>-2.2727272727272729</v>
      </c>
      <c r="F148" s="49">
        <f>VLOOKUP($A148,'Data shares'!$C:$FB,98)</f>
        <v>13098250</v>
      </c>
      <c r="G148" s="49">
        <f>VLOOKUP($A148,'Data shares'!$C:$FB,99)</f>
        <v>12401675</v>
      </c>
      <c r="H148" s="50">
        <f t="shared" si="7"/>
        <v>5.6167816040978336</v>
      </c>
      <c r="I148" s="49">
        <f>VLOOKUP($A148,'Data shares'!$C:$FB,66)</f>
        <v>21926850</v>
      </c>
      <c r="J148" s="49">
        <f>VLOOKUP($A148,'Data shares'!$C:$FB,67)</f>
        <v>12937925</v>
      </c>
      <c r="K148" s="50">
        <f t="shared" si="8"/>
        <v>40.995058569744401</v>
      </c>
      <c r="L148" s="50">
        <f>VLOOKUP($A148,'Data shares'!$C:$FB,118)</f>
        <v>0.57999999999999996</v>
      </c>
      <c r="M148" s="50">
        <f>VLOOKUP($A148,'Data shares'!$C:$FB,119)</f>
        <v>0.65</v>
      </c>
      <c r="N148" s="50">
        <f>VLOOKUP($A148,'Data shares'!$C:$FB,121)*100</f>
        <v>-10.77</v>
      </c>
      <c r="O148" s="50">
        <f>VLOOKUP($A148,'Data shares'!$C:$FB,124)</f>
        <v>1</v>
      </c>
      <c r="P148" s="50">
        <f>VLOOKUP($A148,'Data shares'!$C:$FB,125)</f>
        <v>0.69</v>
      </c>
      <c r="Q148" s="50">
        <f>VLOOKUP($A148,'Data shares'!$C:$FB,127)*100</f>
        <v>44.93</v>
      </c>
    </row>
    <row r="149" spans="1:17" x14ac:dyDescent="0.25">
      <c r="A149" s="97" t="str">
        <f>'Data Vlaue (Cr)'!C144</f>
        <v>NATIONALUM</v>
      </c>
      <c r="B149" s="140">
        <f>VLOOKUP($A149,'Data shares'!$C:$FB,7)</f>
        <v>192.22</v>
      </c>
      <c r="C149" s="140">
        <f>VLOOKUP($A149,'Data shares'!$C:$FB,3)</f>
        <v>192.3</v>
      </c>
      <c r="D149" s="140">
        <f>VLOOKUP($A149,'Data shares'!$C:$FB,4)</f>
        <v>191.89</v>
      </c>
      <c r="E149" s="50">
        <f t="shared" si="6"/>
        <v>0.21366407837825058</v>
      </c>
      <c r="F149" s="49">
        <f>VLOOKUP($A149,'Data shares'!$C:$FB,98)</f>
        <v>112890000</v>
      </c>
      <c r="G149" s="49">
        <f>VLOOKUP($A149,'Data shares'!$C:$FB,99)</f>
        <v>110137500</v>
      </c>
      <c r="H149" s="50">
        <f t="shared" si="7"/>
        <v>2.4991487912836226</v>
      </c>
      <c r="I149" s="49">
        <f>VLOOKUP($A149,'Data shares'!$C:$FB,66)</f>
        <v>53992500</v>
      </c>
      <c r="J149" s="49">
        <f>VLOOKUP($A149,'Data shares'!$C:$FB,67)</f>
        <v>51641250</v>
      </c>
      <c r="K149" s="50">
        <f t="shared" si="8"/>
        <v>4.354771496041117</v>
      </c>
      <c r="L149" s="50">
        <f>VLOOKUP($A149,'Data shares'!$C:$FB,118)</f>
        <v>0.77</v>
      </c>
      <c r="M149" s="50">
        <f>VLOOKUP($A149,'Data shares'!$C:$FB,119)</f>
        <v>0.77</v>
      </c>
      <c r="N149" s="50">
        <f>VLOOKUP($A149,'Data shares'!$C:$FB,121)*100</f>
        <v>0</v>
      </c>
      <c r="O149" s="50">
        <f>VLOOKUP($A149,'Data shares'!$C:$FB,124)</f>
        <v>0.52</v>
      </c>
      <c r="P149" s="50">
        <f>VLOOKUP($A149,'Data shares'!$C:$FB,125)</f>
        <v>0.73</v>
      </c>
      <c r="Q149" s="50">
        <f>VLOOKUP($A149,'Data shares'!$C:$FB,127)*100</f>
        <v>-28.77</v>
      </c>
    </row>
    <row r="150" spans="1:17" x14ac:dyDescent="0.25">
      <c r="A150" s="97" t="str">
        <f>'Data Vlaue (Cr)'!C145</f>
        <v>NAUKRI</v>
      </c>
      <c r="B150" s="140">
        <f>VLOOKUP($A150,'Data shares'!$C:$FB,7)</f>
        <v>1395.5</v>
      </c>
      <c r="C150" s="140">
        <f>VLOOKUP($A150,'Data shares'!$C:$FB,3)</f>
        <v>1400.1</v>
      </c>
      <c r="D150" s="140">
        <f>VLOOKUP($A150,'Data shares'!$C:$FB,4)</f>
        <v>1383.8</v>
      </c>
      <c r="E150" s="50">
        <f t="shared" si="6"/>
        <v>1.1779158837982333</v>
      </c>
      <c r="F150" s="49">
        <f>VLOOKUP($A150,'Data shares'!$C:$FB,98)</f>
        <v>15476250</v>
      </c>
      <c r="G150" s="49">
        <f>VLOOKUP($A150,'Data shares'!$C:$FB,99)</f>
        <v>15576000</v>
      </c>
      <c r="H150" s="50">
        <f t="shared" si="7"/>
        <v>-0.64040832049306629</v>
      </c>
      <c r="I150" s="49">
        <f>VLOOKUP($A150,'Data shares'!$C:$FB,66)</f>
        <v>6694125</v>
      </c>
      <c r="J150" s="49">
        <f>VLOOKUP($A150,'Data shares'!$C:$FB,67)</f>
        <v>4419375</v>
      </c>
      <c r="K150" s="50">
        <f t="shared" si="8"/>
        <v>33.981289563609884</v>
      </c>
      <c r="L150" s="50">
        <f>VLOOKUP($A150,'Data shares'!$C:$FB,118)</f>
        <v>0.77</v>
      </c>
      <c r="M150" s="50">
        <f>VLOOKUP($A150,'Data shares'!$C:$FB,119)</f>
        <v>0.75</v>
      </c>
      <c r="N150" s="50">
        <f>VLOOKUP($A150,'Data shares'!$C:$FB,121)*100</f>
        <v>2.67</v>
      </c>
      <c r="O150" s="50">
        <f>VLOOKUP($A150,'Data shares'!$C:$FB,124)</f>
        <v>0.75</v>
      </c>
      <c r="P150" s="50">
        <f>VLOOKUP($A150,'Data shares'!$C:$FB,125)</f>
        <v>0.59</v>
      </c>
      <c r="Q150" s="50">
        <f>VLOOKUP($A150,'Data shares'!$C:$FB,127)*100</f>
        <v>27.12</v>
      </c>
    </row>
    <row r="151" spans="1:17" x14ac:dyDescent="0.25">
      <c r="A151" s="97" t="str">
        <f>'Data Vlaue (Cr)'!C146</f>
        <v>NBCC</v>
      </c>
      <c r="B151" s="140">
        <f>VLOOKUP($A151,'Data shares'!$C:$FB,7)</f>
        <v>105.39</v>
      </c>
      <c r="C151" s="140">
        <f>VLOOKUP($A151,'Data shares'!$C:$FB,3)</f>
        <v>105.58</v>
      </c>
      <c r="D151" s="140">
        <f>VLOOKUP($A151,'Data shares'!$C:$FB,4)</f>
        <v>106.87</v>
      </c>
      <c r="E151" s="50">
        <f t="shared" si="6"/>
        <v>-1.2070740151586097</v>
      </c>
      <c r="F151" s="49">
        <f>VLOOKUP($A151,'Data shares'!$C:$FB,98)</f>
        <v>77655500</v>
      </c>
      <c r="G151" s="49">
        <f>VLOOKUP($A151,'Data shares'!$C:$FB,99)</f>
        <v>75289500</v>
      </c>
      <c r="H151" s="50">
        <f t="shared" si="7"/>
        <v>3.1425364758698096</v>
      </c>
      <c r="I151" s="49">
        <f>VLOOKUP($A151,'Data shares'!$C:$FB,66)</f>
        <v>22886500</v>
      </c>
      <c r="J151" s="49">
        <f>VLOOKUP($A151,'Data shares'!$C:$FB,67)</f>
        <v>13474500</v>
      </c>
      <c r="K151" s="50">
        <f t="shared" si="8"/>
        <v>41.124680488497582</v>
      </c>
      <c r="L151" s="50">
        <f>VLOOKUP($A151,'Data shares'!$C:$FB,118)</f>
        <v>0.48</v>
      </c>
      <c r="M151" s="50">
        <f>VLOOKUP($A151,'Data shares'!$C:$FB,119)</f>
        <v>0.5</v>
      </c>
      <c r="N151" s="50">
        <f>VLOOKUP($A151,'Data shares'!$C:$FB,121)*100</f>
        <v>-4</v>
      </c>
      <c r="O151" s="50">
        <f>VLOOKUP($A151,'Data shares'!$C:$FB,124)</f>
        <v>0.41</v>
      </c>
      <c r="P151" s="50">
        <f>VLOOKUP($A151,'Data shares'!$C:$FB,125)</f>
        <v>0.41</v>
      </c>
      <c r="Q151" s="50">
        <f>VLOOKUP($A151,'Data shares'!$C:$FB,127)*100</f>
        <v>0</v>
      </c>
    </row>
    <row r="152" spans="1:17" x14ac:dyDescent="0.25">
      <c r="A152" s="97" t="str">
        <f>'Data Vlaue (Cr)'!C147</f>
        <v>NCC</v>
      </c>
      <c r="B152" s="140">
        <f>VLOOKUP($A152,'Data shares'!$C:$FB,7)</f>
        <v>220.84</v>
      </c>
      <c r="C152" s="140">
        <f>VLOOKUP($A152,'Data shares'!$C:$FB,3)</f>
        <v>221.33</v>
      </c>
      <c r="D152" s="140">
        <f>VLOOKUP($A152,'Data shares'!$C:$FB,4)</f>
        <v>223.01</v>
      </c>
      <c r="E152" s="50">
        <f t="shared" si="6"/>
        <v>-0.7533294471099854</v>
      </c>
      <c r="F152" s="49">
        <f>VLOOKUP($A152,'Data shares'!$C:$FB,98)</f>
        <v>28158300</v>
      </c>
      <c r="G152" s="49">
        <f>VLOOKUP($A152,'Data shares'!$C:$FB,99)</f>
        <v>27337500</v>
      </c>
      <c r="H152" s="50">
        <f t="shared" si="7"/>
        <v>3.0024691358024693</v>
      </c>
      <c r="I152" s="49">
        <f>VLOOKUP($A152,'Data shares'!$C:$FB,66)</f>
        <v>8351100</v>
      </c>
      <c r="J152" s="49">
        <f>VLOOKUP($A152,'Data shares'!$C:$FB,67)</f>
        <v>11385900</v>
      </c>
      <c r="K152" s="50">
        <f t="shared" si="8"/>
        <v>-36.340122858066607</v>
      </c>
      <c r="L152" s="50">
        <f>VLOOKUP($A152,'Data shares'!$C:$FB,118)</f>
        <v>0.73</v>
      </c>
      <c r="M152" s="50">
        <f>VLOOKUP($A152,'Data shares'!$C:$FB,119)</f>
        <v>0.78</v>
      </c>
      <c r="N152" s="50">
        <f>VLOOKUP($A152,'Data shares'!$C:$FB,121)*100</f>
        <v>-6.41</v>
      </c>
      <c r="O152" s="50">
        <f>VLOOKUP($A152,'Data shares'!$C:$FB,124)</f>
        <v>0.4</v>
      </c>
      <c r="P152" s="50">
        <f>VLOOKUP($A152,'Data shares'!$C:$FB,125)</f>
        <v>0.59</v>
      </c>
      <c r="Q152" s="50">
        <f>VLOOKUP($A152,'Data shares'!$C:$FB,127)*100</f>
        <v>-32.200000000000003</v>
      </c>
    </row>
    <row r="153" spans="1:17" x14ac:dyDescent="0.25">
      <c r="A153" s="97" t="str">
        <f>'Data Vlaue (Cr)'!C148</f>
        <v>NESTLEIND</v>
      </c>
      <c r="B153" s="140">
        <f>VLOOKUP($A153,'Data shares'!$C:$FB,7)</f>
        <v>1190.3</v>
      </c>
      <c r="C153" s="140">
        <f>VLOOKUP($A153,'Data shares'!$C:$FB,3)</f>
        <v>1191.3</v>
      </c>
      <c r="D153" s="140">
        <f>VLOOKUP($A153,'Data shares'!$C:$FB,4)</f>
        <v>1163.5</v>
      </c>
      <c r="E153" s="50">
        <f t="shared" si="6"/>
        <v>2.3893425010743408</v>
      </c>
      <c r="F153" s="49">
        <f>VLOOKUP($A153,'Data shares'!$C:$FB,98)</f>
        <v>29608000</v>
      </c>
      <c r="G153" s="49">
        <f>VLOOKUP($A153,'Data shares'!$C:$FB,99)</f>
        <v>28481000</v>
      </c>
      <c r="H153" s="50">
        <f t="shared" si="7"/>
        <v>3.9570239808995469</v>
      </c>
      <c r="I153" s="49">
        <f>VLOOKUP($A153,'Data shares'!$C:$FB,66)</f>
        <v>22766000</v>
      </c>
      <c r="J153" s="49">
        <f>VLOOKUP($A153,'Data shares'!$C:$FB,67)</f>
        <v>15384000</v>
      </c>
      <c r="K153" s="50">
        <f t="shared" si="8"/>
        <v>32.425546868136692</v>
      </c>
      <c r="L153" s="50">
        <f>VLOOKUP($A153,'Data shares'!$C:$FB,118)</f>
        <v>0.86</v>
      </c>
      <c r="M153" s="50">
        <f>VLOOKUP($A153,'Data shares'!$C:$FB,119)</f>
        <v>0.77</v>
      </c>
      <c r="N153" s="50">
        <f>VLOOKUP($A153,'Data shares'!$C:$FB,121)*100</f>
        <v>11.690000000000001</v>
      </c>
      <c r="O153" s="50">
        <f>VLOOKUP($A153,'Data shares'!$C:$FB,124)</f>
        <v>0.34</v>
      </c>
      <c r="P153" s="50">
        <f>VLOOKUP($A153,'Data shares'!$C:$FB,125)</f>
        <v>0.59</v>
      </c>
      <c r="Q153" s="50">
        <f>VLOOKUP($A153,'Data shares'!$C:$FB,127)*100</f>
        <v>-42.370000000000005</v>
      </c>
    </row>
    <row r="154" spans="1:17" x14ac:dyDescent="0.25">
      <c r="A154" s="97" t="str">
        <f>'Data Vlaue (Cr)'!C149</f>
        <v>NHPC</v>
      </c>
      <c r="B154" s="140">
        <f>VLOOKUP($A154,'Data shares'!$C:$FB,7)</f>
        <v>82.76</v>
      </c>
      <c r="C154" s="140">
        <f>VLOOKUP($A154,'Data shares'!$C:$FB,3)</f>
        <v>83.09</v>
      </c>
      <c r="D154" s="140">
        <f>VLOOKUP($A154,'Data shares'!$C:$FB,4)</f>
        <v>82.31</v>
      </c>
      <c r="E154" s="50">
        <f t="shared" si="6"/>
        <v>0.94763698214068903</v>
      </c>
      <c r="F154" s="49">
        <f>VLOOKUP($A154,'Data shares'!$C:$FB,98)</f>
        <v>87366400</v>
      </c>
      <c r="G154" s="49">
        <f>VLOOKUP($A154,'Data shares'!$C:$FB,99)</f>
        <v>87488000</v>
      </c>
      <c r="H154" s="50">
        <f t="shared" si="7"/>
        <v>-0.13899049012435991</v>
      </c>
      <c r="I154" s="49">
        <f>VLOOKUP($A154,'Data shares'!$C:$FB,66)</f>
        <v>31366400</v>
      </c>
      <c r="J154" s="49">
        <f>VLOOKUP($A154,'Data shares'!$C:$FB,67)</f>
        <v>24313600</v>
      </c>
      <c r="K154" s="50">
        <f t="shared" si="8"/>
        <v>22.485207100591715</v>
      </c>
      <c r="L154" s="50">
        <f>VLOOKUP($A154,'Data shares'!$C:$FB,118)</f>
        <v>0.62</v>
      </c>
      <c r="M154" s="50">
        <f>VLOOKUP($A154,'Data shares'!$C:$FB,119)</f>
        <v>0.56999999999999995</v>
      </c>
      <c r="N154" s="50">
        <f>VLOOKUP($A154,'Data shares'!$C:$FB,121)*100</f>
        <v>8.77</v>
      </c>
      <c r="O154" s="50">
        <f>VLOOKUP($A154,'Data shares'!$C:$FB,124)</f>
        <v>0.52</v>
      </c>
      <c r="P154" s="50">
        <f>VLOOKUP($A154,'Data shares'!$C:$FB,125)</f>
        <v>0.5</v>
      </c>
      <c r="Q154" s="50">
        <f>VLOOKUP($A154,'Data shares'!$C:$FB,127)*100</f>
        <v>4</v>
      </c>
    </row>
    <row r="155" spans="1:17" x14ac:dyDescent="0.25">
      <c r="A155" s="97" t="str">
        <f>'Data Vlaue (Cr)'!C150</f>
        <v>NIFTY</v>
      </c>
      <c r="B155" s="140">
        <f>VLOOKUP($A155,'Data shares'!$C:$FB,7)</f>
        <v>25050.55</v>
      </c>
      <c r="C155" s="140">
        <f>VLOOKUP($A155,'Data shares'!$C:$FB,3)</f>
        <v>25083.3</v>
      </c>
      <c r="D155" s="140">
        <f>VLOOKUP($A155,'Data shares'!$C:$FB,4)</f>
        <v>25033.5</v>
      </c>
      <c r="E155" s="50">
        <f t="shared" si="6"/>
        <v>0.19893342920486259</v>
      </c>
      <c r="F155" s="49">
        <f>VLOOKUP($A155,'Data shares'!$C:$FB,98)</f>
        <v>559665925</v>
      </c>
      <c r="G155" s="49">
        <f>VLOOKUP($A155,'Data shares'!$C:$FB,99)</f>
        <v>483453825</v>
      </c>
      <c r="H155" s="50">
        <f t="shared" si="7"/>
        <v>15.764090810533974</v>
      </c>
      <c r="I155" s="49">
        <f>VLOOKUP($A155,'Data shares'!$C:$FB,66)</f>
        <v>7181374125</v>
      </c>
      <c r="J155" s="49">
        <f>VLOOKUP($A155,'Data shares'!$C:$FB,67)</f>
        <v>4307629875</v>
      </c>
      <c r="K155" s="50">
        <f t="shared" si="8"/>
        <v>40.016634699421125</v>
      </c>
      <c r="L155" s="50">
        <f>VLOOKUP($A155,'Data shares'!$C:$FB,118)</f>
        <v>1.28</v>
      </c>
      <c r="M155" s="50">
        <f>VLOOKUP($A155,'Data shares'!$C:$FB,119)</f>
        <v>1.1399999999999999</v>
      </c>
      <c r="N155" s="50">
        <f>VLOOKUP($A155,'Data shares'!$C:$FB,121)*100</f>
        <v>12.280000000000001</v>
      </c>
      <c r="O155" s="50">
        <f>VLOOKUP($A155,'Data shares'!$C:$FB,124)</f>
        <v>0.82</v>
      </c>
      <c r="P155" s="50">
        <f>VLOOKUP($A155,'Data shares'!$C:$FB,125)</f>
        <v>0.82</v>
      </c>
      <c r="Q155" s="50">
        <f>VLOOKUP($A155,'Data shares'!$C:$FB,127)*100</f>
        <v>0</v>
      </c>
    </row>
    <row r="156" spans="1:17" x14ac:dyDescent="0.25">
      <c r="A156" s="97" t="str">
        <f>'Data Vlaue (Cr)'!C151</f>
        <v>NIFTYNXT50</v>
      </c>
      <c r="B156" s="140">
        <f>VLOOKUP($A156,'Data shares'!$C:$FB,7)</f>
        <v>68164.3</v>
      </c>
      <c r="C156" s="140">
        <f>VLOOKUP($A156,'Data shares'!$C:$FB,3)</f>
        <v>68205</v>
      </c>
      <c r="D156" s="140">
        <f>VLOOKUP($A156,'Data shares'!$C:$FB,4)</f>
        <v>67971.600000000006</v>
      </c>
      <c r="E156" s="50">
        <f t="shared" si="6"/>
        <v>0.34337870522393787</v>
      </c>
      <c r="F156" s="49">
        <f>VLOOKUP($A156,'Data shares'!$C:$FB,98)</f>
        <v>37925</v>
      </c>
      <c r="G156" s="49">
        <f>VLOOKUP($A156,'Data shares'!$C:$FB,99)</f>
        <v>36000</v>
      </c>
      <c r="H156" s="50">
        <f t="shared" si="7"/>
        <v>5.3472222222222223</v>
      </c>
      <c r="I156" s="49">
        <f>VLOOKUP($A156,'Data shares'!$C:$FB,66)</f>
        <v>23225</v>
      </c>
      <c r="J156" s="49">
        <f>VLOOKUP($A156,'Data shares'!$C:$FB,67)</f>
        <v>14725</v>
      </c>
      <c r="K156" s="50">
        <f t="shared" si="8"/>
        <v>36.598493003229279</v>
      </c>
      <c r="L156" s="50">
        <f>VLOOKUP($A156,'Data shares'!$C:$FB,118)</f>
        <v>0.54</v>
      </c>
      <c r="M156" s="50">
        <f>VLOOKUP($A156,'Data shares'!$C:$FB,119)</f>
        <v>0.6</v>
      </c>
      <c r="N156" s="50">
        <f>VLOOKUP($A156,'Data shares'!$C:$FB,121)*100</f>
        <v>-10</v>
      </c>
      <c r="O156" s="50">
        <f>VLOOKUP($A156,'Data shares'!$C:$FB,124)</f>
        <v>0.43</v>
      </c>
      <c r="P156" s="50">
        <f>VLOOKUP($A156,'Data shares'!$C:$FB,125)</f>
        <v>1.06</v>
      </c>
      <c r="Q156" s="50">
        <f>VLOOKUP($A156,'Data shares'!$C:$FB,127)*100</f>
        <v>-59.430000000000007</v>
      </c>
    </row>
    <row r="157" spans="1:17" x14ac:dyDescent="0.25">
      <c r="A157" s="97" t="str">
        <f>'Data Vlaue (Cr)'!C152</f>
        <v>NMDC</v>
      </c>
      <c r="B157" s="140">
        <f>VLOOKUP($A157,'Data shares'!$C:$FB,7)</f>
        <v>71.819999999999993</v>
      </c>
      <c r="C157" s="140">
        <f>VLOOKUP($A157,'Data shares'!$C:$FB,3)</f>
        <v>72.12</v>
      </c>
      <c r="D157" s="140">
        <f>VLOOKUP($A157,'Data shares'!$C:$FB,4)</f>
        <v>70.92</v>
      </c>
      <c r="E157" s="50">
        <f t="shared" si="6"/>
        <v>1.692047377326569</v>
      </c>
      <c r="F157" s="49">
        <f>VLOOKUP($A157,'Data shares'!$C:$FB,98)</f>
        <v>489510000</v>
      </c>
      <c r="G157" s="49">
        <f>VLOOKUP($A157,'Data shares'!$C:$FB,99)</f>
        <v>490468500</v>
      </c>
      <c r="H157" s="50">
        <f t="shared" si="7"/>
        <v>-0.19542539429137654</v>
      </c>
      <c r="I157" s="49">
        <f>VLOOKUP($A157,'Data shares'!$C:$FB,66)</f>
        <v>403596000</v>
      </c>
      <c r="J157" s="49">
        <f>VLOOKUP($A157,'Data shares'!$C:$FB,67)</f>
        <v>186759000</v>
      </c>
      <c r="K157" s="50">
        <f t="shared" si="8"/>
        <v>53.72625100347873</v>
      </c>
      <c r="L157" s="50">
        <f>VLOOKUP($A157,'Data shares'!$C:$FB,118)</f>
        <v>0.77</v>
      </c>
      <c r="M157" s="50">
        <f>VLOOKUP($A157,'Data shares'!$C:$FB,119)</f>
        <v>0.73</v>
      </c>
      <c r="N157" s="50">
        <f>VLOOKUP($A157,'Data shares'!$C:$FB,121)*100</f>
        <v>5.48</v>
      </c>
      <c r="O157" s="50">
        <f>VLOOKUP($A157,'Data shares'!$C:$FB,124)</f>
        <v>0.39</v>
      </c>
      <c r="P157" s="50">
        <f>VLOOKUP($A157,'Data shares'!$C:$FB,125)</f>
        <v>0.61</v>
      </c>
      <c r="Q157" s="50">
        <f>VLOOKUP($A157,'Data shares'!$C:$FB,127)*100</f>
        <v>-36.07</v>
      </c>
    </row>
    <row r="158" spans="1:17" x14ac:dyDescent="0.25">
      <c r="A158" s="97" t="str">
        <f>'Data Vlaue (Cr)'!C153</f>
        <v>NTPC</v>
      </c>
      <c r="B158" s="140">
        <f>VLOOKUP($A158,'Data shares'!$C:$FB,7)</f>
        <v>342</v>
      </c>
      <c r="C158" s="140">
        <f>VLOOKUP($A158,'Data shares'!$C:$FB,3)</f>
        <v>342.15</v>
      </c>
      <c r="D158" s="140">
        <f>VLOOKUP($A158,'Data shares'!$C:$FB,4)</f>
        <v>335.95</v>
      </c>
      <c r="E158" s="50">
        <f t="shared" si="6"/>
        <v>1.8455127251078995</v>
      </c>
      <c r="F158" s="49">
        <f>VLOOKUP($A158,'Data shares'!$C:$FB,98)</f>
        <v>173149500</v>
      </c>
      <c r="G158" s="49">
        <f>VLOOKUP($A158,'Data shares'!$C:$FB,99)</f>
        <v>162936000</v>
      </c>
      <c r="H158" s="50">
        <f t="shared" si="7"/>
        <v>6.2684121372808956</v>
      </c>
      <c r="I158" s="49">
        <f>VLOOKUP($A158,'Data shares'!$C:$FB,66)</f>
        <v>158029500</v>
      </c>
      <c r="J158" s="49">
        <f>VLOOKUP($A158,'Data shares'!$C:$FB,67)</f>
        <v>80083500</v>
      </c>
      <c r="K158" s="50">
        <f t="shared" si="8"/>
        <v>49.323702220155099</v>
      </c>
      <c r="L158" s="50">
        <f>VLOOKUP($A158,'Data shares'!$C:$FB,118)</f>
        <v>0.51</v>
      </c>
      <c r="M158" s="50">
        <f>VLOOKUP($A158,'Data shares'!$C:$FB,119)</f>
        <v>0.43</v>
      </c>
      <c r="N158" s="50">
        <f>VLOOKUP($A158,'Data shares'!$C:$FB,121)*100</f>
        <v>18.600000000000001</v>
      </c>
      <c r="O158" s="50">
        <f>VLOOKUP($A158,'Data shares'!$C:$FB,124)</f>
        <v>0.31</v>
      </c>
      <c r="P158" s="50">
        <f>VLOOKUP($A158,'Data shares'!$C:$FB,125)</f>
        <v>0.5</v>
      </c>
      <c r="Q158" s="50">
        <f>VLOOKUP($A158,'Data shares'!$C:$FB,127)*100</f>
        <v>-38</v>
      </c>
    </row>
    <row r="159" spans="1:17" x14ac:dyDescent="0.25">
      <c r="A159" s="97" t="str">
        <f>'Data Vlaue (Cr)'!C154</f>
        <v>NUVAMA</v>
      </c>
      <c r="B159" s="140">
        <f>VLOOKUP($A159,'Data shares'!$C:$FB,7)</f>
        <v>6854.5</v>
      </c>
      <c r="C159" s="140">
        <f>VLOOKUP($A159,'Data shares'!$C:$FB,3)</f>
        <v>6857</v>
      </c>
      <c r="D159" s="140">
        <f>VLOOKUP($A159,'Data shares'!$C:$FB,4)</f>
        <v>6796</v>
      </c>
      <c r="E159" s="50">
        <f t="shared" si="6"/>
        <v>0.89758681577398469</v>
      </c>
      <c r="F159" s="49">
        <f>VLOOKUP($A159,'Data shares'!$C:$FB,98)</f>
        <v>710475</v>
      </c>
      <c r="G159" s="49">
        <f>VLOOKUP($A159,'Data shares'!$C:$FB,99)</f>
        <v>840825</v>
      </c>
      <c r="H159" s="50">
        <f t="shared" si="7"/>
        <v>-15.502631344215503</v>
      </c>
      <c r="I159" s="49">
        <f>VLOOKUP($A159,'Data shares'!$C:$FB,66)</f>
        <v>1665150</v>
      </c>
      <c r="J159" s="49">
        <f>VLOOKUP($A159,'Data shares'!$C:$FB,67)</f>
        <v>1346325</v>
      </c>
      <c r="K159" s="50">
        <f t="shared" si="8"/>
        <v>19.146923700567516</v>
      </c>
      <c r="L159" s="50">
        <f>VLOOKUP($A159,'Data shares'!$C:$FB,118)</f>
        <v>0.62</v>
      </c>
      <c r="M159" s="50">
        <f>VLOOKUP($A159,'Data shares'!$C:$FB,119)</f>
        <v>0.48</v>
      </c>
      <c r="N159" s="50">
        <f>VLOOKUP($A159,'Data shares'!$C:$FB,121)*100</f>
        <v>29.17</v>
      </c>
      <c r="O159" s="50">
        <f>VLOOKUP($A159,'Data shares'!$C:$FB,124)</f>
        <v>0.5</v>
      </c>
      <c r="P159" s="50">
        <f>VLOOKUP($A159,'Data shares'!$C:$FB,125)</f>
        <v>0.92</v>
      </c>
      <c r="Q159" s="50">
        <f>VLOOKUP($A159,'Data shares'!$C:$FB,127)*100</f>
        <v>-45.65</v>
      </c>
    </row>
    <row r="160" spans="1:17" x14ac:dyDescent="0.25">
      <c r="A160" s="97" t="str">
        <f>'Data Vlaue (Cr)'!C155</f>
        <v>NYKAA</v>
      </c>
      <c r="B160" s="140">
        <f>VLOOKUP($A160,'Data shares'!$C:$FB,7)</f>
        <v>225.18</v>
      </c>
      <c r="C160" s="140">
        <f>VLOOKUP($A160,'Data shares'!$C:$FB,3)</f>
        <v>224.49</v>
      </c>
      <c r="D160" s="140">
        <f>VLOOKUP($A160,'Data shares'!$C:$FB,4)</f>
        <v>225.82</v>
      </c>
      <c r="E160" s="50">
        <f t="shared" si="6"/>
        <v>-0.58896466212026577</v>
      </c>
      <c r="F160" s="49">
        <f>VLOOKUP($A160,'Data shares'!$C:$FB,98)</f>
        <v>81337500</v>
      </c>
      <c r="G160" s="49">
        <f>VLOOKUP($A160,'Data shares'!$C:$FB,99)</f>
        <v>80903125</v>
      </c>
      <c r="H160" s="50">
        <f t="shared" si="7"/>
        <v>0.53690756692031361</v>
      </c>
      <c r="I160" s="49">
        <f>VLOOKUP($A160,'Data shares'!$C:$FB,66)</f>
        <v>54062500</v>
      </c>
      <c r="J160" s="49">
        <f>VLOOKUP($A160,'Data shares'!$C:$FB,67)</f>
        <v>94650000</v>
      </c>
      <c r="K160" s="50">
        <f t="shared" si="8"/>
        <v>-75.075144508670519</v>
      </c>
      <c r="L160" s="50">
        <f>VLOOKUP($A160,'Data shares'!$C:$FB,118)</f>
        <v>0.8</v>
      </c>
      <c r="M160" s="50">
        <f>VLOOKUP($A160,'Data shares'!$C:$FB,119)</f>
        <v>0.75</v>
      </c>
      <c r="N160" s="50">
        <f>VLOOKUP($A160,'Data shares'!$C:$FB,121)*100</f>
        <v>6.67</v>
      </c>
      <c r="O160" s="50">
        <f>VLOOKUP($A160,'Data shares'!$C:$FB,124)</f>
        <v>0.39</v>
      </c>
      <c r="P160" s="50">
        <f>VLOOKUP($A160,'Data shares'!$C:$FB,125)</f>
        <v>0.31</v>
      </c>
      <c r="Q160" s="50">
        <f>VLOOKUP($A160,'Data shares'!$C:$FB,127)*100</f>
        <v>25.81</v>
      </c>
    </row>
    <row r="161" spans="1:17" x14ac:dyDescent="0.25">
      <c r="A161" s="97" t="str">
        <f>'Data Vlaue (Cr)'!C156</f>
        <v>OBEROIRLTY</v>
      </c>
      <c r="B161" s="140">
        <f>VLOOKUP($A161,'Data shares'!$C:$FB,7)</f>
        <v>1656.9</v>
      </c>
      <c r="C161" s="140">
        <f>VLOOKUP($A161,'Data shares'!$C:$FB,3)</f>
        <v>1660.9</v>
      </c>
      <c r="D161" s="140">
        <f>VLOOKUP($A161,'Data shares'!$C:$FB,4)</f>
        <v>1652.1</v>
      </c>
      <c r="E161" s="50">
        <f t="shared" si="6"/>
        <v>0.53265540826827562</v>
      </c>
      <c r="F161" s="49">
        <f>VLOOKUP($A161,'Data shares'!$C:$FB,98)</f>
        <v>7815500</v>
      </c>
      <c r="G161" s="49">
        <f>VLOOKUP($A161,'Data shares'!$C:$FB,99)</f>
        <v>7672350</v>
      </c>
      <c r="H161" s="50">
        <f t="shared" si="7"/>
        <v>1.8657907942155925</v>
      </c>
      <c r="I161" s="49">
        <f>VLOOKUP($A161,'Data shares'!$C:$FB,66)</f>
        <v>2996350</v>
      </c>
      <c r="J161" s="49">
        <f>VLOOKUP($A161,'Data shares'!$C:$FB,67)</f>
        <v>2295650</v>
      </c>
      <c r="K161" s="50">
        <f t="shared" si="8"/>
        <v>23.385118560915778</v>
      </c>
      <c r="L161" s="50">
        <f>VLOOKUP($A161,'Data shares'!$C:$FB,118)</f>
        <v>0.56000000000000005</v>
      </c>
      <c r="M161" s="50">
        <f>VLOOKUP($A161,'Data shares'!$C:$FB,119)</f>
        <v>0.63</v>
      </c>
      <c r="N161" s="50">
        <f>VLOOKUP($A161,'Data shares'!$C:$FB,121)*100</f>
        <v>-11.110000000000001</v>
      </c>
      <c r="O161" s="50">
        <f>VLOOKUP($A161,'Data shares'!$C:$FB,124)</f>
        <v>0.25</v>
      </c>
      <c r="P161" s="50">
        <f>VLOOKUP($A161,'Data shares'!$C:$FB,125)</f>
        <v>0.63</v>
      </c>
      <c r="Q161" s="50">
        <f>VLOOKUP($A161,'Data shares'!$C:$FB,127)*100</f>
        <v>-60.319999999999993</v>
      </c>
    </row>
    <row r="162" spans="1:17" x14ac:dyDescent="0.25">
      <c r="A162" s="97" t="str">
        <f>'Data Vlaue (Cr)'!C157</f>
        <v>OFSS</v>
      </c>
      <c r="B162" s="140">
        <f>VLOOKUP($A162,'Data shares'!$C:$FB,7)</f>
        <v>8763</v>
      </c>
      <c r="C162" s="140">
        <f>VLOOKUP($A162,'Data shares'!$C:$FB,3)</f>
        <v>8791</v>
      </c>
      <c r="D162" s="140">
        <f>VLOOKUP($A162,'Data shares'!$C:$FB,4)</f>
        <v>8632.5</v>
      </c>
      <c r="E162" s="50">
        <f t="shared" si="6"/>
        <v>1.8360845641471186</v>
      </c>
      <c r="F162" s="49">
        <f>VLOOKUP($A162,'Data shares'!$C:$FB,98)</f>
        <v>1551375</v>
      </c>
      <c r="G162" s="49">
        <f>VLOOKUP($A162,'Data shares'!$C:$FB,99)</f>
        <v>1466850</v>
      </c>
      <c r="H162" s="50">
        <f t="shared" si="7"/>
        <v>5.7623478883321404</v>
      </c>
      <c r="I162" s="49">
        <f>VLOOKUP($A162,'Data shares'!$C:$FB,66)</f>
        <v>2551350</v>
      </c>
      <c r="J162" s="49">
        <f>VLOOKUP($A162,'Data shares'!$C:$FB,67)</f>
        <v>782325</v>
      </c>
      <c r="K162" s="50">
        <f t="shared" si="8"/>
        <v>69.3368216826386</v>
      </c>
      <c r="L162" s="50">
        <f>VLOOKUP($A162,'Data shares'!$C:$FB,118)</f>
        <v>0.57999999999999996</v>
      </c>
      <c r="M162" s="50">
        <f>VLOOKUP($A162,'Data shares'!$C:$FB,119)</f>
        <v>0.49</v>
      </c>
      <c r="N162" s="50">
        <f>VLOOKUP($A162,'Data shares'!$C:$FB,121)*100</f>
        <v>18.37</v>
      </c>
      <c r="O162" s="50">
        <f>VLOOKUP($A162,'Data shares'!$C:$FB,124)</f>
        <v>0.34</v>
      </c>
      <c r="P162" s="50">
        <f>VLOOKUP($A162,'Data shares'!$C:$FB,125)</f>
        <v>0.23</v>
      </c>
      <c r="Q162" s="50">
        <f>VLOOKUP($A162,'Data shares'!$C:$FB,127)*100</f>
        <v>47.83</v>
      </c>
    </row>
    <row r="163" spans="1:17" x14ac:dyDescent="0.25">
      <c r="A163" s="97" t="str">
        <f>'Data Vlaue (Cr)'!C158</f>
        <v>OIL</v>
      </c>
      <c r="B163" s="140">
        <f>VLOOKUP($A163,'Data shares'!$C:$FB,7)</f>
        <v>408</v>
      </c>
      <c r="C163" s="140">
        <f>VLOOKUP($A163,'Data shares'!$C:$FB,3)</f>
        <v>407.65</v>
      </c>
      <c r="D163" s="140">
        <f>VLOOKUP($A163,'Data shares'!$C:$FB,4)</f>
        <v>408.4</v>
      </c>
      <c r="E163" s="50">
        <f t="shared" si="6"/>
        <v>-0.18364348677766895</v>
      </c>
      <c r="F163" s="49">
        <f>VLOOKUP($A163,'Data shares'!$C:$FB,98)</f>
        <v>21571200</v>
      </c>
      <c r="G163" s="49">
        <f>VLOOKUP($A163,'Data shares'!$C:$FB,99)</f>
        <v>20823600</v>
      </c>
      <c r="H163" s="50">
        <f t="shared" si="7"/>
        <v>3.5901573215006053</v>
      </c>
      <c r="I163" s="49">
        <f>VLOOKUP($A163,'Data shares'!$C:$FB,66)</f>
        <v>8443400</v>
      </c>
      <c r="J163" s="49">
        <f>VLOOKUP($A163,'Data shares'!$C:$FB,67)</f>
        <v>7855400</v>
      </c>
      <c r="K163" s="50">
        <f t="shared" si="8"/>
        <v>6.9640192339578837</v>
      </c>
      <c r="L163" s="50">
        <f>VLOOKUP($A163,'Data shares'!$C:$FB,118)</f>
        <v>0.54</v>
      </c>
      <c r="M163" s="50">
        <f>VLOOKUP($A163,'Data shares'!$C:$FB,119)</f>
        <v>0.52</v>
      </c>
      <c r="N163" s="50">
        <f>VLOOKUP($A163,'Data shares'!$C:$FB,121)*100</f>
        <v>3.85</v>
      </c>
      <c r="O163" s="50">
        <f>VLOOKUP($A163,'Data shares'!$C:$FB,124)</f>
        <v>0.43</v>
      </c>
      <c r="P163" s="50">
        <f>VLOOKUP($A163,'Data shares'!$C:$FB,125)</f>
        <v>0.38</v>
      </c>
      <c r="Q163" s="50">
        <f>VLOOKUP($A163,'Data shares'!$C:$FB,127)*100</f>
        <v>13.16</v>
      </c>
    </row>
    <row r="164" spans="1:17" x14ac:dyDescent="0.25">
      <c r="A164" s="97" t="str">
        <f>'Data Vlaue (Cr)'!C159</f>
        <v>ONGC</v>
      </c>
      <c r="B164" s="140">
        <f>VLOOKUP($A164,'Data shares'!$C:$FB,7)</f>
        <v>237.93</v>
      </c>
      <c r="C164" s="140">
        <f>VLOOKUP($A164,'Data shares'!$C:$FB,3)</f>
        <v>238.57</v>
      </c>
      <c r="D164" s="140">
        <f>VLOOKUP($A164,'Data shares'!$C:$FB,4)</f>
        <v>238.67</v>
      </c>
      <c r="E164" s="50">
        <f t="shared" si="6"/>
        <v>-4.1898856161224421E-2</v>
      </c>
      <c r="F164" s="49">
        <f>VLOOKUP($A164,'Data shares'!$C:$FB,98)</f>
        <v>158827500</v>
      </c>
      <c r="G164" s="49">
        <f>VLOOKUP($A164,'Data shares'!$C:$FB,99)</f>
        <v>155526750</v>
      </c>
      <c r="H164" s="50">
        <f t="shared" si="7"/>
        <v>2.1223037194566206</v>
      </c>
      <c r="I164" s="49">
        <f>VLOOKUP($A164,'Data shares'!$C:$FB,66)</f>
        <v>63893250</v>
      </c>
      <c r="J164" s="49">
        <f>VLOOKUP($A164,'Data shares'!$C:$FB,67)</f>
        <v>45033750</v>
      </c>
      <c r="K164" s="50">
        <f t="shared" si="8"/>
        <v>29.517202521393106</v>
      </c>
      <c r="L164" s="50">
        <f>VLOOKUP($A164,'Data shares'!$C:$FB,118)</f>
        <v>0.41</v>
      </c>
      <c r="M164" s="50">
        <f>VLOOKUP($A164,'Data shares'!$C:$FB,119)</f>
        <v>0.43</v>
      </c>
      <c r="N164" s="50">
        <f>VLOOKUP($A164,'Data shares'!$C:$FB,121)*100</f>
        <v>-4.6500000000000004</v>
      </c>
      <c r="O164" s="50">
        <f>VLOOKUP($A164,'Data shares'!$C:$FB,124)</f>
        <v>0.37</v>
      </c>
      <c r="P164" s="50">
        <f>VLOOKUP($A164,'Data shares'!$C:$FB,125)</f>
        <v>0.53</v>
      </c>
      <c r="Q164" s="50">
        <f>VLOOKUP($A164,'Data shares'!$C:$FB,127)*100</f>
        <v>-30.19</v>
      </c>
    </row>
    <row r="165" spans="1:17" x14ac:dyDescent="0.25">
      <c r="A165" s="97" t="str">
        <f>'Data Vlaue (Cr)'!C160</f>
        <v>PAGEIND</v>
      </c>
      <c r="B165" s="140">
        <f>VLOOKUP($A165,'Data shares'!$C:$FB,7)</f>
        <v>45385</v>
      </c>
      <c r="C165" s="140">
        <f>VLOOKUP($A165,'Data shares'!$C:$FB,3)</f>
        <v>45485</v>
      </c>
      <c r="D165" s="140">
        <f>VLOOKUP($A165,'Data shares'!$C:$FB,4)</f>
        <v>45720</v>
      </c>
      <c r="E165" s="50">
        <f t="shared" si="6"/>
        <v>-0.51399825021872259</v>
      </c>
      <c r="F165" s="49">
        <f>VLOOKUP($A165,'Data shares'!$C:$FB,98)</f>
        <v>448245</v>
      </c>
      <c r="G165" s="49">
        <f>VLOOKUP($A165,'Data shares'!$C:$FB,99)</f>
        <v>436980</v>
      </c>
      <c r="H165" s="50">
        <f t="shared" si="7"/>
        <v>2.5779211863243168</v>
      </c>
      <c r="I165" s="49">
        <f>VLOOKUP($A165,'Data shares'!$C:$FB,66)</f>
        <v>244950</v>
      </c>
      <c r="J165" s="49">
        <f>VLOOKUP($A165,'Data shares'!$C:$FB,67)</f>
        <v>346710</v>
      </c>
      <c r="K165" s="50">
        <f t="shared" si="8"/>
        <v>-41.543172075933867</v>
      </c>
      <c r="L165" s="50">
        <f>VLOOKUP($A165,'Data shares'!$C:$FB,118)</f>
        <v>0.34</v>
      </c>
      <c r="M165" s="50">
        <f>VLOOKUP($A165,'Data shares'!$C:$FB,119)</f>
        <v>0.35</v>
      </c>
      <c r="N165" s="50">
        <f>VLOOKUP($A165,'Data shares'!$C:$FB,121)*100</f>
        <v>-2.86</v>
      </c>
      <c r="O165" s="50">
        <f>VLOOKUP($A165,'Data shares'!$C:$FB,124)</f>
        <v>0.51</v>
      </c>
      <c r="P165" s="50">
        <f>VLOOKUP($A165,'Data shares'!$C:$FB,125)</f>
        <v>0.45</v>
      </c>
      <c r="Q165" s="50">
        <f>VLOOKUP($A165,'Data shares'!$C:$FB,127)*100</f>
        <v>13.33</v>
      </c>
    </row>
    <row r="166" spans="1:17" x14ac:dyDescent="0.25">
      <c r="A166" s="97" t="str">
        <f>'Data Vlaue (Cr)'!C161</f>
        <v>PATANJALI</v>
      </c>
      <c r="B166" s="140">
        <f>VLOOKUP($A166,'Data shares'!$C:$FB,7)</f>
        <v>1813.8</v>
      </c>
      <c r="C166" s="140">
        <f>VLOOKUP($A166,'Data shares'!$C:$FB,3)</f>
        <v>1818.1</v>
      </c>
      <c r="D166" s="140">
        <f>VLOOKUP($A166,'Data shares'!$C:$FB,4)</f>
        <v>1796.4</v>
      </c>
      <c r="E166" s="50">
        <f t="shared" si="6"/>
        <v>1.2079714985526508</v>
      </c>
      <c r="F166" s="49">
        <f>VLOOKUP($A166,'Data shares'!$C:$FB,98)</f>
        <v>15084600</v>
      </c>
      <c r="G166" s="49">
        <f>VLOOKUP($A166,'Data shares'!$C:$FB,99)</f>
        <v>14958600</v>
      </c>
      <c r="H166" s="50">
        <f t="shared" si="7"/>
        <v>0.84232481649352209</v>
      </c>
      <c r="I166" s="49">
        <f>VLOOKUP($A166,'Data shares'!$C:$FB,66)</f>
        <v>6134700</v>
      </c>
      <c r="J166" s="49">
        <f>VLOOKUP($A166,'Data shares'!$C:$FB,67)</f>
        <v>6315600</v>
      </c>
      <c r="K166" s="50">
        <f t="shared" si="8"/>
        <v>-2.948799452295956</v>
      </c>
      <c r="L166" s="50">
        <f>VLOOKUP($A166,'Data shares'!$C:$FB,118)</f>
        <v>0.44</v>
      </c>
      <c r="M166" s="50">
        <f>VLOOKUP($A166,'Data shares'!$C:$FB,119)</f>
        <v>0.45</v>
      </c>
      <c r="N166" s="50">
        <f>VLOOKUP($A166,'Data shares'!$C:$FB,121)*100</f>
        <v>-2.2200000000000002</v>
      </c>
      <c r="O166" s="50">
        <f>VLOOKUP($A166,'Data shares'!$C:$FB,124)</f>
        <v>0.28000000000000003</v>
      </c>
      <c r="P166" s="50">
        <f>VLOOKUP($A166,'Data shares'!$C:$FB,125)</f>
        <v>0.48</v>
      </c>
      <c r="Q166" s="50">
        <f>VLOOKUP($A166,'Data shares'!$C:$FB,127)*100</f>
        <v>-41.67</v>
      </c>
    </row>
    <row r="167" spans="1:17" x14ac:dyDescent="0.25">
      <c r="A167" s="97" t="str">
        <f>'Data Vlaue (Cr)'!C162</f>
        <v>PAYTM</v>
      </c>
      <c r="B167" s="140">
        <f>VLOOKUP($A167,'Data shares'!$C:$FB,7)</f>
        <v>1248</v>
      </c>
      <c r="C167" s="140">
        <f>VLOOKUP($A167,'Data shares'!$C:$FB,3)</f>
        <v>1248.0999999999999</v>
      </c>
      <c r="D167" s="140">
        <f>VLOOKUP($A167,'Data shares'!$C:$FB,4)</f>
        <v>1230</v>
      </c>
      <c r="E167" s="50">
        <f t="shared" si="6"/>
        <v>1.4715447154471473</v>
      </c>
      <c r="F167" s="49">
        <f>VLOOKUP($A167,'Data shares'!$C:$FB,98)</f>
        <v>53291125</v>
      </c>
      <c r="G167" s="49">
        <f>VLOOKUP($A167,'Data shares'!$C:$FB,99)</f>
        <v>50896450</v>
      </c>
      <c r="H167" s="50">
        <f t="shared" si="7"/>
        <v>4.7049941597105498</v>
      </c>
      <c r="I167" s="49">
        <f>VLOOKUP($A167,'Data shares'!$C:$FB,66)</f>
        <v>87068150</v>
      </c>
      <c r="J167" s="49">
        <f>VLOOKUP($A167,'Data shares'!$C:$FB,67)</f>
        <v>120800950</v>
      </c>
      <c r="K167" s="50">
        <f t="shared" si="8"/>
        <v>-38.742984662014756</v>
      </c>
      <c r="L167" s="50">
        <f>VLOOKUP($A167,'Data shares'!$C:$FB,118)</f>
        <v>0.91</v>
      </c>
      <c r="M167" s="50">
        <f>VLOOKUP($A167,'Data shares'!$C:$FB,119)</f>
        <v>0.96</v>
      </c>
      <c r="N167" s="50">
        <f>VLOOKUP($A167,'Data shares'!$C:$FB,121)*100</f>
        <v>-5.21</v>
      </c>
      <c r="O167" s="50">
        <f>VLOOKUP($A167,'Data shares'!$C:$FB,124)</f>
        <v>0.46</v>
      </c>
      <c r="P167" s="50">
        <f>VLOOKUP($A167,'Data shares'!$C:$FB,125)</f>
        <v>0.45</v>
      </c>
      <c r="Q167" s="50">
        <f>VLOOKUP($A167,'Data shares'!$C:$FB,127)*100</f>
        <v>2.2200000000000002</v>
      </c>
    </row>
    <row r="168" spans="1:17" x14ac:dyDescent="0.25">
      <c r="A168" s="97" t="str">
        <f>'Data Vlaue (Cr)'!C163</f>
        <v>PERSISTENT</v>
      </c>
      <c r="B168" s="140">
        <f>VLOOKUP($A168,'Data shares'!$C:$FB,7)</f>
        <v>5345</v>
      </c>
      <c r="C168" s="140">
        <f>VLOOKUP($A168,'Data shares'!$C:$FB,3)</f>
        <v>5357.5</v>
      </c>
      <c r="D168" s="140">
        <f>VLOOKUP($A168,'Data shares'!$C:$FB,4)</f>
        <v>5257</v>
      </c>
      <c r="E168" s="50">
        <f t="shared" si="6"/>
        <v>1.9117367319764125</v>
      </c>
      <c r="F168" s="49">
        <f>VLOOKUP($A168,'Data shares'!$C:$FB,98)</f>
        <v>5022700</v>
      </c>
      <c r="G168" s="49">
        <f>VLOOKUP($A168,'Data shares'!$C:$FB,99)</f>
        <v>5146200</v>
      </c>
      <c r="H168" s="50">
        <f t="shared" si="7"/>
        <v>-2.3998290000388636</v>
      </c>
      <c r="I168" s="49">
        <f>VLOOKUP($A168,'Data shares'!$C:$FB,66)</f>
        <v>7317500</v>
      </c>
      <c r="J168" s="49">
        <f>VLOOKUP($A168,'Data shares'!$C:$FB,67)</f>
        <v>3029300</v>
      </c>
      <c r="K168" s="50">
        <f t="shared" si="8"/>
        <v>58.601981551076186</v>
      </c>
      <c r="L168" s="50">
        <f>VLOOKUP($A168,'Data shares'!$C:$FB,118)</f>
        <v>0.62</v>
      </c>
      <c r="M168" s="50">
        <f>VLOOKUP($A168,'Data shares'!$C:$FB,119)</f>
        <v>0.56999999999999995</v>
      </c>
      <c r="N168" s="50">
        <f>VLOOKUP($A168,'Data shares'!$C:$FB,121)*100</f>
        <v>8.77</v>
      </c>
      <c r="O168" s="50">
        <f>VLOOKUP($A168,'Data shares'!$C:$FB,124)</f>
        <v>0.37</v>
      </c>
      <c r="P168" s="50">
        <f>VLOOKUP($A168,'Data shares'!$C:$FB,125)</f>
        <v>0.33</v>
      </c>
      <c r="Q168" s="50">
        <f>VLOOKUP($A168,'Data shares'!$C:$FB,127)*100</f>
        <v>12.120000000000001</v>
      </c>
    </row>
    <row r="169" spans="1:17" x14ac:dyDescent="0.25">
      <c r="A169" s="97" t="str">
        <f>'Data Vlaue (Cr)'!C164</f>
        <v>PETRONET</v>
      </c>
      <c r="B169" s="140">
        <f>VLOOKUP($A169,'Data shares'!$C:$FB,7)</f>
        <v>280.14999999999998</v>
      </c>
      <c r="C169" s="140">
        <f>VLOOKUP($A169,'Data shares'!$C:$FB,3)</f>
        <v>280.55</v>
      </c>
      <c r="D169" s="140">
        <f>VLOOKUP($A169,'Data shares'!$C:$FB,4)</f>
        <v>283.39999999999998</v>
      </c>
      <c r="E169" s="50">
        <f t="shared" si="6"/>
        <v>-1.0056457304163606</v>
      </c>
      <c r="F169" s="49">
        <f>VLOOKUP($A169,'Data shares'!$C:$FB,98)</f>
        <v>70903800</v>
      </c>
      <c r="G169" s="49">
        <f>VLOOKUP($A169,'Data shares'!$C:$FB,99)</f>
        <v>70556400</v>
      </c>
      <c r="H169" s="50">
        <f t="shared" si="7"/>
        <v>0.49237205979896936</v>
      </c>
      <c r="I169" s="49">
        <f>VLOOKUP($A169,'Data shares'!$C:$FB,66)</f>
        <v>14790600</v>
      </c>
      <c r="J169" s="49">
        <f>VLOOKUP($A169,'Data shares'!$C:$FB,67)</f>
        <v>36810000</v>
      </c>
      <c r="K169" s="50">
        <f t="shared" si="8"/>
        <v>-148.87428501886333</v>
      </c>
      <c r="L169" s="50">
        <f>VLOOKUP($A169,'Data shares'!$C:$FB,118)</f>
        <v>1.1200000000000001</v>
      </c>
      <c r="M169" s="50">
        <f>VLOOKUP($A169,'Data shares'!$C:$FB,119)</f>
        <v>1.07</v>
      </c>
      <c r="N169" s="50">
        <f>VLOOKUP($A169,'Data shares'!$C:$FB,121)*100</f>
        <v>4.67</v>
      </c>
      <c r="O169" s="50">
        <f>VLOOKUP($A169,'Data shares'!$C:$FB,124)</f>
        <v>1.28</v>
      </c>
      <c r="P169" s="50">
        <f>VLOOKUP($A169,'Data shares'!$C:$FB,125)</f>
        <v>0.61</v>
      </c>
      <c r="Q169" s="50">
        <f>VLOOKUP($A169,'Data shares'!$C:$FB,127)*100</f>
        <v>109.84</v>
      </c>
    </row>
    <row r="170" spans="1:17" x14ac:dyDescent="0.25">
      <c r="A170" s="97" t="str">
        <f>'Data Vlaue (Cr)'!C165</f>
        <v>PFC</v>
      </c>
      <c r="B170" s="140">
        <f>VLOOKUP($A170,'Data shares'!$C:$FB,7)</f>
        <v>403.4</v>
      </c>
      <c r="C170" s="140">
        <f>VLOOKUP($A170,'Data shares'!$C:$FB,3)</f>
        <v>404.2</v>
      </c>
      <c r="D170" s="140">
        <f>VLOOKUP($A170,'Data shares'!$C:$FB,4)</f>
        <v>411.4</v>
      </c>
      <c r="E170" s="50">
        <f t="shared" si="6"/>
        <v>-1.7501215362177902</v>
      </c>
      <c r="F170" s="49">
        <f>VLOOKUP($A170,'Data shares'!$C:$FB,98)</f>
        <v>102358100</v>
      </c>
      <c r="G170" s="49">
        <f>VLOOKUP($A170,'Data shares'!$C:$FB,99)</f>
        <v>95791800</v>
      </c>
      <c r="H170" s="50">
        <f t="shared" si="7"/>
        <v>6.8547620986347475</v>
      </c>
      <c r="I170" s="49">
        <f>VLOOKUP($A170,'Data shares'!$C:$FB,66)</f>
        <v>64645100</v>
      </c>
      <c r="J170" s="49">
        <f>VLOOKUP($A170,'Data shares'!$C:$FB,67)</f>
        <v>43676100</v>
      </c>
      <c r="K170" s="50">
        <f t="shared" si="8"/>
        <v>32.43710660204718</v>
      </c>
      <c r="L170" s="50">
        <f>VLOOKUP($A170,'Data shares'!$C:$FB,118)</f>
        <v>0.79</v>
      </c>
      <c r="M170" s="50">
        <f>VLOOKUP($A170,'Data shares'!$C:$FB,119)</f>
        <v>0.88</v>
      </c>
      <c r="N170" s="50">
        <f>VLOOKUP($A170,'Data shares'!$C:$FB,121)*100</f>
        <v>-10.23</v>
      </c>
      <c r="O170" s="50">
        <f>VLOOKUP($A170,'Data shares'!$C:$FB,124)</f>
        <v>0.55000000000000004</v>
      </c>
      <c r="P170" s="50">
        <f>VLOOKUP($A170,'Data shares'!$C:$FB,125)</f>
        <v>0.5</v>
      </c>
      <c r="Q170" s="50">
        <f>VLOOKUP($A170,'Data shares'!$C:$FB,127)*100</f>
        <v>10</v>
      </c>
    </row>
    <row r="171" spans="1:17" x14ac:dyDescent="0.25">
      <c r="A171" s="97" t="str">
        <f>'Data Vlaue (Cr)'!C166</f>
        <v>PGEL</v>
      </c>
      <c r="B171" s="140">
        <f>VLOOKUP($A171,'Data shares'!$C:$FB,7)</f>
        <v>536.6</v>
      </c>
      <c r="C171" s="140">
        <f>VLOOKUP($A171,'Data shares'!$C:$FB,3)</f>
        <v>536.70000000000005</v>
      </c>
      <c r="D171" s="140">
        <f>VLOOKUP($A171,'Data shares'!$C:$FB,4)</f>
        <v>542.04999999999995</v>
      </c>
      <c r="E171" s="50">
        <f t="shared" si="6"/>
        <v>-0.98699381975830813</v>
      </c>
      <c r="F171" s="49">
        <f>VLOOKUP($A171,'Data shares'!$C:$FB,98)</f>
        <v>35054600</v>
      </c>
      <c r="G171" s="49">
        <f>VLOOKUP($A171,'Data shares'!$C:$FB,99)</f>
        <v>24941700</v>
      </c>
      <c r="H171" s="50">
        <f t="shared" si="7"/>
        <v>40.546153630265778</v>
      </c>
      <c r="I171" s="49">
        <f>VLOOKUP($A171,'Data shares'!$C:$FB,66)</f>
        <v>134081500</v>
      </c>
      <c r="J171" s="49">
        <f>VLOOKUP($A171,'Data shares'!$C:$FB,67)</f>
        <v>2342900</v>
      </c>
      <c r="K171" s="50">
        <f t="shared" si="8"/>
        <v>98.252629930303584</v>
      </c>
      <c r="L171" s="50">
        <f>VLOOKUP($A171,'Data shares'!$C:$FB,118)</f>
        <v>0.46</v>
      </c>
      <c r="M171" s="50">
        <f>VLOOKUP($A171,'Data shares'!$C:$FB,119)</f>
        <v>0.46</v>
      </c>
      <c r="N171" s="50">
        <f>VLOOKUP($A171,'Data shares'!$C:$FB,121)*100</f>
        <v>0</v>
      </c>
      <c r="O171" s="50">
        <f>VLOOKUP($A171,'Data shares'!$C:$FB,124)</f>
        <v>0.41</v>
      </c>
      <c r="P171" s="50">
        <f>VLOOKUP($A171,'Data shares'!$C:$FB,125)</f>
        <v>0.41</v>
      </c>
      <c r="Q171" s="50">
        <f>VLOOKUP($A171,'Data shares'!$C:$FB,127)*100</f>
        <v>0</v>
      </c>
    </row>
    <row r="172" spans="1:17" x14ac:dyDescent="0.25">
      <c r="A172" s="97" t="str">
        <f>'Data Vlaue (Cr)'!C167</f>
        <v>PHOENIXLTD</v>
      </c>
      <c r="B172" s="140">
        <f>VLOOKUP($A172,'Data shares'!$C:$FB,7)</f>
        <v>1563.5</v>
      </c>
      <c r="C172" s="140">
        <f>VLOOKUP($A172,'Data shares'!$C:$FB,3)</f>
        <v>1563.5</v>
      </c>
      <c r="D172" s="140">
        <f>VLOOKUP($A172,'Data shares'!$C:$FB,4)</f>
        <v>1505.2</v>
      </c>
      <c r="E172" s="50">
        <f t="shared" si="6"/>
        <v>3.8732394366197154</v>
      </c>
      <c r="F172" s="49">
        <f>VLOOKUP($A172,'Data shares'!$C:$FB,98)</f>
        <v>5858650</v>
      </c>
      <c r="G172" s="49">
        <f>VLOOKUP($A172,'Data shares'!$C:$FB,99)</f>
        <v>5713400</v>
      </c>
      <c r="H172" s="50">
        <f t="shared" si="7"/>
        <v>2.542269051703014</v>
      </c>
      <c r="I172" s="49">
        <f>VLOOKUP($A172,'Data shares'!$C:$FB,66)</f>
        <v>7923650</v>
      </c>
      <c r="J172" s="49">
        <f>VLOOKUP($A172,'Data shares'!$C:$FB,67)</f>
        <v>2130100</v>
      </c>
      <c r="K172" s="50">
        <f t="shared" si="8"/>
        <v>73.117187154909672</v>
      </c>
      <c r="L172" s="50">
        <f>VLOOKUP($A172,'Data shares'!$C:$FB,118)</f>
        <v>0.65</v>
      </c>
      <c r="M172" s="50">
        <f>VLOOKUP($A172,'Data shares'!$C:$FB,119)</f>
        <v>0.56999999999999995</v>
      </c>
      <c r="N172" s="50">
        <f>VLOOKUP($A172,'Data shares'!$C:$FB,121)*100</f>
        <v>14.04</v>
      </c>
      <c r="O172" s="50">
        <f>VLOOKUP($A172,'Data shares'!$C:$FB,124)</f>
        <v>0.31</v>
      </c>
      <c r="P172" s="50">
        <f>VLOOKUP($A172,'Data shares'!$C:$FB,125)</f>
        <v>0.42</v>
      </c>
      <c r="Q172" s="50">
        <f>VLOOKUP($A172,'Data shares'!$C:$FB,127)*100</f>
        <v>-26.19</v>
      </c>
    </row>
    <row r="173" spans="1:17" x14ac:dyDescent="0.25">
      <c r="A173" s="97" t="str">
        <f>'Data Vlaue (Cr)'!C168</f>
        <v>PIDILITIND</v>
      </c>
      <c r="B173" s="140">
        <f>VLOOKUP($A173,'Data shares'!$C:$FB,7)</f>
        <v>3084.6</v>
      </c>
      <c r="C173" s="140">
        <f>VLOOKUP($A173,'Data shares'!$C:$FB,3)</f>
        <v>3090.4</v>
      </c>
      <c r="D173" s="140">
        <f>VLOOKUP($A173,'Data shares'!$C:$FB,4)</f>
        <v>3101.7</v>
      </c>
      <c r="E173" s="50">
        <f t="shared" ref="E173:E182" si="9">(C173-D173)/D173*100</f>
        <v>-0.3643163426507956</v>
      </c>
      <c r="F173" s="49">
        <f>VLOOKUP($A173,'Data shares'!$C:$FB,98)</f>
        <v>5701250</v>
      </c>
      <c r="G173" s="49">
        <f>VLOOKUP($A173,'Data shares'!$C:$FB,99)</f>
        <v>5728250</v>
      </c>
      <c r="H173" s="50">
        <f t="shared" ref="H173:H182" si="10">(F173-G173)/G173*100</f>
        <v>-0.4713481429756034</v>
      </c>
      <c r="I173" s="49">
        <f>VLOOKUP($A173,'Data shares'!$C:$FB,66)</f>
        <v>1066500</v>
      </c>
      <c r="J173" s="49">
        <f>VLOOKUP($A173,'Data shares'!$C:$FB,67)</f>
        <v>2163250</v>
      </c>
      <c r="K173" s="50">
        <f t="shared" ref="K173:K182" si="11">(I173-J173)/I173*100</f>
        <v>-102.83638068448195</v>
      </c>
      <c r="L173" s="50">
        <f>VLOOKUP($A173,'Data shares'!$C:$FB,118)</f>
        <v>0.77</v>
      </c>
      <c r="M173" s="50">
        <f>VLOOKUP($A173,'Data shares'!$C:$FB,119)</f>
        <v>0.77</v>
      </c>
      <c r="N173" s="50">
        <f>VLOOKUP($A173,'Data shares'!$C:$FB,121)*100</f>
        <v>0</v>
      </c>
      <c r="O173" s="50">
        <f>VLOOKUP($A173,'Data shares'!$C:$FB,124)</f>
        <v>0.28999999999999998</v>
      </c>
      <c r="P173" s="50">
        <f>VLOOKUP($A173,'Data shares'!$C:$FB,125)</f>
        <v>0.36</v>
      </c>
      <c r="Q173" s="50">
        <f>VLOOKUP($A173,'Data shares'!$C:$FB,127)*100</f>
        <v>-19.439999999999998</v>
      </c>
    </row>
    <row r="174" spans="1:17" x14ac:dyDescent="0.25">
      <c r="A174" s="97" t="str">
        <f>'Data Vlaue (Cr)'!C169</f>
        <v>PIIND</v>
      </c>
      <c r="B174" s="140">
        <f>VLOOKUP($A174,'Data shares'!$C:$FB,7)</f>
        <v>3796.8</v>
      </c>
      <c r="C174" s="140">
        <f>VLOOKUP($A174,'Data shares'!$C:$FB,3)</f>
        <v>3808.8</v>
      </c>
      <c r="D174" s="140">
        <f>VLOOKUP($A174,'Data shares'!$C:$FB,4)</f>
        <v>3781.5</v>
      </c>
      <c r="E174" s="50">
        <f t="shared" si="9"/>
        <v>0.72193573978580405</v>
      </c>
      <c r="F174" s="49">
        <f>VLOOKUP($A174,'Data shares'!$C:$FB,98)</f>
        <v>3620750</v>
      </c>
      <c r="G174" s="49">
        <f>VLOOKUP($A174,'Data shares'!$C:$FB,99)</f>
        <v>3775100</v>
      </c>
      <c r="H174" s="50">
        <f t="shared" si="10"/>
        <v>-4.0886334136844056</v>
      </c>
      <c r="I174" s="49">
        <f>VLOOKUP($A174,'Data shares'!$C:$FB,66)</f>
        <v>1768900</v>
      </c>
      <c r="J174" s="49">
        <f>VLOOKUP($A174,'Data shares'!$C:$FB,67)</f>
        <v>1367450</v>
      </c>
      <c r="K174" s="50">
        <f t="shared" si="11"/>
        <v>22.694895132568263</v>
      </c>
      <c r="L174" s="50">
        <f>VLOOKUP($A174,'Data shares'!$C:$FB,118)</f>
        <v>0.66</v>
      </c>
      <c r="M174" s="50">
        <f>VLOOKUP($A174,'Data shares'!$C:$FB,119)</f>
        <v>0.63</v>
      </c>
      <c r="N174" s="50">
        <f>VLOOKUP($A174,'Data shares'!$C:$FB,121)*100</f>
        <v>4.7600000000000007</v>
      </c>
      <c r="O174" s="50">
        <f>VLOOKUP($A174,'Data shares'!$C:$FB,124)</f>
        <v>0.28000000000000003</v>
      </c>
      <c r="P174" s="50">
        <f>VLOOKUP($A174,'Data shares'!$C:$FB,125)</f>
        <v>0.46</v>
      </c>
      <c r="Q174" s="50">
        <f>VLOOKUP($A174,'Data shares'!$C:$FB,127)*100</f>
        <v>-39.129999999999995</v>
      </c>
    </row>
    <row r="175" spans="1:17" x14ac:dyDescent="0.25">
      <c r="A175" s="97" t="str">
        <f>'Data Vlaue (Cr)'!C170</f>
        <v>PNB</v>
      </c>
      <c r="B175" s="140">
        <f>VLOOKUP($A175,'Data shares'!$C:$FB,7)</f>
        <v>107.11</v>
      </c>
      <c r="C175" s="140">
        <f>VLOOKUP($A175,'Data shares'!$C:$FB,3)</f>
        <v>107.25</v>
      </c>
      <c r="D175" s="140">
        <f>VLOOKUP($A175,'Data shares'!$C:$FB,4)</f>
        <v>108.14</v>
      </c>
      <c r="E175" s="50">
        <f t="shared" si="9"/>
        <v>-0.82300721287220324</v>
      </c>
      <c r="F175" s="49">
        <f>VLOOKUP($A175,'Data shares'!$C:$FB,98)</f>
        <v>471136000</v>
      </c>
      <c r="G175" s="49">
        <f>VLOOKUP($A175,'Data shares'!$C:$FB,99)</f>
        <v>458512000</v>
      </c>
      <c r="H175" s="50">
        <f t="shared" si="10"/>
        <v>2.7532540042572498</v>
      </c>
      <c r="I175" s="49">
        <f>VLOOKUP($A175,'Data shares'!$C:$FB,66)</f>
        <v>176560000</v>
      </c>
      <c r="J175" s="49">
        <f>VLOOKUP($A175,'Data shares'!$C:$FB,67)</f>
        <v>197320000</v>
      </c>
      <c r="K175" s="50">
        <f t="shared" si="11"/>
        <v>-11.758042591753512</v>
      </c>
      <c r="L175" s="50">
        <f>VLOOKUP($A175,'Data shares'!$C:$FB,118)</f>
        <v>0.6</v>
      </c>
      <c r="M175" s="50">
        <f>VLOOKUP($A175,'Data shares'!$C:$FB,119)</f>
        <v>0.63</v>
      </c>
      <c r="N175" s="50">
        <f>VLOOKUP($A175,'Data shares'!$C:$FB,121)*100</f>
        <v>-4.7600000000000007</v>
      </c>
      <c r="O175" s="50">
        <f>VLOOKUP($A175,'Data shares'!$C:$FB,124)</f>
        <v>0.57999999999999996</v>
      </c>
      <c r="P175" s="50">
        <f>VLOOKUP($A175,'Data shares'!$C:$FB,125)</f>
        <v>0.57999999999999996</v>
      </c>
      <c r="Q175" s="50">
        <f>VLOOKUP($A175,'Data shares'!$C:$FB,127)*100</f>
        <v>0</v>
      </c>
    </row>
    <row r="176" spans="1:17" x14ac:dyDescent="0.25">
      <c r="A176" s="97" t="str">
        <f>'Data Vlaue (Cr)'!C171</f>
        <v>PNBHOUSING</v>
      </c>
      <c r="B176" s="140">
        <f>VLOOKUP($A176,'Data shares'!$C:$FB,7)</f>
        <v>808.45</v>
      </c>
      <c r="C176" s="140">
        <f>VLOOKUP($A176,'Data shares'!$C:$FB,3)</f>
        <v>811.85</v>
      </c>
      <c r="D176" s="140">
        <f>VLOOKUP($A176,'Data shares'!$C:$FB,4)</f>
        <v>820.85</v>
      </c>
      <c r="E176" s="50">
        <f t="shared" si="9"/>
        <v>-1.0964244380824755</v>
      </c>
      <c r="F176" s="49">
        <f>VLOOKUP($A176,'Data shares'!$C:$FB,98)</f>
        <v>33213700</v>
      </c>
      <c r="G176" s="49">
        <f>VLOOKUP($A176,'Data shares'!$C:$FB,99)</f>
        <v>31367700</v>
      </c>
      <c r="H176" s="50">
        <f t="shared" si="10"/>
        <v>5.8850346056612368</v>
      </c>
      <c r="I176" s="49">
        <f>VLOOKUP($A176,'Data shares'!$C:$FB,66)</f>
        <v>18549700</v>
      </c>
      <c r="J176" s="49">
        <f>VLOOKUP($A176,'Data shares'!$C:$FB,67)</f>
        <v>65846950</v>
      </c>
      <c r="K176" s="50">
        <f t="shared" si="11"/>
        <v>-254.97582171140235</v>
      </c>
      <c r="L176" s="50">
        <f>VLOOKUP($A176,'Data shares'!$C:$FB,118)</f>
        <v>0.41</v>
      </c>
      <c r="M176" s="50">
        <f>VLOOKUP($A176,'Data shares'!$C:$FB,119)</f>
        <v>0.41</v>
      </c>
      <c r="N176" s="50">
        <f>VLOOKUP($A176,'Data shares'!$C:$FB,121)*100</f>
        <v>0</v>
      </c>
      <c r="O176" s="50">
        <f>VLOOKUP($A176,'Data shares'!$C:$FB,124)</f>
        <v>0.38</v>
      </c>
      <c r="P176" s="50">
        <f>VLOOKUP($A176,'Data shares'!$C:$FB,125)</f>
        <v>0.35</v>
      </c>
      <c r="Q176" s="50">
        <f>VLOOKUP($A176,'Data shares'!$C:$FB,127)*100</f>
        <v>8.57</v>
      </c>
    </row>
    <row r="177" spans="1:17" x14ac:dyDescent="0.25">
      <c r="A177" s="97" t="str">
        <f>'Data Vlaue (Cr)'!C172</f>
        <v>POLICYBZR</v>
      </c>
      <c r="B177" s="140">
        <f>VLOOKUP($A177,'Data shares'!$C:$FB,7)</f>
        <v>1921.8</v>
      </c>
      <c r="C177" s="140">
        <f>VLOOKUP($A177,'Data shares'!$C:$FB,3)</f>
        <v>1921.4</v>
      </c>
      <c r="D177" s="140">
        <f>VLOOKUP($A177,'Data shares'!$C:$FB,4)</f>
        <v>1914.6</v>
      </c>
      <c r="E177" s="50">
        <f t="shared" si="9"/>
        <v>0.35516556983182818</v>
      </c>
      <c r="F177" s="49">
        <f>VLOOKUP($A177,'Data shares'!$C:$FB,98)</f>
        <v>9344650</v>
      </c>
      <c r="G177" s="49">
        <f>VLOOKUP($A177,'Data shares'!$C:$FB,99)</f>
        <v>9427250</v>
      </c>
      <c r="H177" s="50">
        <f t="shared" si="10"/>
        <v>-0.87618340449229626</v>
      </c>
      <c r="I177" s="49">
        <f>VLOOKUP($A177,'Data shares'!$C:$FB,66)</f>
        <v>4113200</v>
      </c>
      <c r="J177" s="49">
        <f>VLOOKUP($A177,'Data shares'!$C:$FB,67)</f>
        <v>4594450</v>
      </c>
      <c r="K177" s="50">
        <f t="shared" si="11"/>
        <v>-11.700136147038801</v>
      </c>
      <c r="L177" s="50">
        <f>VLOOKUP($A177,'Data shares'!$C:$FB,118)</f>
        <v>0.88</v>
      </c>
      <c r="M177" s="50">
        <f>VLOOKUP($A177,'Data shares'!$C:$FB,119)</f>
        <v>0.88</v>
      </c>
      <c r="N177" s="50">
        <f>VLOOKUP($A177,'Data shares'!$C:$FB,121)*100</f>
        <v>0</v>
      </c>
      <c r="O177" s="50">
        <f>VLOOKUP($A177,'Data shares'!$C:$FB,124)</f>
        <v>0.34</v>
      </c>
      <c r="P177" s="50">
        <f>VLOOKUP($A177,'Data shares'!$C:$FB,125)</f>
        <v>0.34</v>
      </c>
      <c r="Q177" s="50">
        <f>VLOOKUP($A177,'Data shares'!$C:$FB,127)*100</f>
        <v>0</v>
      </c>
    </row>
    <row r="178" spans="1:17" x14ac:dyDescent="0.25">
      <c r="A178" s="97" t="str">
        <f>'Data Vlaue (Cr)'!C173</f>
        <v>POLYCAB</v>
      </c>
      <c r="B178" s="140">
        <f>VLOOKUP($A178,'Data shares'!$C:$FB,7)</f>
        <v>7158</v>
      </c>
      <c r="C178" s="140">
        <f>VLOOKUP($A178,'Data shares'!$C:$FB,3)</f>
        <v>7166.5</v>
      </c>
      <c r="D178" s="140">
        <f>VLOOKUP($A178,'Data shares'!$C:$FB,4)</f>
        <v>7132</v>
      </c>
      <c r="E178" s="50">
        <f t="shared" si="9"/>
        <v>0.48373527762198543</v>
      </c>
      <c r="F178" s="49">
        <f>VLOOKUP($A178,'Data shares'!$C:$FB,98)</f>
        <v>3204875</v>
      </c>
      <c r="G178" s="49">
        <f>VLOOKUP($A178,'Data shares'!$C:$FB,99)</f>
        <v>3197000</v>
      </c>
      <c r="H178" s="50">
        <f t="shared" si="10"/>
        <v>0.24632467938692526</v>
      </c>
      <c r="I178" s="49">
        <f>VLOOKUP($A178,'Data shares'!$C:$FB,66)</f>
        <v>3430750</v>
      </c>
      <c r="J178" s="49">
        <f>VLOOKUP($A178,'Data shares'!$C:$FB,67)</f>
        <v>1999375</v>
      </c>
      <c r="K178" s="50">
        <f t="shared" si="11"/>
        <v>41.721926692414193</v>
      </c>
      <c r="L178" s="50">
        <f>VLOOKUP($A178,'Data shares'!$C:$FB,118)</f>
        <v>0.79</v>
      </c>
      <c r="M178" s="50">
        <f>VLOOKUP($A178,'Data shares'!$C:$FB,119)</f>
        <v>0.75</v>
      </c>
      <c r="N178" s="50">
        <f>VLOOKUP($A178,'Data shares'!$C:$FB,121)*100</f>
        <v>5.33</v>
      </c>
      <c r="O178" s="50">
        <f>VLOOKUP($A178,'Data shares'!$C:$FB,124)</f>
        <v>0.38</v>
      </c>
      <c r="P178" s="50">
        <f>VLOOKUP($A178,'Data shares'!$C:$FB,125)</f>
        <v>0.52</v>
      </c>
      <c r="Q178" s="50">
        <f>VLOOKUP($A178,'Data shares'!$C:$FB,127)*100</f>
        <v>-26.919999999999998</v>
      </c>
    </row>
    <row r="179" spans="1:17" x14ac:dyDescent="0.25">
      <c r="A179" s="97" t="str">
        <f>'Data Vlaue (Cr)'!C174</f>
        <v>POONAWALLA</v>
      </c>
      <c r="B179" s="140">
        <f>VLOOKUP($A179,'Data shares'!$C:$FB,7)</f>
        <v>462.8</v>
      </c>
      <c r="C179" s="140">
        <f>VLOOKUP($A179,'Data shares'!$C:$FB,3)</f>
        <v>464.8</v>
      </c>
      <c r="D179" s="140">
        <f>VLOOKUP($A179,'Data shares'!$C:$FB,4)</f>
        <v>471.35</v>
      </c>
      <c r="E179" s="50">
        <f t="shared" si="9"/>
        <v>-1.389625543651217</v>
      </c>
      <c r="F179" s="49">
        <f>VLOOKUP($A179,'Data shares'!$C:$FB,98)</f>
        <v>14130400</v>
      </c>
      <c r="G179" s="49">
        <f>VLOOKUP($A179,'Data shares'!$C:$FB,99)</f>
        <v>14283400</v>
      </c>
      <c r="H179" s="50">
        <f t="shared" si="10"/>
        <v>-1.0711735301118781</v>
      </c>
      <c r="I179" s="49">
        <f>VLOOKUP($A179,'Data shares'!$C:$FB,66)</f>
        <v>3196000</v>
      </c>
      <c r="J179" s="49">
        <f>VLOOKUP($A179,'Data shares'!$C:$FB,67)</f>
        <v>4421700</v>
      </c>
      <c r="K179" s="50">
        <f t="shared" si="11"/>
        <v>-38.351063829787236</v>
      </c>
      <c r="L179" s="50">
        <f>VLOOKUP($A179,'Data shares'!$C:$FB,118)</f>
        <v>0.82</v>
      </c>
      <c r="M179" s="50">
        <f>VLOOKUP($A179,'Data shares'!$C:$FB,119)</f>
        <v>0.85</v>
      </c>
      <c r="N179" s="50">
        <f>VLOOKUP($A179,'Data shares'!$C:$FB,121)*100</f>
        <v>-3.53</v>
      </c>
      <c r="O179" s="50">
        <f>VLOOKUP($A179,'Data shares'!$C:$FB,124)</f>
        <v>0.71</v>
      </c>
      <c r="P179" s="50">
        <f>VLOOKUP($A179,'Data shares'!$C:$FB,125)</f>
        <v>0.46</v>
      </c>
      <c r="Q179" s="50">
        <f>VLOOKUP($A179,'Data shares'!$C:$FB,127)*100</f>
        <v>54.35</v>
      </c>
    </row>
    <row r="180" spans="1:17" x14ac:dyDescent="0.25">
      <c r="A180" s="97" t="str">
        <f>'Data Vlaue (Cr)'!C175</f>
        <v>POWERGRID</v>
      </c>
      <c r="B180" s="140">
        <f>VLOOKUP($A180,'Data shares'!$C:$FB,7)</f>
        <v>288.39999999999998</v>
      </c>
      <c r="C180" s="140">
        <f>VLOOKUP($A180,'Data shares'!$C:$FB,3)</f>
        <v>288.60000000000002</v>
      </c>
      <c r="D180" s="140">
        <f>VLOOKUP($A180,'Data shares'!$C:$FB,4)</f>
        <v>288.45</v>
      </c>
      <c r="E180" s="50">
        <f t="shared" si="9"/>
        <v>5.2002080083215149E-2</v>
      </c>
      <c r="F180" s="49">
        <f>VLOOKUP($A180,'Data shares'!$C:$FB,98)</f>
        <v>107494400</v>
      </c>
      <c r="G180" s="49">
        <f>VLOOKUP($A180,'Data shares'!$C:$FB,99)</f>
        <v>107272100</v>
      </c>
      <c r="H180" s="50">
        <f t="shared" si="10"/>
        <v>0.20723002532811421</v>
      </c>
      <c r="I180" s="49">
        <f>VLOOKUP($A180,'Data shares'!$C:$FB,66)</f>
        <v>20491500</v>
      </c>
      <c r="J180" s="49">
        <f>VLOOKUP($A180,'Data shares'!$C:$FB,67)</f>
        <v>25137000</v>
      </c>
      <c r="K180" s="50">
        <f t="shared" si="11"/>
        <v>-22.67037552155772</v>
      </c>
      <c r="L180" s="50">
        <f>VLOOKUP($A180,'Data shares'!$C:$FB,118)</f>
        <v>0.52</v>
      </c>
      <c r="M180" s="50">
        <f>VLOOKUP($A180,'Data shares'!$C:$FB,119)</f>
        <v>0.5</v>
      </c>
      <c r="N180" s="50">
        <f>VLOOKUP($A180,'Data shares'!$C:$FB,121)*100</f>
        <v>4</v>
      </c>
      <c r="O180" s="50">
        <f>VLOOKUP($A180,'Data shares'!$C:$FB,124)</f>
        <v>0.38</v>
      </c>
      <c r="P180" s="50">
        <f>VLOOKUP($A180,'Data shares'!$C:$FB,125)</f>
        <v>0.45</v>
      </c>
      <c r="Q180" s="50">
        <f>VLOOKUP($A180,'Data shares'!$C:$FB,127)*100</f>
        <v>-15.559999999999999</v>
      </c>
    </row>
    <row r="181" spans="1:17" x14ac:dyDescent="0.25">
      <c r="A181" s="97" t="str">
        <f>'Data Vlaue (Cr)'!C176</f>
        <v>PPLPHARMA</v>
      </c>
      <c r="B181" s="140">
        <f>VLOOKUP($A181,'Data shares'!$C:$FB,7)</f>
        <v>191.79</v>
      </c>
      <c r="C181" s="140">
        <f>VLOOKUP($A181,'Data shares'!$C:$FB,3)</f>
        <v>192.09</v>
      </c>
      <c r="D181" s="140">
        <f>VLOOKUP($A181,'Data shares'!$C:$FB,4)</f>
        <v>195.1</v>
      </c>
      <c r="E181" s="50">
        <f t="shared" si="9"/>
        <v>-1.5427985648385398</v>
      </c>
      <c r="F181" s="49">
        <f>VLOOKUP($A181,'Data shares'!$C:$FB,98)</f>
        <v>25045000</v>
      </c>
      <c r="G181" s="49">
        <f>VLOOKUP($A181,'Data shares'!$C:$FB,99)</f>
        <v>24907500</v>
      </c>
      <c r="H181" s="50">
        <f t="shared" si="10"/>
        <v>0.55204255746261166</v>
      </c>
      <c r="I181" s="49">
        <f>VLOOKUP($A181,'Data shares'!$C:$FB,66)</f>
        <v>9427500</v>
      </c>
      <c r="J181" s="49">
        <f>VLOOKUP($A181,'Data shares'!$C:$FB,67)</f>
        <v>12430000</v>
      </c>
      <c r="K181" s="50">
        <f t="shared" si="11"/>
        <v>-31.848316096526119</v>
      </c>
      <c r="L181" s="50">
        <f>VLOOKUP($A181,'Data shares'!$C:$FB,118)</f>
        <v>0.6</v>
      </c>
      <c r="M181" s="50">
        <f>VLOOKUP($A181,'Data shares'!$C:$FB,119)</f>
        <v>0.57999999999999996</v>
      </c>
      <c r="N181" s="50">
        <f>VLOOKUP($A181,'Data shares'!$C:$FB,121)*100</f>
        <v>3.45</v>
      </c>
      <c r="O181" s="50">
        <f>VLOOKUP($A181,'Data shares'!$C:$FB,124)</f>
        <v>0.56999999999999995</v>
      </c>
      <c r="P181" s="50">
        <f>VLOOKUP($A181,'Data shares'!$C:$FB,125)</f>
        <v>0.34</v>
      </c>
      <c r="Q181" s="50">
        <f>VLOOKUP($A181,'Data shares'!$C:$FB,127)*100</f>
        <v>67.650000000000006</v>
      </c>
    </row>
    <row r="182" spans="1:17" x14ac:dyDescent="0.25">
      <c r="A182" s="97" t="str">
        <f>'Data Vlaue (Cr)'!C177</f>
        <v>PRESTIGE</v>
      </c>
      <c r="B182" s="140">
        <f>VLOOKUP($A182,'Data shares'!$C:$FB,7)</f>
        <v>1626.6</v>
      </c>
      <c r="C182" s="140">
        <f>VLOOKUP($A182,'Data shares'!$C:$FB,3)</f>
        <v>1632.7</v>
      </c>
      <c r="D182" s="140">
        <f>VLOOKUP($A182,'Data shares'!$C:$FB,4)</f>
        <v>1637.6</v>
      </c>
      <c r="E182" s="50">
        <f t="shared" si="9"/>
        <v>-0.29921836834390958</v>
      </c>
      <c r="F182" s="49">
        <f>VLOOKUP($A182,'Data shares'!$C:$FB,98)</f>
        <v>8215200</v>
      </c>
      <c r="G182" s="49">
        <f>VLOOKUP($A182,'Data shares'!$C:$FB,99)</f>
        <v>8094600</v>
      </c>
      <c r="H182" s="50">
        <f t="shared" si="10"/>
        <v>1.4898821436513232</v>
      </c>
      <c r="I182" s="49">
        <f>VLOOKUP($A182,'Data shares'!$C:$FB,66)</f>
        <v>2678850</v>
      </c>
      <c r="J182" s="49">
        <f>VLOOKUP($A182,'Data shares'!$C:$FB,67)</f>
        <v>4000050</v>
      </c>
      <c r="K182" s="50">
        <f t="shared" si="11"/>
        <v>-49.319670754241557</v>
      </c>
      <c r="L182" s="50">
        <f>VLOOKUP($A182,'Data shares'!$C:$FB,118)</f>
        <v>0.44</v>
      </c>
      <c r="M182" s="50">
        <f>VLOOKUP($A182,'Data shares'!$C:$FB,119)</f>
        <v>0.45</v>
      </c>
      <c r="N182" s="50">
        <f>VLOOKUP($A182,'Data shares'!$C:$FB,121)*100</f>
        <v>-2.2200000000000002</v>
      </c>
      <c r="O182" s="50">
        <f>VLOOKUP($A182,'Data shares'!$C:$FB,124)</f>
        <v>0.28000000000000003</v>
      </c>
      <c r="P182" s="50">
        <f>VLOOKUP($A182,'Data shares'!$C:$FB,125)</f>
        <v>0.94</v>
      </c>
      <c r="Q182" s="50">
        <f>VLOOKUP($A182,'Data shares'!$C:$FB,127)*100</f>
        <v>-70.209999999999994</v>
      </c>
    </row>
    <row r="183" spans="1:17" x14ac:dyDescent="0.25">
      <c r="A183" s="97" t="str">
        <f>'Data Vlaue (Cr)'!C178</f>
        <v>RBLBANK</v>
      </c>
      <c r="B183" s="140">
        <f>VLOOKUP($A183,'Data shares'!$C:$FB,7)</f>
        <v>256.60000000000002</v>
      </c>
      <c r="C183" s="140">
        <f>VLOOKUP($A183,'Data shares'!$C:$FB,3)</f>
        <v>256.85000000000002</v>
      </c>
      <c r="D183" s="140">
        <f>VLOOKUP($A183,'Data shares'!$C:$FB,4)</f>
        <v>261.95</v>
      </c>
      <c r="E183" s="50">
        <f>(C183-D183)/D183*100</f>
        <v>-1.9469364382515619</v>
      </c>
      <c r="F183" s="49">
        <f>VLOOKUP($A183,'Data shares'!$C:$FB,98)</f>
        <v>119170450</v>
      </c>
      <c r="G183" s="49">
        <f>VLOOKUP($A183,'Data shares'!$C:$FB,99)</f>
        <v>120681750</v>
      </c>
      <c r="H183" s="50">
        <f>(F183-G183)/G183*100</f>
        <v>-1.2523020257826887</v>
      </c>
      <c r="I183" s="49">
        <f>VLOOKUP($A183,'Data shares'!$C:$FB,66)</f>
        <v>1511300</v>
      </c>
      <c r="J183" s="49">
        <f>VLOOKUP($A183,'Data shares'!$C:$FB,67)</f>
        <v>1489075</v>
      </c>
      <c r="K183" s="50">
        <f>(I183-J183)/I183*100</f>
        <v>1.4705882352941175</v>
      </c>
      <c r="L183" s="50">
        <f>VLOOKUP($A183,'Data shares'!$C:$FB,118)</f>
        <v>0.55000000000000004</v>
      </c>
      <c r="M183" s="50">
        <f>VLOOKUP($A183,'Data shares'!$C:$FB,119)</f>
        <v>0.54</v>
      </c>
      <c r="N183" s="50">
        <f>VLOOKUP($A183,'Data shares'!$C:$FB,121)*100</f>
        <v>1.8499999999999999</v>
      </c>
      <c r="O183" s="50">
        <f>VLOOKUP($A183,'Data shares'!$C:$FB,124)</f>
        <v>0.18</v>
      </c>
      <c r="P183" s="50">
        <f>VLOOKUP($A183,'Data shares'!$C:$FB,125)</f>
        <v>0.26</v>
      </c>
      <c r="Q183" s="50">
        <f>VLOOKUP($A183,'Data shares'!$C:$FB,127)*100</f>
        <v>-30.769999999999996</v>
      </c>
    </row>
    <row r="184" spans="1:17" x14ac:dyDescent="0.25">
      <c r="A184" s="97" t="str">
        <f>'Data Vlaue (Cr)'!C179</f>
        <v>RECLTD</v>
      </c>
      <c r="B184" s="140">
        <f>VLOOKUP($A184,'Data shares'!$C:$FB,7)</f>
        <v>380.85</v>
      </c>
      <c r="C184" s="140">
        <f>VLOOKUP($A184,'Data shares'!$C:$FB,3)</f>
        <v>381.9</v>
      </c>
      <c r="D184" s="140">
        <f>VLOOKUP($A184,'Data shares'!$C:$FB,4)</f>
        <v>382.95</v>
      </c>
      <c r="E184" s="50">
        <f t="shared" ref="E184:E189" si="12">(C184-D184)/D184*100</f>
        <v>-0.27418723070897277</v>
      </c>
      <c r="F184" s="49">
        <f>VLOOKUP($A184,'Data shares'!$C:$FB,98)</f>
        <v>141451050</v>
      </c>
      <c r="G184" s="49">
        <f>VLOOKUP($A184,'Data shares'!$C:$FB,99)</f>
        <v>140650350</v>
      </c>
      <c r="H184" s="50">
        <f t="shared" ref="H184:H189" si="13">(F184-G184)/G184*100</f>
        <v>0.56928404372971697</v>
      </c>
      <c r="I184" s="49">
        <f>VLOOKUP($A184,'Data shares'!$C:$FB,66)</f>
        <v>30763200</v>
      </c>
      <c r="J184" s="49">
        <f>VLOOKUP($A184,'Data shares'!$C:$FB,67)</f>
        <v>36297975</v>
      </c>
      <c r="K184" s="50">
        <f t="shared" ref="K184:K189" si="14">(I184-J184)/I184*100</f>
        <v>-17.991545092838194</v>
      </c>
      <c r="L184" s="50">
        <f>VLOOKUP($A184,'Data shares'!$C:$FB,118)</f>
        <v>0.65</v>
      </c>
      <c r="M184" s="50">
        <f>VLOOKUP($A184,'Data shares'!$C:$FB,119)</f>
        <v>0.64</v>
      </c>
      <c r="N184" s="50">
        <f>VLOOKUP($A184,'Data shares'!$C:$FB,121)*100</f>
        <v>1.5599999999999998</v>
      </c>
      <c r="O184" s="50">
        <f>VLOOKUP($A184,'Data shares'!$C:$FB,124)</f>
        <v>0.43</v>
      </c>
      <c r="P184" s="50">
        <f>VLOOKUP($A184,'Data shares'!$C:$FB,125)</f>
        <v>0.35</v>
      </c>
      <c r="Q184" s="50">
        <f>VLOOKUP($A184,'Data shares'!$C:$FB,127)*100</f>
        <v>22.86</v>
      </c>
    </row>
    <row r="185" spans="1:17" x14ac:dyDescent="0.25">
      <c r="A185" s="97" t="str">
        <f>'Data Vlaue (Cr)'!C180</f>
        <v>RELIANCE</v>
      </c>
      <c r="B185" s="140">
        <f>VLOOKUP($A185,'Data shares'!$C:$FB,7)</f>
        <v>1413</v>
      </c>
      <c r="C185" s="140">
        <f>VLOOKUP($A185,'Data shares'!$C:$FB,3)</f>
        <v>1415.5</v>
      </c>
      <c r="D185" s="140">
        <f>VLOOKUP($A185,'Data shares'!$C:$FB,4)</f>
        <v>1421.2</v>
      </c>
      <c r="E185" s="50">
        <f t="shared" si="12"/>
        <v>-0.4010695187165807</v>
      </c>
      <c r="F185" s="49">
        <f>VLOOKUP($A185,'Data shares'!$C:$FB,98)</f>
        <v>224671000</v>
      </c>
      <c r="G185" s="49">
        <f>VLOOKUP($A185,'Data shares'!$C:$FB,99)</f>
        <v>221701500</v>
      </c>
      <c r="H185" s="50">
        <f t="shared" si="13"/>
        <v>1.3394135808733816</v>
      </c>
      <c r="I185" s="49">
        <f>VLOOKUP($A185,'Data shares'!$C:$FB,66)</f>
        <v>161876500</v>
      </c>
      <c r="J185" s="49">
        <f>VLOOKUP($A185,'Data shares'!$C:$FB,67)</f>
        <v>321371000</v>
      </c>
      <c r="K185" s="50">
        <f t="shared" si="14"/>
        <v>-98.528507843942762</v>
      </c>
      <c r="L185" s="50">
        <f>VLOOKUP($A185,'Data shares'!$C:$FB,118)</f>
        <v>0.63</v>
      </c>
      <c r="M185" s="50">
        <f>VLOOKUP($A185,'Data shares'!$C:$FB,119)</f>
        <v>0.7</v>
      </c>
      <c r="N185" s="50">
        <f>VLOOKUP($A185,'Data shares'!$C:$FB,121)*100</f>
        <v>-10</v>
      </c>
      <c r="O185" s="50">
        <f>VLOOKUP($A185,'Data shares'!$C:$FB,124)</f>
        <v>0.5</v>
      </c>
      <c r="P185" s="50">
        <f>VLOOKUP($A185,'Data shares'!$C:$FB,125)</f>
        <v>0.48</v>
      </c>
      <c r="Q185" s="50">
        <f>VLOOKUP($A185,'Data shares'!$C:$FB,127)*100</f>
        <v>4.17</v>
      </c>
    </row>
    <row r="186" spans="1:17" x14ac:dyDescent="0.25">
      <c r="A186" s="97" t="str">
        <f>'Data Vlaue (Cr)'!C181</f>
        <v>RVNL</v>
      </c>
      <c r="B186" s="140">
        <f>VLOOKUP($A186,'Data shares'!$C:$FB,7)</f>
        <v>330.8</v>
      </c>
      <c r="C186" s="140">
        <f>VLOOKUP($A186,'Data shares'!$C:$FB,3)</f>
        <v>325.05</v>
      </c>
      <c r="D186" s="140">
        <f>VLOOKUP($A186,'Data shares'!$C:$FB,4)</f>
        <v>325.75</v>
      </c>
      <c r="E186" s="50">
        <f t="shared" si="12"/>
        <v>-0.21488871834228354</v>
      </c>
      <c r="F186" s="49">
        <f>VLOOKUP($A186,'Data shares'!$C:$FB,98)</f>
        <v>37625500</v>
      </c>
      <c r="G186" s="49">
        <f>VLOOKUP($A186,'Data shares'!$C:$FB,99)</f>
        <v>34692625</v>
      </c>
      <c r="H186" s="50">
        <f t="shared" si="13"/>
        <v>8.4538860925052521</v>
      </c>
      <c r="I186" s="49">
        <f>VLOOKUP($A186,'Data shares'!$C:$FB,66)</f>
        <v>19324250</v>
      </c>
      <c r="J186" s="49">
        <f>VLOOKUP($A186,'Data shares'!$C:$FB,67)</f>
        <v>14907750</v>
      </c>
      <c r="K186" s="50">
        <f t="shared" si="14"/>
        <v>22.854703287320337</v>
      </c>
      <c r="L186" s="50">
        <f>VLOOKUP($A186,'Data shares'!$C:$FB,118)</f>
        <v>0.6</v>
      </c>
      <c r="M186" s="50">
        <f>VLOOKUP($A186,'Data shares'!$C:$FB,119)</f>
        <v>0.6</v>
      </c>
      <c r="N186" s="50">
        <f>VLOOKUP($A186,'Data shares'!$C:$FB,121)*100</f>
        <v>0</v>
      </c>
      <c r="O186" s="50">
        <f>VLOOKUP($A186,'Data shares'!$C:$FB,124)</f>
        <v>0.41</v>
      </c>
      <c r="P186" s="50">
        <f>VLOOKUP($A186,'Data shares'!$C:$FB,125)</f>
        <v>0.37</v>
      </c>
      <c r="Q186" s="50">
        <f>VLOOKUP($A186,'Data shares'!$C:$FB,127)*100</f>
        <v>10.81</v>
      </c>
    </row>
    <row r="187" spans="1:17" x14ac:dyDescent="0.25">
      <c r="A187" s="97" t="str">
        <f>'Data Vlaue (Cr)'!C182</f>
        <v>SAIL</v>
      </c>
      <c r="B187" s="140">
        <f>VLOOKUP($A187,'Data shares'!$C:$FB,7)</f>
        <v>124.09</v>
      </c>
      <c r="C187" s="140">
        <f>VLOOKUP($A187,'Data shares'!$C:$FB,3)</f>
        <v>124.38</v>
      </c>
      <c r="D187" s="140">
        <f>VLOOKUP($A187,'Data shares'!$C:$FB,4)</f>
        <v>123</v>
      </c>
      <c r="E187" s="50">
        <f t="shared" si="12"/>
        <v>1.1219512195121915</v>
      </c>
      <c r="F187" s="49">
        <f>VLOOKUP($A187,'Data shares'!$C:$FB,98)</f>
        <v>230906300</v>
      </c>
      <c r="G187" s="49">
        <f>VLOOKUP($A187,'Data shares'!$C:$FB,99)</f>
        <v>247267000</v>
      </c>
      <c r="H187" s="50">
        <f t="shared" si="13"/>
        <v>-6.6166128112526135</v>
      </c>
      <c r="I187" s="49">
        <f>VLOOKUP($A187,'Data shares'!$C:$FB,66)</f>
        <v>134847700</v>
      </c>
      <c r="J187" s="49">
        <f>VLOOKUP($A187,'Data shares'!$C:$FB,67)</f>
        <v>47531100</v>
      </c>
      <c r="K187" s="50">
        <f t="shared" si="14"/>
        <v>64.752012826321845</v>
      </c>
      <c r="L187" s="50">
        <f>VLOOKUP($A187,'Data shares'!$C:$FB,118)</f>
        <v>0.64</v>
      </c>
      <c r="M187" s="50">
        <f>VLOOKUP($A187,'Data shares'!$C:$FB,119)</f>
        <v>0.59</v>
      </c>
      <c r="N187" s="50">
        <f>VLOOKUP($A187,'Data shares'!$C:$FB,121)*100</f>
        <v>8.4699999999999989</v>
      </c>
      <c r="O187" s="50">
        <f>VLOOKUP($A187,'Data shares'!$C:$FB,124)</f>
        <v>0.44</v>
      </c>
      <c r="P187" s="50">
        <f>VLOOKUP($A187,'Data shares'!$C:$FB,125)</f>
        <v>0.6</v>
      </c>
      <c r="Q187" s="50">
        <f>VLOOKUP($A187,'Data shares'!$C:$FB,127)*100</f>
        <v>-26.669999999999998</v>
      </c>
    </row>
    <row r="188" spans="1:17" x14ac:dyDescent="0.25">
      <c r="A188" s="97" t="str">
        <f>'Data Vlaue (Cr)'!C183</f>
        <v>SBICARD</v>
      </c>
      <c r="B188" s="140">
        <f>VLOOKUP($A188,'Data shares'!$C:$FB,7)</f>
        <v>818.1</v>
      </c>
      <c r="C188" s="140">
        <f>VLOOKUP($A188,'Data shares'!$C:$FB,3)</f>
        <v>816.05</v>
      </c>
      <c r="D188" s="140">
        <f>VLOOKUP($A188,'Data shares'!$C:$FB,4)</f>
        <v>819.1</v>
      </c>
      <c r="E188" s="50">
        <f t="shared" si="12"/>
        <v>-0.37235990721524459</v>
      </c>
      <c r="F188" s="49">
        <f>VLOOKUP($A188,'Data shares'!$C:$FB,98)</f>
        <v>23062400</v>
      </c>
      <c r="G188" s="49">
        <f>VLOOKUP($A188,'Data shares'!$C:$FB,99)</f>
        <v>22775200</v>
      </c>
      <c r="H188" s="50">
        <f t="shared" si="13"/>
        <v>1.2610207594225298</v>
      </c>
      <c r="I188" s="49">
        <f>VLOOKUP($A188,'Data shares'!$C:$FB,66)</f>
        <v>6124000</v>
      </c>
      <c r="J188" s="49">
        <f>VLOOKUP($A188,'Data shares'!$C:$FB,67)</f>
        <v>8419200</v>
      </c>
      <c r="K188" s="50">
        <f t="shared" si="14"/>
        <v>-37.478772044415415</v>
      </c>
      <c r="L188" s="50">
        <f>VLOOKUP($A188,'Data shares'!$C:$FB,118)</f>
        <v>0.65</v>
      </c>
      <c r="M188" s="50">
        <f>VLOOKUP($A188,'Data shares'!$C:$FB,119)</f>
        <v>0.55000000000000004</v>
      </c>
      <c r="N188" s="50">
        <f>VLOOKUP($A188,'Data shares'!$C:$FB,121)*100</f>
        <v>18.18</v>
      </c>
      <c r="O188" s="50">
        <f>VLOOKUP($A188,'Data shares'!$C:$FB,124)</f>
        <v>0.7</v>
      </c>
      <c r="P188" s="50">
        <f>VLOOKUP($A188,'Data shares'!$C:$FB,125)</f>
        <v>0.44</v>
      </c>
      <c r="Q188" s="50">
        <f>VLOOKUP($A188,'Data shares'!$C:$FB,127)*100</f>
        <v>59.089999999999996</v>
      </c>
    </row>
    <row r="189" spans="1:17" x14ac:dyDescent="0.25">
      <c r="A189" s="97" t="str">
        <f>'Data Vlaue (Cr)'!C223</f>
        <v>ZYDUSLIFE</v>
      </c>
      <c r="B189" s="140">
        <f>VLOOKUP($A189,'Data shares'!$C:$FB,7)</f>
        <v>983.3</v>
      </c>
      <c r="C189" s="140">
        <f>VLOOKUP($A189,'Data shares'!$C:$FB,3)</f>
        <v>984.15</v>
      </c>
      <c r="D189" s="140">
        <f>VLOOKUP($A189,'Data shares'!$C:$FB,4)</f>
        <v>992.9</v>
      </c>
      <c r="E189" s="50">
        <f t="shared" si="12"/>
        <v>-0.881256924161547</v>
      </c>
      <c r="F189" s="49">
        <f>VLOOKUP($A189,'Data shares'!$C:$FB,98)</f>
        <v>14229000</v>
      </c>
      <c r="G189" s="49">
        <f>VLOOKUP($A189,'Data shares'!$C:$FB,99)</f>
        <v>14148900</v>
      </c>
      <c r="H189" s="50">
        <f t="shared" si="13"/>
        <v>0.56612174798040837</v>
      </c>
      <c r="I189" s="49">
        <f>VLOOKUP($A189,'Data shares'!$C:$FB,66)</f>
        <v>4051800</v>
      </c>
      <c r="J189" s="49">
        <f>VLOOKUP($A189,'Data shares'!$C:$FB,67)</f>
        <v>5055300</v>
      </c>
      <c r="K189" s="50">
        <f t="shared" si="14"/>
        <v>-24.76677032430031</v>
      </c>
      <c r="L189" s="50">
        <f>VLOOKUP($A189,'Data shares'!$C:$FB,118)</f>
        <v>0.98</v>
      </c>
      <c r="M189" s="50">
        <f>VLOOKUP($A189,'Data shares'!$C:$FB,119)</f>
        <v>0.94</v>
      </c>
      <c r="N189" s="50">
        <f>VLOOKUP($A189,'Data shares'!$C:$FB,121)*100</f>
        <v>4.26</v>
      </c>
      <c r="O189" s="50">
        <f>VLOOKUP($A189,'Data shares'!$C:$FB,124)</f>
        <v>0.49</v>
      </c>
      <c r="P189" s="50">
        <f>VLOOKUP($A189,'Data shares'!$C:$FB,125)</f>
        <v>0.37</v>
      </c>
      <c r="Q189" s="50">
        <f>VLOOKUP($A189,'Data shares'!$C:$FB,127)*100</f>
        <v>32.43</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18176752187</v>
      </c>
      <c r="G231" s="113">
        <f>SUM(G7:G172)</f>
        <v>17878076277</v>
      </c>
      <c r="H231" s="114">
        <f>(F231-G231)/G231*100</f>
        <v>1.6706266679499748</v>
      </c>
      <c r="I231" s="113">
        <f>SUM(I7:I172)</f>
        <v>15824552601</v>
      </c>
      <c r="J231" s="113">
        <f>SUM(J7:J172)</f>
        <v>12759446492</v>
      </c>
      <c r="K231" s="114">
        <f>(I231-J231)/J231*100</f>
        <v>24.02224979682136</v>
      </c>
      <c r="L231" s="113"/>
      <c r="M231" s="113"/>
      <c r="N231" s="113"/>
      <c r="O231" s="113"/>
      <c r="P231" s="257"/>
      <c r="Q231" s="257"/>
    </row>
    <row r="232" spans="1:17" s="64" customFormat="1" x14ac:dyDescent="0.25">
      <c r="A232" s="257" t="s">
        <v>398</v>
      </c>
      <c r="B232" s="257"/>
      <c r="C232" s="257"/>
      <c r="D232" s="257"/>
      <c r="E232" s="257"/>
      <c r="F232" s="113">
        <f>F231/10000000</f>
        <v>1817.6752187</v>
      </c>
      <c r="G232" s="113">
        <f>G231/10000000</f>
        <v>1787.8076277</v>
      </c>
      <c r="H232" s="114">
        <f>(F232-G232)/G232*100</f>
        <v>1.6706266679499717</v>
      </c>
      <c r="I232" s="113">
        <f>I231/10000000</f>
        <v>1582.4552601</v>
      </c>
      <c r="J232" s="113">
        <f>J231/10000000</f>
        <v>1275.9446492</v>
      </c>
      <c r="K232" s="114">
        <f>(I232-J232)/J232*100</f>
        <v>24.022249796821367</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M10" sqref="M10"/>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(Value)'!H159</f>
        <v>1403827</v>
      </c>
      <c r="C3" s="159">
        <f>'OI(Volume)'!G163</f>
        <v>6.3200000000000006E-2</v>
      </c>
      <c r="D3" s="153">
        <f>'Snapshot (Value)'!P159</f>
        <v>1.28</v>
      </c>
      <c r="E3" s="153">
        <f>'Snapshot (Value)'!R159</f>
        <v>0.82</v>
      </c>
      <c r="F3" s="153">
        <f>IV!E155</f>
        <v>15.97</v>
      </c>
      <c r="G3" s="153">
        <f>IV!B155</f>
        <v>11.26</v>
      </c>
      <c r="H3" s="153">
        <f>'Snapshot (Value)'!C159</f>
        <v>25050.55</v>
      </c>
      <c r="I3" s="153">
        <f>'Snapshot (Value)'!D159</f>
        <v>25083.3</v>
      </c>
      <c r="J3" s="153">
        <f>'Snapshot (Value)'!E159</f>
        <v>25033.5</v>
      </c>
      <c r="K3" s="153">
        <f>(I3-H3)</f>
        <v>32.75</v>
      </c>
      <c r="L3" s="232">
        <f>'Data Vlaue (Cr)'!V150</f>
        <v>25345.8</v>
      </c>
    </row>
    <row r="4" spans="1:12" x14ac:dyDescent="0.25">
      <c r="A4" t="s">
        <v>464</v>
      </c>
      <c r="B4" s="154">
        <f>'Snapshot (Value)'!H38</f>
        <v>243570</v>
      </c>
      <c r="C4" s="159">
        <f>'OI(Volume)'!G34</f>
        <v>2.5600000000000001E-2</v>
      </c>
      <c r="D4" s="153">
        <f>'Snapshot (Value)'!P38</f>
        <v>0.76</v>
      </c>
      <c r="E4" s="153">
        <f>'Snapshot (Value)'!R38</f>
        <v>0.9</v>
      </c>
      <c r="F4" s="153">
        <f>IV!E34</f>
        <v>18.22</v>
      </c>
      <c r="G4" s="153">
        <f>IV!B34</f>
        <v>11.8</v>
      </c>
      <c r="H4" s="153">
        <f>'Snapshot (Value)'!C38</f>
        <v>55698.5</v>
      </c>
      <c r="I4" s="153">
        <f>'Snapshot (Value)'!D38</f>
        <v>55815.6</v>
      </c>
      <c r="J4" s="153">
        <f>'Snapshot (Value)'!E38</f>
        <v>55965.8</v>
      </c>
      <c r="K4" s="153">
        <f>(I4-H4)</f>
        <v>117.09999999999854</v>
      </c>
      <c r="L4" s="232">
        <f>'Data Vlaue (Cr)'!V29</f>
        <v>56369</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P4" sqref="P4"/>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202833</v>
      </c>
      <c r="C3" s="206">
        <v>202829</v>
      </c>
      <c r="D3" s="207">
        <v>-4</v>
      </c>
      <c r="E3" s="206">
        <v>72435</v>
      </c>
      <c r="F3" s="206">
        <v>72307</v>
      </c>
      <c r="G3" s="207">
        <v>-128</v>
      </c>
      <c r="H3" s="206">
        <v>20682</v>
      </c>
      <c r="I3" s="206">
        <v>21383</v>
      </c>
      <c r="J3" s="207">
        <v>701</v>
      </c>
      <c r="K3" s="206">
        <v>48726</v>
      </c>
      <c r="L3" s="206">
        <v>50211</v>
      </c>
      <c r="M3" s="207">
        <v>1485</v>
      </c>
    </row>
    <row r="4" spans="1:13" x14ac:dyDescent="0.2">
      <c r="A4" s="208" t="s">
        <v>640</v>
      </c>
      <c r="B4" s="206">
        <v>85183</v>
      </c>
      <c r="C4" s="206">
        <v>83714</v>
      </c>
      <c r="D4" s="207">
        <v>-1469</v>
      </c>
      <c r="E4" s="206">
        <v>35473</v>
      </c>
      <c r="F4" s="206">
        <v>40103</v>
      </c>
      <c r="G4" s="207">
        <v>4630</v>
      </c>
      <c r="H4" s="206">
        <v>192213</v>
      </c>
      <c r="I4" s="206">
        <v>194575</v>
      </c>
      <c r="J4" s="207">
        <v>2362</v>
      </c>
      <c r="K4" s="206">
        <v>31807</v>
      </c>
      <c r="L4" s="206">
        <v>28338</v>
      </c>
      <c r="M4" s="207">
        <v>-3469</v>
      </c>
    </row>
    <row r="5" spans="1:13" ht="13.5" thickBot="1" x14ac:dyDescent="0.25">
      <c r="A5" s="205" t="s">
        <v>641</v>
      </c>
      <c r="B5" s="206">
        <v>117650</v>
      </c>
      <c r="C5" s="206">
        <v>119115</v>
      </c>
      <c r="D5" s="209">
        <v>1465</v>
      </c>
      <c r="E5" s="206">
        <v>36962</v>
      </c>
      <c r="F5" s="206">
        <v>32204</v>
      </c>
      <c r="G5" s="209">
        <v>-4758</v>
      </c>
      <c r="H5" s="210">
        <v>-171531</v>
      </c>
      <c r="I5" s="210">
        <v>-173192</v>
      </c>
      <c r="J5" s="209">
        <v>-1661</v>
      </c>
      <c r="K5" s="210">
        <v>16919</v>
      </c>
      <c r="L5" s="210">
        <v>21873</v>
      </c>
      <c r="M5" s="209">
        <v>4954</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2373616</v>
      </c>
      <c r="C8" s="206">
        <v>2569340</v>
      </c>
      <c r="D8" s="207">
        <v>195724</v>
      </c>
      <c r="E8" s="206">
        <v>950</v>
      </c>
      <c r="F8" s="206">
        <v>950</v>
      </c>
      <c r="G8" s="207">
        <v>0</v>
      </c>
      <c r="H8" s="206">
        <v>362434</v>
      </c>
      <c r="I8" s="206">
        <v>384514</v>
      </c>
      <c r="J8" s="207">
        <v>22080</v>
      </c>
      <c r="K8" s="206">
        <v>847804</v>
      </c>
      <c r="L8" s="206">
        <v>956668</v>
      </c>
      <c r="M8" s="207">
        <v>108864</v>
      </c>
    </row>
    <row r="9" spans="1:13" x14ac:dyDescent="0.2">
      <c r="A9" s="208" t="s">
        <v>640</v>
      </c>
      <c r="B9" s="206">
        <v>2362184</v>
      </c>
      <c r="C9" s="206">
        <v>2535852</v>
      </c>
      <c r="D9" s="207">
        <v>173668</v>
      </c>
      <c r="E9" s="206">
        <v>0</v>
      </c>
      <c r="F9" s="206">
        <v>0</v>
      </c>
      <c r="G9" s="207">
        <v>0</v>
      </c>
      <c r="H9" s="206">
        <v>375091</v>
      </c>
      <c r="I9" s="206">
        <v>422435</v>
      </c>
      <c r="J9" s="207">
        <v>47344</v>
      </c>
      <c r="K9" s="206">
        <v>847529</v>
      </c>
      <c r="L9" s="206">
        <v>953184</v>
      </c>
      <c r="M9" s="207">
        <v>105655</v>
      </c>
    </row>
    <row r="10" spans="1:13" ht="13.5" thickBot="1" x14ac:dyDescent="0.25">
      <c r="A10" s="205" t="s">
        <v>641</v>
      </c>
      <c r="B10" s="206">
        <v>11432</v>
      </c>
      <c r="C10" s="206">
        <v>33488</v>
      </c>
      <c r="D10" s="209">
        <v>22056</v>
      </c>
      <c r="E10" s="206">
        <v>950</v>
      </c>
      <c r="F10" s="206">
        <v>950</v>
      </c>
      <c r="G10" s="209">
        <v>0</v>
      </c>
      <c r="H10" s="206">
        <v>-12657</v>
      </c>
      <c r="I10" s="206">
        <v>-37921</v>
      </c>
      <c r="J10" s="209">
        <v>-25264</v>
      </c>
      <c r="K10" s="210">
        <v>275</v>
      </c>
      <c r="L10" s="210">
        <v>3484</v>
      </c>
      <c r="M10" s="209">
        <v>3209</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2271089</v>
      </c>
      <c r="C13" s="206">
        <v>2723746</v>
      </c>
      <c r="D13" s="207">
        <v>452657</v>
      </c>
      <c r="E13" s="206">
        <v>57454</v>
      </c>
      <c r="F13" s="206">
        <v>54679</v>
      </c>
      <c r="G13" s="207">
        <v>-2775</v>
      </c>
      <c r="H13" s="206">
        <v>525440</v>
      </c>
      <c r="I13" s="206">
        <v>562212</v>
      </c>
      <c r="J13" s="207">
        <v>36772</v>
      </c>
      <c r="K13" s="206">
        <v>1033312</v>
      </c>
      <c r="L13" s="206">
        <v>1302527</v>
      </c>
      <c r="M13" s="207">
        <v>269215</v>
      </c>
    </row>
    <row r="14" spans="1:13" x14ac:dyDescent="0.2">
      <c r="A14" s="208" t="s">
        <v>640</v>
      </c>
      <c r="B14" s="206">
        <v>2656338</v>
      </c>
      <c r="C14" s="206">
        <v>3049305</v>
      </c>
      <c r="D14" s="207">
        <v>392967</v>
      </c>
      <c r="E14" s="206">
        <v>0</v>
      </c>
      <c r="F14" s="206">
        <v>0</v>
      </c>
      <c r="G14" s="207">
        <v>0</v>
      </c>
      <c r="H14" s="206">
        <v>262975</v>
      </c>
      <c r="I14" s="206">
        <v>350914</v>
      </c>
      <c r="J14" s="207">
        <v>87939</v>
      </c>
      <c r="K14" s="206">
        <v>967982</v>
      </c>
      <c r="L14" s="206">
        <v>1242946</v>
      </c>
      <c r="M14" s="207">
        <v>274964</v>
      </c>
    </row>
    <row r="15" spans="1:13" ht="13.5" thickBot="1" x14ac:dyDescent="0.25">
      <c r="A15" s="205" t="s">
        <v>641</v>
      </c>
      <c r="B15" s="210">
        <v>-385249</v>
      </c>
      <c r="C15" s="210">
        <v>-325559</v>
      </c>
      <c r="D15" s="209">
        <v>59690</v>
      </c>
      <c r="E15" s="206">
        <v>57454</v>
      </c>
      <c r="F15" s="206">
        <v>54679</v>
      </c>
      <c r="G15" s="209">
        <v>-2775</v>
      </c>
      <c r="H15" s="206">
        <v>262465</v>
      </c>
      <c r="I15" s="206">
        <v>211298</v>
      </c>
      <c r="J15" s="209">
        <v>-51167</v>
      </c>
      <c r="K15" s="210">
        <v>65330</v>
      </c>
      <c r="L15" s="210">
        <v>59581</v>
      </c>
      <c r="M15" s="209">
        <v>-5749</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2521111</v>
      </c>
      <c r="C18" s="206">
        <v>2538744</v>
      </c>
      <c r="D18" s="207">
        <v>17633</v>
      </c>
      <c r="E18" s="206">
        <v>191756</v>
      </c>
      <c r="F18" s="206">
        <v>202553</v>
      </c>
      <c r="G18" s="207">
        <v>10797</v>
      </c>
      <c r="H18" s="206">
        <v>3520500</v>
      </c>
      <c r="I18" s="206">
        <v>3527057</v>
      </c>
      <c r="J18" s="207">
        <v>6557</v>
      </c>
      <c r="K18" s="206">
        <v>782128</v>
      </c>
      <c r="L18" s="206">
        <v>790267</v>
      </c>
      <c r="M18" s="207">
        <v>8139</v>
      </c>
    </row>
    <row r="19" spans="1:13" x14ac:dyDescent="0.2">
      <c r="A19" s="208" t="s">
        <v>640</v>
      </c>
      <c r="B19" s="206">
        <v>298296</v>
      </c>
      <c r="C19" s="206">
        <v>307651</v>
      </c>
      <c r="D19" s="207">
        <v>9355</v>
      </c>
      <c r="E19" s="206">
        <v>4239748</v>
      </c>
      <c r="F19" s="206">
        <v>4234101</v>
      </c>
      <c r="G19" s="207">
        <v>-5647</v>
      </c>
      <c r="H19" s="206">
        <v>2120055</v>
      </c>
      <c r="I19" s="206">
        <v>2136619</v>
      </c>
      <c r="J19" s="207">
        <v>16564</v>
      </c>
      <c r="K19" s="206">
        <v>357396</v>
      </c>
      <c r="L19" s="206">
        <v>380250</v>
      </c>
      <c r="M19" s="207">
        <v>22854</v>
      </c>
    </row>
    <row r="20" spans="1:13" ht="13.5" thickBot="1" x14ac:dyDescent="0.25">
      <c r="A20" s="205" t="s">
        <v>641</v>
      </c>
      <c r="B20" s="206">
        <v>2222815</v>
      </c>
      <c r="C20" s="206">
        <v>2231093</v>
      </c>
      <c r="D20" s="209">
        <v>8278</v>
      </c>
      <c r="E20" s="210">
        <v>-4047992</v>
      </c>
      <c r="F20" s="210">
        <v>-4031548</v>
      </c>
      <c r="G20" s="209">
        <v>16444</v>
      </c>
      <c r="H20" s="206">
        <v>1400445</v>
      </c>
      <c r="I20" s="206">
        <v>1390438</v>
      </c>
      <c r="J20" s="209">
        <v>-10007</v>
      </c>
      <c r="K20" s="206">
        <v>424732</v>
      </c>
      <c r="L20" s="206">
        <v>410017</v>
      </c>
      <c r="M20" s="209">
        <v>-14715</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1919868</v>
      </c>
      <c r="C23" s="206">
        <v>1972173</v>
      </c>
      <c r="D23" s="207">
        <v>52305</v>
      </c>
      <c r="E23" s="206">
        <v>2598</v>
      </c>
      <c r="F23" s="206">
        <v>3011</v>
      </c>
      <c r="G23" s="207">
        <v>413</v>
      </c>
      <c r="H23" s="206">
        <v>92390</v>
      </c>
      <c r="I23" s="206">
        <v>100320</v>
      </c>
      <c r="J23" s="207">
        <v>7930</v>
      </c>
      <c r="K23" s="206">
        <v>820738</v>
      </c>
      <c r="L23" s="206">
        <v>849505</v>
      </c>
      <c r="M23" s="207">
        <v>28767</v>
      </c>
    </row>
    <row r="24" spans="1:13" x14ac:dyDescent="0.2">
      <c r="A24" s="208" t="s">
        <v>640</v>
      </c>
      <c r="B24" s="206">
        <v>1242136</v>
      </c>
      <c r="C24" s="206">
        <v>1266911</v>
      </c>
      <c r="D24" s="207">
        <v>24775</v>
      </c>
      <c r="E24" s="206">
        <v>203255</v>
      </c>
      <c r="F24" s="206">
        <v>213513</v>
      </c>
      <c r="G24" s="207">
        <v>10258</v>
      </c>
      <c r="H24" s="206">
        <v>104762</v>
      </c>
      <c r="I24" s="206">
        <v>110081</v>
      </c>
      <c r="J24" s="207">
        <v>5319</v>
      </c>
      <c r="K24" s="206">
        <v>1285441</v>
      </c>
      <c r="L24" s="206">
        <v>1334504</v>
      </c>
      <c r="M24" s="207">
        <v>49063</v>
      </c>
    </row>
    <row r="25" spans="1:13" ht="13.5" thickBot="1" x14ac:dyDescent="0.25">
      <c r="A25" s="205" t="s">
        <v>641</v>
      </c>
      <c r="B25" s="206">
        <v>677732</v>
      </c>
      <c r="C25" s="206">
        <v>705262</v>
      </c>
      <c r="D25" s="209">
        <v>27530</v>
      </c>
      <c r="E25" s="210">
        <v>-200657</v>
      </c>
      <c r="F25" s="210">
        <v>-210502</v>
      </c>
      <c r="G25" s="209">
        <v>-9845</v>
      </c>
      <c r="H25" s="210">
        <v>-12372</v>
      </c>
      <c r="I25" s="210">
        <v>-9761</v>
      </c>
      <c r="J25" s="209">
        <v>2611</v>
      </c>
      <c r="K25" s="210">
        <v>-464703</v>
      </c>
      <c r="L25" s="210">
        <v>-484999</v>
      </c>
      <c r="M25" s="209">
        <v>-20296</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927910</v>
      </c>
      <c r="C28" s="206">
        <v>953816</v>
      </c>
      <c r="D28" s="207">
        <v>25906</v>
      </c>
      <c r="E28" s="206">
        <v>0</v>
      </c>
      <c r="F28" s="206">
        <v>0</v>
      </c>
      <c r="G28" s="207">
        <v>0</v>
      </c>
      <c r="H28" s="206">
        <v>121137</v>
      </c>
      <c r="I28" s="206">
        <v>125722</v>
      </c>
      <c r="J28" s="207">
        <v>4585</v>
      </c>
      <c r="K28" s="206">
        <v>877956</v>
      </c>
      <c r="L28" s="206">
        <v>906766</v>
      </c>
      <c r="M28" s="207">
        <v>28810</v>
      </c>
    </row>
    <row r="29" spans="1:13" x14ac:dyDescent="0.2">
      <c r="A29" s="208" t="s">
        <v>640</v>
      </c>
      <c r="B29" s="206">
        <v>1072502</v>
      </c>
      <c r="C29" s="206">
        <v>1103268</v>
      </c>
      <c r="D29" s="207">
        <v>30766</v>
      </c>
      <c r="E29" s="206">
        <v>0</v>
      </c>
      <c r="F29" s="206">
        <v>0</v>
      </c>
      <c r="G29" s="207">
        <v>0</v>
      </c>
      <c r="H29" s="206">
        <v>82804</v>
      </c>
      <c r="I29" s="206">
        <v>86325</v>
      </c>
      <c r="J29" s="207">
        <v>3521</v>
      </c>
      <c r="K29" s="206">
        <v>771697</v>
      </c>
      <c r="L29" s="206">
        <v>796711</v>
      </c>
      <c r="M29" s="207">
        <v>25014</v>
      </c>
    </row>
    <row r="30" spans="1:13" ht="13.5" thickBot="1" x14ac:dyDescent="0.25">
      <c r="A30" s="211" t="s">
        <v>641</v>
      </c>
      <c r="B30" s="212">
        <v>-144592</v>
      </c>
      <c r="C30" s="212">
        <v>-149452</v>
      </c>
      <c r="D30" s="213">
        <v>-4860</v>
      </c>
      <c r="E30" s="214">
        <v>0</v>
      </c>
      <c r="F30" s="214">
        <v>0</v>
      </c>
      <c r="G30" s="213">
        <v>0</v>
      </c>
      <c r="H30" s="214">
        <v>38333</v>
      </c>
      <c r="I30" s="214">
        <v>39397</v>
      </c>
      <c r="J30" s="213">
        <v>1064</v>
      </c>
      <c r="K30" s="214">
        <v>106259</v>
      </c>
      <c r="L30" s="214">
        <v>110055</v>
      </c>
      <c r="M30" s="213">
        <v>3796</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3592.3</v>
      </c>
      <c r="C3" s="200"/>
      <c r="D3" s="200"/>
    </row>
    <row r="4" spans="1:4" x14ac:dyDescent="0.25">
      <c r="A4" s="217" t="s">
        <v>320</v>
      </c>
      <c r="B4" s="220">
        <f>VLOOKUP($B$1,'Snapshot (Value)'!$A:$S,6,0)</f>
        <v>3.0999999999999091</v>
      </c>
      <c r="C4" s="200"/>
      <c r="D4" s="200"/>
    </row>
    <row r="5" spans="1:4" x14ac:dyDescent="0.25">
      <c r="A5" s="221"/>
      <c r="B5" s="222" t="s">
        <v>650</v>
      </c>
      <c r="C5" s="222" t="s">
        <v>651</v>
      </c>
      <c r="D5" s="222" t="s">
        <v>652</v>
      </c>
    </row>
    <row r="6" spans="1:4" x14ac:dyDescent="0.25">
      <c r="A6" s="217" t="s">
        <v>653</v>
      </c>
      <c r="B6" s="219">
        <f>VLOOKUP($B$1,'Snapshot (Value)'!$A:$S,4,0)</f>
        <v>3595.4</v>
      </c>
      <c r="C6" s="219">
        <f>VLOOKUP($B$1,'Snapshot (Value)'!$A:$S,5,0)</f>
        <v>3623.3</v>
      </c>
      <c r="D6" s="219">
        <f>+(B6/C6-1)*100</f>
        <v>-0.77001628349847584</v>
      </c>
    </row>
    <row r="7" spans="1:4" x14ac:dyDescent="0.25">
      <c r="A7" s="217" t="s">
        <v>316</v>
      </c>
      <c r="B7" s="219">
        <f>VLOOKUP($B$1,'Snapshot (Volume)'!$A:$S,12,0)</f>
        <v>0.48</v>
      </c>
      <c r="C7" s="219">
        <f>VLOOKUP($B$1,'Snapshot (Volume)'!$A:$S,13,0)</f>
        <v>0.53</v>
      </c>
      <c r="D7" s="219">
        <f>+(B7/C7-1)*100</f>
        <v>-9.4339622641509528</v>
      </c>
    </row>
    <row r="8" spans="1:4" x14ac:dyDescent="0.25">
      <c r="A8" s="217" t="s">
        <v>654</v>
      </c>
      <c r="B8" s="219">
        <f>VLOOKUP($B$1,'Snapshot (Volume)'!$A:$S,15,0)</f>
        <v>0.44</v>
      </c>
      <c r="C8" s="219">
        <f>VLOOKUP($B$1,'Snapshot (Volume)'!$A:$S,16,0)</f>
        <v>0.38</v>
      </c>
      <c r="D8" s="219">
        <f>+(B8/C8-1)*100</f>
        <v>15.789473684210531</v>
      </c>
    </row>
    <row r="9" spans="1:4" x14ac:dyDescent="0.25">
      <c r="A9" s="215" t="s">
        <v>655</v>
      </c>
      <c r="B9" s="222" t="s">
        <v>656</v>
      </c>
      <c r="C9" s="222" t="s">
        <v>369</v>
      </c>
      <c r="D9" s="222" t="s">
        <v>652</v>
      </c>
    </row>
    <row r="10" spans="1:4" x14ac:dyDescent="0.25">
      <c r="A10" s="217" t="s">
        <v>657</v>
      </c>
      <c r="B10" s="219">
        <f>VLOOKUP($B$1,'OI(Value)'!$A:$O,5,0)</f>
        <v>5477</v>
      </c>
      <c r="C10" s="219">
        <f>VLOOKUP($B$1,'OI(Value)'!$A:$O,6,0)</f>
        <v>43</v>
      </c>
      <c r="D10" s="219">
        <f>VLOOKUP($B$1,'OI(Value)'!$A:$O,7,0)*100</f>
        <v>0.79</v>
      </c>
    </row>
    <row r="11" spans="1:4" x14ac:dyDescent="0.25">
      <c r="A11" s="217" t="s">
        <v>658</v>
      </c>
      <c r="B11" s="219">
        <f>VLOOKUP($B$1,'OI(Value)'!$A:$O,8,0)</f>
        <v>2285</v>
      </c>
      <c r="C11" s="219">
        <f>VLOOKUP($B$1,'OI(Value)'!$A:$O,9,0)</f>
        <v>333</v>
      </c>
      <c r="D11" s="219">
        <f>VLOOKUP($B$1,'OI(Value)'!$A:$O,10,0)*100</f>
        <v>17.059999999999999</v>
      </c>
    </row>
    <row r="12" spans="1:4" x14ac:dyDescent="0.25">
      <c r="A12" s="217" t="s">
        <v>659</v>
      </c>
      <c r="B12" s="219">
        <f>VLOOKUP($B$1,'OI(Value)'!$A:$O,11,0)</f>
        <v>1086</v>
      </c>
      <c r="C12" s="219">
        <f>VLOOKUP($B$1,'OI(Value)'!$A:$O,12,0)</f>
        <v>43</v>
      </c>
      <c r="D12" s="219">
        <f>VLOOKUP($B$1,'OI(Value)'!$A:$O,13,0)*100</f>
        <v>4.08</v>
      </c>
    </row>
    <row r="13" spans="1:4" x14ac:dyDescent="0.25">
      <c r="A13" s="215" t="s">
        <v>660</v>
      </c>
      <c r="B13" s="223">
        <f>VLOOKUP($B$1,'OI(Value)'!$A:$O,2,0)</f>
        <v>8848</v>
      </c>
      <c r="C13" s="223">
        <f>VLOOKUP($B$1,'OI(Value)'!$A:$O,3,0)</f>
        <v>418</v>
      </c>
      <c r="D13" s="223">
        <f>VLOOKUP($B$1,'OI(Value)'!$A:$O,4,0)*100</f>
        <v>4.96</v>
      </c>
    </row>
    <row r="14" spans="1:4" x14ac:dyDescent="0.25">
      <c r="A14" s="215" t="s">
        <v>661</v>
      </c>
      <c r="B14" s="222" t="s">
        <v>662</v>
      </c>
      <c r="C14" s="222" t="s">
        <v>369</v>
      </c>
      <c r="D14" s="222" t="s">
        <v>652</v>
      </c>
    </row>
    <row r="15" spans="1:4" x14ac:dyDescent="0.25">
      <c r="A15" s="217" t="s">
        <v>657</v>
      </c>
      <c r="B15" s="219">
        <f>VLOOKUP($B$1,'OI(Volume)'!$A:$O,5,0)/10^5</f>
        <v>152.32875000000001</v>
      </c>
      <c r="C15" s="219">
        <f>VLOOKUP($B$1,'OI(Volume)'!$A:$O,6,0)/10^5</f>
        <v>1.18825</v>
      </c>
      <c r="D15" s="219">
        <f>(VLOOKUP($B$1,'OI(Volume)'!$A:$O,7,0))*100</f>
        <v>0.79</v>
      </c>
    </row>
    <row r="16" spans="1:4" x14ac:dyDescent="0.25">
      <c r="A16" s="217" t="s">
        <v>658</v>
      </c>
      <c r="B16" s="219">
        <f>VLOOKUP($B$1,'OI(Volume)'!$A:$O,8,0)/10^5</f>
        <v>63.56</v>
      </c>
      <c r="C16" s="219">
        <f>VLOOKUP($B$1,'OI(Volume)'!$A:$O,9,0)/10^5</f>
        <v>9.2609999999999992</v>
      </c>
      <c r="D16" s="219">
        <f>(VLOOKUP($B$1,'OI(Volume)'!$A:$O,10,0))*100</f>
        <v>17.059999999999999</v>
      </c>
    </row>
    <row r="17" spans="1:4" x14ac:dyDescent="0.25">
      <c r="A17" s="217" t="s">
        <v>659</v>
      </c>
      <c r="B17" s="219">
        <f>VLOOKUP($B$1,'OI(Volume)'!$A:$O,11,0)/10^5</f>
        <v>30.208500000000001</v>
      </c>
      <c r="C17" s="219">
        <f>VLOOKUP($B$1,'OI(Volume)'!$A:$O,12,0)/10^5</f>
        <v>1.1830000000000001</v>
      </c>
      <c r="D17" s="219">
        <f>(VLOOKUP($B$1,'OI(Volume)'!$A:$O,13,0))*100</f>
        <v>4.08</v>
      </c>
    </row>
    <row r="18" spans="1:4" x14ac:dyDescent="0.25">
      <c r="A18" s="215" t="s">
        <v>663</v>
      </c>
      <c r="B18" s="223">
        <f>VLOOKUP($B$1,'OI(Volume)'!$A:$O,2,0)/10^5</f>
        <v>246.09725</v>
      </c>
      <c r="C18" s="223">
        <f>VLOOKUP($B$1,'OI(Volume)'!$A:$O,3,0)/10^5</f>
        <v>11.632250000000001</v>
      </c>
      <c r="D18" s="223">
        <f>(VLOOKUP($B$1,'OI(Volume)'!$A:$O,4,0))*100</f>
        <v>4.96</v>
      </c>
    </row>
    <row r="20" spans="1:4" x14ac:dyDescent="0.25">
      <c r="A20" s="17" t="s">
        <v>417</v>
      </c>
      <c r="B20" s="224">
        <f>VLOOKUP($B$1,'Open Interest Position'!$A:$F,2,0)/10^5</f>
        <v>2720.1460699999998</v>
      </c>
    </row>
    <row r="21" spans="1:4" x14ac:dyDescent="0.25">
      <c r="A21" s="17" t="s">
        <v>412</v>
      </c>
      <c r="B21" s="224">
        <f>VLOOKUP($B$1,'Open Interest Position'!$A:$F,3,0)/10^5</f>
        <v>241.84825000000001</v>
      </c>
    </row>
    <row r="22" spans="1:4" x14ac:dyDescent="0.25">
      <c r="A22" s="17" t="s">
        <v>418</v>
      </c>
      <c r="B22" s="224">
        <f>VLOOKUP($B$1,'Open Interest Position'!$A:$F,4,0)/10^5</f>
        <v>161280.51290999999</v>
      </c>
    </row>
    <row r="23" spans="1:4" x14ac:dyDescent="0.25">
      <c r="A23" s="17" t="s">
        <v>419</v>
      </c>
      <c r="B23" s="225">
        <f>VLOOKUP($B$1,'Open Interest Position'!$A:$F,6,0)</f>
        <v>8.8910023129750534E-2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45889</v>
      </c>
      <c r="E6" s="66" t="s">
        <v>368</v>
      </c>
      <c r="F6" s="71" t="s">
        <v>333</v>
      </c>
      <c r="G6" s="71" t="s">
        <v>328</v>
      </c>
      <c r="H6" s="66">
        <f>D6</f>
        <v>45889</v>
      </c>
      <c r="I6" s="71" t="s">
        <v>322</v>
      </c>
      <c r="J6" s="71" t="s">
        <v>328</v>
      </c>
      <c r="K6" s="66">
        <f>D6</f>
        <v>45889</v>
      </c>
      <c r="L6" s="78" t="s">
        <v>333</v>
      </c>
      <c r="M6" s="78" t="s">
        <v>328</v>
      </c>
      <c r="N6" s="66">
        <f>D6</f>
        <v>45889</v>
      </c>
      <c r="O6" s="78" t="s">
        <v>322</v>
      </c>
      <c r="P6" s="78" t="s">
        <v>328</v>
      </c>
    </row>
    <row r="7" spans="1:36" x14ac:dyDescent="0.25">
      <c r="A7" s="79" t="str">
        <f>'Data shares'!B2</f>
        <v>Finance</v>
      </c>
      <c r="B7" s="79" t="str">
        <f>'Data shares'!C2</f>
        <v>360ONE</v>
      </c>
      <c r="C7" s="79">
        <f>VLOOKUP($B7,'Data shares'!$C:$FB,7)</f>
        <v>1102.9000000000001</v>
      </c>
      <c r="D7" s="165">
        <f>VLOOKUP($B7,'Data shares'!$C:$FB,98)</f>
        <v>7439000</v>
      </c>
      <c r="E7" s="165">
        <f>VLOOKUP(B7,'Snapshot (Volume)'!$A$7:$G$168,7,0)</f>
        <v>7511000</v>
      </c>
      <c r="F7" s="165">
        <f>D7-E7</f>
        <v>-72000</v>
      </c>
      <c r="G7" s="166">
        <f>F7/E7</f>
        <v>-9.5859406204233787E-3</v>
      </c>
      <c r="H7" s="165">
        <f>VLOOKUP($B7,'Data shares'!$C:$FB,66)</f>
        <v>6203500</v>
      </c>
      <c r="I7" s="165">
        <f>VLOOKUP($B7,'Data shares'!$C:$FB,67)</f>
        <v>3503000</v>
      </c>
      <c r="J7" s="81">
        <f>(H7-I7)/I7*100</f>
        <v>77.091064801598634</v>
      </c>
      <c r="K7" s="81">
        <f>VLOOKUP($B7,'Data Vlaue (Cr)'!$C:$FB,99)</f>
        <v>820</v>
      </c>
      <c r="L7" s="81">
        <f>VLOOKUP(B7,'OI(Value)'!$A$7:$C$209,3,0)</f>
        <v>-8</v>
      </c>
      <c r="M7" s="81">
        <f t="shared" ref="M7:M36" si="0">L7/K7*100</f>
        <v>-0.97560975609756095</v>
      </c>
      <c r="N7" s="81">
        <f>VLOOKUP($B7,'Data Vlaue (Cr)'!$C:$FB,67)</f>
        <v>684</v>
      </c>
      <c r="O7" s="81">
        <f>VLOOKUP($B7,'Data Vlaue (Cr)'!$C:$FB,68)</f>
        <v>386</v>
      </c>
      <c r="P7" s="81">
        <f t="shared" ref="P7:P23" si="1">(N7-O7)/N7*100</f>
        <v>43.567251461988306</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5121.5</v>
      </c>
      <c r="D8" s="165">
        <f>VLOOKUP($B8,'Data shares'!$C:$FB,98)</f>
        <v>5956625</v>
      </c>
      <c r="E8" s="165">
        <f>VLOOKUP(B8,'Snapshot (Volume)'!$A$7:$G$168,7,0)</f>
        <v>6037375</v>
      </c>
      <c r="F8" s="165">
        <f t="shared" ref="F8:F23" si="2">D8-E8</f>
        <v>-80750</v>
      </c>
      <c r="G8" s="166">
        <f t="shared" ref="G8:G23" si="3">F8/E8</f>
        <v>-1.3375018116317108E-2</v>
      </c>
      <c r="H8" s="165">
        <f>VLOOKUP($B8,'Data shares'!$C:$FB,66)</f>
        <v>4563125</v>
      </c>
      <c r="I8" s="165">
        <f>VLOOKUP($B8,'Data shares'!$C:$FB,67)</f>
        <v>3441750</v>
      </c>
      <c r="J8" s="81">
        <f t="shared" ref="J8:J22" si="4">(H8-I8)/I8*100</f>
        <v>32.581535556039803</v>
      </c>
      <c r="K8" s="81">
        <f>VLOOKUP($B8,'Data Vlaue (Cr)'!$C:$FB,99)</f>
        <v>3057</v>
      </c>
      <c r="L8" s="81">
        <f>VLOOKUP(B8,'OI(Value)'!$A$7:$C$209,3,0)</f>
        <v>-41</v>
      </c>
      <c r="M8" s="81">
        <f t="shared" si="0"/>
        <v>-1.3411841674844618</v>
      </c>
      <c r="N8" s="81">
        <f>VLOOKUP($B8,'Data Vlaue (Cr)'!$C:$FB,67)</f>
        <v>2342</v>
      </c>
      <c r="O8" s="81">
        <f>VLOOKUP($B8,'Data Vlaue (Cr)'!$C:$FB,68)</f>
        <v>1766</v>
      </c>
      <c r="P8" s="81">
        <f t="shared" si="1"/>
        <v>24.594363791631086</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283.45</v>
      </c>
      <c r="D9" s="165">
        <f>VLOOKUP($B9,'Data shares'!$C:$FB,98)</f>
        <v>92231200</v>
      </c>
      <c r="E9" s="165">
        <f>VLOOKUP(B9,'Snapshot (Volume)'!$A$7:$G$168,7,0)</f>
        <v>90485900</v>
      </c>
      <c r="F9" s="165">
        <f t="shared" si="2"/>
        <v>1745300</v>
      </c>
      <c r="G9" s="166">
        <f t="shared" si="3"/>
        <v>1.9288087978348009E-2</v>
      </c>
      <c r="H9" s="165">
        <f>VLOOKUP($B9,'Data shares'!$C:$FB,66)</f>
        <v>42485500</v>
      </c>
      <c r="I9" s="165">
        <f>VLOOKUP($B9,'Data shares'!$C:$FB,67)</f>
        <v>76532800</v>
      </c>
      <c r="J9" s="81">
        <f t="shared" si="4"/>
        <v>-44.487200259235252</v>
      </c>
      <c r="K9" s="81">
        <f>VLOOKUP($B9,'Data Vlaue (Cr)'!$C:$FB,99)</f>
        <v>2621</v>
      </c>
      <c r="L9" s="81">
        <f>VLOOKUP(B9,'OI(Value)'!$A$7:$C$209,3,0)</f>
        <v>50</v>
      </c>
      <c r="M9" s="81">
        <f t="shared" si="0"/>
        <v>1.907668828691339</v>
      </c>
      <c r="N9" s="81">
        <f>VLOOKUP($B9,'Data Vlaue (Cr)'!$C:$FB,67)</f>
        <v>1207</v>
      </c>
      <c r="O9" s="81">
        <f>VLOOKUP($B9,'Data Vlaue (Cr)'!$C:$FB,68)</f>
        <v>2175</v>
      </c>
      <c r="P9" s="81">
        <f t="shared" si="1"/>
        <v>-80.198840099420053</v>
      </c>
      <c r="Q9" s="1"/>
      <c r="R9" s="1"/>
      <c r="S9" s="1"/>
      <c r="T9" s="1"/>
      <c r="U9" s="1"/>
      <c r="V9" s="1"/>
      <c r="W9" s="1"/>
      <c r="X9" s="1"/>
      <c r="Y9" s="1"/>
      <c r="Z9" s="1"/>
      <c r="AA9" s="1"/>
      <c r="AB9" s="1"/>
      <c r="AC9" s="1"/>
      <c r="AD9" s="1"/>
      <c r="AE9" s="1"/>
      <c r="AF9" s="1"/>
      <c r="AG9" s="1"/>
      <c r="AH9" s="1"/>
      <c r="AI9" s="1"/>
      <c r="AJ9" s="1"/>
    </row>
    <row r="10" spans="1:36" x14ac:dyDescent="0.25">
      <c r="A10" s="79" t="str">
        <f>'Data shares'!B5</f>
        <v>Textile</v>
      </c>
      <c r="B10" s="79" t="str">
        <f>'Data shares'!C5</f>
        <v>ABFRL</v>
      </c>
      <c r="C10" s="4">
        <f>VLOOKUP($B10,'Data shares'!$C:$FB,7)</f>
        <v>76.260000000000005</v>
      </c>
      <c r="D10" s="82">
        <f>VLOOKUP($B10,'Data shares'!$C:$FB,98)</f>
        <v>76297000</v>
      </c>
      <c r="E10" s="165">
        <f>VLOOKUP(B10,'Snapshot (Volume)'!$A$7:$G$168,7,0)</f>
        <v>77833600</v>
      </c>
      <c r="F10" s="165">
        <f t="shared" si="2"/>
        <v>-1536600</v>
      </c>
      <c r="G10" s="166">
        <f t="shared" si="3"/>
        <v>-1.9742116515232496E-2</v>
      </c>
      <c r="H10" s="165">
        <f>VLOOKUP($B10,'Data shares'!$C:$FB,66)</f>
        <v>18967000</v>
      </c>
      <c r="I10" s="165">
        <f>VLOOKUP($B10,'Data shares'!$C:$FB,67)</f>
        <v>34600800</v>
      </c>
      <c r="J10" s="81">
        <f t="shared" si="4"/>
        <v>-45.183348361887589</v>
      </c>
      <c r="K10" s="5">
        <f>VLOOKUP($B10,'Data Vlaue (Cr)'!$C:$FB,99)</f>
        <v>584</v>
      </c>
      <c r="L10" s="81">
        <f>VLOOKUP(B10,'OI(Value)'!$A$7:$C$209,3,0)</f>
        <v>-12</v>
      </c>
      <c r="M10" s="33">
        <f t="shared" si="0"/>
        <v>-2.054794520547945</v>
      </c>
      <c r="N10" s="5">
        <f>VLOOKUP($B10,'Data Vlaue (Cr)'!$C:$FB,67)</f>
        <v>145</v>
      </c>
      <c r="O10" s="5">
        <f>VLOOKUP($B10,'Data Vlaue (Cr)'!$C:$FB,68)</f>
        <v>265</v>
      </c>
      <c r="P10" s="5">
        <f t="shared" si="1"/>
        <v>-82.758620689655174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Power</v>
      </c>
      <c r="B11" s="79" t="str">
        <f>'Data shares'!C6</f>
        <v>ADANIENSOL</v>
      </c>
      <c r="C11" s="4">
        <f>VLOOKUP($B11,'Data shares'!$C:$FB,7)</f>
        <v>824.2</v>
      </c>
      <c r="D11" s="82">
        <f>VLOOKUP($B11,'Data shares'!$C:$FB,98)</f>
        <v>25859925</v>
      </c>
      <c r="E11" s="165">
        <f>VLOOKUP(B11,'Snapshot (Volume)'!$A$7:$G$168,7,0)</f>
        <v>25622325</v>
      </c>
      <c r="F11" s="165">
        <f t="shared" si="2"/>
        <v>237600</v>
      </c>
      <c r="G11" s="166">
        <f t="shared" si="3"/>
        <v>9.2731631497141656E-3</v>
      </c>
      <c r="H11" s="165">
        <f>VLOOKUP($B11,'Data shares'!$C:$FB,66)</f>
        <v>3394575</v>
      </c>
      <c r="I11" s="165">
        <f>VLOOKUP($B11,'Data shares'!$C:$FB,67)</f>
        <v>9619425</v>
      </c>
      <c r="J11" s="81">
        <f t="shared" si="4"/>
        <v>-64.711248333450285</v>
      </c>
      <c r="K11" s="5">
        <f>VLOOKUP($B11,'Data Vlaue (Cr)'!$C:$FB,99)</f>
        <v>2134</v>
      </c>
      <c r="L11" s="81">
        <f>VLOOKUP(B11,'OI(Value)'!$A$7:$C$209,3,0)</f>
        <v>20</v>
      </c>
      <c r="M11" s="33">
        <f t="shared" si="0"/>
        <v>0.93720712277413298</v>
      </c>
      <c r="N11" s="5">
        <f>VLOOKUP($B11,'Data Vlaue (Cr)'!$C:$FB,67)</f>
        <v>280</v>
      </c>
      <c r="O11" s="5">
        <f>VLOOKUP($B11,'Data Vlaue (Cr)'!$C:$FB,68)</f>
        <v>794</v>
      </c>
      <c r="P11" s="5">
        <f t="shared" si="1"/>
        <v>-183.57142857142856</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Infrastructure</v>
      </c>
      <c r="B12" s="79" t="str">
        <f>'Data shares'!C7</f>
        <v>ADANIENT</v>
      </c>
      <c r="C12" s="4">
        <f>VLOOKUP($B12,'Data shares'!$C:$FB,7)</f>
        <v>2387.1</v>
      </c>
      <c r="D12" s="82">
        <f>VLOOKUP($B12,'Data shares'!$C:$FB,98)</f>
        <v>35054100</v>
      </c>
      <c r="E12" s="165">
        <f>VLOOKUP(B12,'Snapshot (Volume)'!$A$7:$G$168,7,0)</f>
        <v>35094900</v>
      </c>
      <c r="F12" s="165">
        <f t="shared" si="2"/>
        <v>-40800</v>
      </c>
      <c r="G12" s="166">
        <f t="shared" si="3"/>
        <v>-1.1625620816699863E-3</v>
      </c>
      <c r="H12" s="165">
        <f>VLOOKUP($B12,'Data shares'!$C:$FB,66)</f>
        <v>18330000</v>
      </c>
      <c r="I12" s="165">
        <f>VLOOKUP($B12,'Data shares'!$C:$FB,67)</f>
        <v>25449000</v>
      </c>
      <c r="J12" s="81">
        <f t="shared" si="4"/>
        <v>-27.973594247318168</v>
      </c>
      <c r="K12" s="5">
        <f>VLOOKUP($B12,'Data Vlaue (Cr)'!$C:$FB,99)</f>
        <v>8365</v>
      </c>
      <c r="L12" s="81">
        <f>VLOOKUP(B12,'OI(Value)'!$A$7:$C$209,3,0)</f>
        <v>-10</v>
      </c>
      <c r="M12" s="33">
        <f t="shared" si="0"/>
        <v>-0.11954572624028689</v>
      </c>
      <c r="N12" s="5">
        <f>VLOOKUP($B12,'Data Vlaue (Cr)'!$C:$FB,67)</f>
        <v>4374</v>
      </c>
      <c r="O12" s="5">
        <f>VLOOKUP($B12,'Data Vlaue (Cr)'!$C:$FB,68)</f>
        <v>6073</v>
      </c>
      <c r="P12" s="5">
        <f t="shared" si="1"/>
        <v>-38.843164151806128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ADANIGREEN</v>
      </c>
      <c r="C13" s="4">
        <f>VLOOKUP($B13,'Data shares'!$C:$FB,7)</f>
        <v>975.95</v>
      </c>
      <c r="D13" s="82">
        <f>VLOOKUP($B13,'Data shares'!$C:$FB,98)</f>
        <v>28680600</v>
      </c>
      <c r="E13" s="165">
        <f>VLOOKUP(B13,'Snapshot (Volume)'!$A$7:$G$168,7,0)</f>
        <v>29076000</v>
      </c>
      <c r="F13" s="165">
        <f t="shared" si="2"/>
        <v>-395400</v>
      </c>
      <c r="G13" s="166">
        <f t="shared" si="3"/>
        <v>-1.3598844407758976E-2</v>
      </c>
      <c r="H13" s="165">
        <f>VLOOKUP($B13,'Data shares'!$C:$FB,66)</f>
        <v>12352200</v>
      </c>
      <c r="I13" s="165">
        <f>VLOOKUP($B13,'Data shares'!$C:$FB,67)</f>
        <v>18870600</v>
      </c>
      <c r="J13" s="81">
        <f t="shared" si="4"/>
        <v>-34.542621856220791</v>
      </c>
      <c r="K13" s="5">
        <f>VLOOKUP($B13,'Data Vlaue (Cr)'!$C:$FB,99)</f>
        <v>2801</v>
      </c>
      <c r="L13" s="81">
        <f>VLOOKUP(B13,'OI(Value)'!$A$7:$C$209,3,0)</f>
        <v>-39</v>
      </c>
      <c r="M13" s="33">
        <f t="shared" si="0"/>
        <v>-1.3923598714744734</v>
      </c>
      <c r="N13" s="5">
        <f>VLOOKUP($B13,'Data Vlaue (Cr)'!$C:$FB,67)</f>
        <v>1206</v>
      </c>
      <c r="O13" s="5">
        <f>VLOOKUP($B13,'Data Vlaue (Cr)'!$C:$FB,68)</f>
        <v>1843</v>
      </c>
      <c r="P13" s="5">
        <f t="shared" si="1"/>
        <v>-52.819237147595352</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ADANIPORTS</v>
      </c>
      <c r="C14" s="4">
        <f>VLOOKUP($B14,'Data shares'!$C:$FB,7)</f>
        <v>1370.6</v>
      </c>
      <c r="D14" s="82">
        <f>VLOOKUP($B14,'Data shares'!$C:$FB,98)</f>
        <v>40978250</v>
      </c>
      <c r="E14" s="165">
        <f>VLOOKUP(B14,'Snapshot (Volume)'!$A$7:$G$168,7,0)</f>
        <v>41574850</v>
      </c>
      <c r="F14" s="165">
        <f t="shared" si="2"/>
        <v>-596600</v>
      </c>
      <c r="G14" s="166">
        <f t="shared" si="3"/>
        <v>-1.4350021707835387E-2</v>
      </c>
      <c r="H14" s="165">
        <f>VLOOKUP($B14,'Data shares'!$C:$FB,66)</f>
        <v>21157450</v>
      </c>
      <c r="I14" s="165">
        <f>VLOOKUP($B14,'Data shares'!$C:$FB,67)</f>
        <v>52775350</v>
      </c>
      <c r="J14" s="81">
        <f t="shared" si="4"/>
        <v>-59.910355876370311</v>
      </c>
      <c r="K14" s="5">
        <f>VLOOKUP($B14,'Data Vlaue (Cr)'!$C:$FB,99)</f>
        <v>5619</v>
      </c>
      <c r="L14" s="81">
        <f>VLOOKUP(B14,'OI(Value)'!$A$7:$C$209,3,0)</f>
        <v>-82</v>
      </c>
      <c r="M14" s="33">
        <f t="shared" si="0"/>
        <v>-1.4593344011389926</v>
      </c>
      <c r="N14" s="5">
        <f>VLOOKUP($B14,'Data Vlaue (Cr)'!$C:$FB,67)</f>
        <v>2901</v>
      </c>
      <c r="O14" s="5">
        <f>VLOOKUP($B14,'Data Vlaue (Cr)'!$C:$FB,68)</f>
        <v>7237</v>
      </c>
      <c r="P14" s="5">
        <f t="shared" si="1"/>
        <v>-149.46570148224748</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5393</v>
      </c>
      <c r="D15" s="82">
        <f>VLOOKUP($B15,'Data shares'!$C:$FB,98)</f>
        <v>2752375</v>
      </c>
      <c r="E15" s="165">
        <f>VLOOKUP(B15,'Snapshot (Volume)'!$A$7:$G$168,7,0)</f>
        <v>2686625</v>
      </c>
      <c r="F15" s="165">
        <f t="shared" si="2"/>
        <v>65750</v>
      </c>
      <c r="G15" s="166">
        <f t="shared" si="3"/>
        <v>2.4473084259991625E-2</v>
      </c>
      <c r="H15" s="165">
        <f>VLOOKUP($B15,'Data shares'!$C:$FB,66)</f>
        <v>1621250</v>
      </c>
      <c r="I15" s="165">
        <f>VLOOKUP($B15,'Data shares'!$C:$FB,67)</f>
        <v>1777750</v>
      </c>
      <c r="J15" s="81">
        <f t="shared" si="4"/>
        <v>-8.8032625509773581</v>
      </c>
      <c r="K15" s="5">
        <f>VLOOKUP($B15,'Data Vlaue (Cr)'!$C:$FB,99)</f>
        <v>1486</v>
      </c>
      <c r="L15" s="81">
        <f>VLOOKUP(B15,'OI(Value)'!$A$7:$C$209,3,0)</f>
        <v>35</v>
      </c>
      <c r="M15" s="33">
        <f t="shared" si="0"/>
        <v>2.355316285329744</v>
      </c>
      <c r="N15" s="5">
        <f>VLOOKUP($B15,'Data Vlaue (Cr)'!$C:$FB,67)</f>
        <v>875</v>
      </c>
      <c r="O15" s="5">
        <f>VLOOKUP($B15,'Data Vlaue (Cr)'!$C:$FB,68)</f>
        <v>960</v>
      </c>
      <c r="P15" s="5">
        <f t="shared" si="1"/>
        <v>-9.7142857142857135</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7362</v>
      </c>
      <c r="D16" s="82">
        <f>VLOOKUP($B16,'Data shares'!$C:$FB,98)</f>
        <v>2233600</v>
      </c>
      <c r="E16" s="165">
        <f>VLOOKUP(B16,'Snapshot (Volume)'!$A$7:$G$168,7,0)</f>
        <v>2300300</v>
      </c>
      <c r="F16" s="165">
        <f t="shared" si="2"/>
        <v>-66700</v>
      </c>
      <c r="G16" s="166">
        <f t="shared" si="3"/>
        <v>-2.8996217884623744E-2</v>
      </c>
      <c r="H16" s="165">
        <f>VLOOKUP($B16,'Data shares'!$C:$FB,66)</f>
        <v>2134500</v>
      </c>
      <c r="I16" s="165">
        <f>VLOOKUP($B16,'Data shares'!$C:$FB,67)</f>
        <v>1871200</v>
      </c>
      <c r="J16" s="81">
        <f t="shared" si="4"/>
        <v>14.071184266780676</v>
      </c>
      <c r="K16" s="5">
        <f>VLOOKUP($B16,'Data Vlaue (Cr)'!$C:$FB,99)</f>
        <v>1649</v>
      </c>
      <c r="L16" s="81">
        <f>VLOOKUP(B16,'OI(Value)'!$A$7:$C$209,3,0)</f>
        <v>-49</v>
      </c>
      <c r="M16" s="33">
        <f t="shared" si="0"/>
        <v>-2.9714978775015157</v>
      </c>
      <c r="N16" s="5">
        <f>VLOOKUP($B16,'Data Vlaue (Cr)'!$C:$FB,67)</f>
        <v>1576</v>
      </c>
      <c r="O16" s="5">
        <f>VLOOKUP($B16,'Data Vlaue (Cr)'!$C:$FB,68)</f>
        <v>1382</v>
      </c>
      <c r="P16" s="5">
        <f t="shared" si="1"/>
        <v>12.30964467005076</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591.9</v>
      </c>
      <c r="D17" s="82">
        <f>VLOOKUP($B17,'Data shares'!$C:$FB,98)</f>
        <v>47377050</v>
      </c>
      <c r="E17" s="165">
        <f>VLOOKUP(B17,'Snapshot (Volume)'!$A$7:$G$168,7,0)</f>
        <v>46355400</v>
      </c>
      <c r="F17" s="165">
        <f t="shared" si="2"/>
        <v>1021650</v>
      </c>
      <c r="G17" s="166">
        <f t="shared" si="3"/>
        <v>2.2039503488266738E-2</v>
      </c>
      <c r="H17" s="165">
        <f>VLOOKUP($B17,'Data shares'!$C:$FB,66)</f>
        <v>12563250</v>
      </c>
      <c r="I17" s="165">
        <f>VLOOKUP($B17,'Data shares'!$C:$FB,67)</f>
        <v>14765100</v>
      </c>
      <c r="J17" s="81">
        <f t="shared" si="4"/>
        <v>-14.912530223296827</v>
      </c>
      <c r="K17" s="5">
        <f>VLOOKUP($B17,'Data Vlaue (Cr)'!$C:$FB,99)</f>
        <v>2804</v>
      </c>
      <c r="L17" s="81">
        <f>VLOOKUP(B17,'OI(Value)'!$A$7:$C$209,3,0)</f>
        <v>60</v>
      </c>
      <c r="M17" s="33">
        <f t="shared" si="0"/>
        <v>2.1398002853067046</v>
      </c>
      <c r="N17" s="5">
        <f>VLOOKUP($B17,'Data Vlaue (Cr)'!$C:$FB,67)</f>
        <v>744</v>
      </c>
      <c r="O17" s="5">
        <f>VLOOKUP($B17,'Data Vlaue (Cr)'!$C:$FB,68)</f>
        <v>874</v>
      </c>
      <c r="P17" s="5">
        <f t="shared" si="1"/>
        <v>-17.473118279569892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2720.8</v>
      </c>
      <c r="D18" s="82">
        <f>VLOOKUP($B18,'Data shares'!$C:$FB,98)</f>
        <v>5611500</v>
      </c>
      <c r="E18" s="165">
        <f>VLOOKUP(B18,'Snapshot (Volume)'!$A$7:$G$168,7,0)</f>
        <v>5653250</v>
      </c>
      <c r="F18" s="165">
        <f t="shared" si="2"/>
        <v>-41750</v>
      </c>
      <c r="G18" s="166">
        <f t="shared" si="3"/>
        <v>-7.385132445938177E-3</v>
      </c>
      <c r="H18" s="165">
        <f>VLOOKUP($B18,'Data shares'!$C:$FB,66)</f>
        <v>5643500</v>
      </c>
      <c r="I18" s="165">
        <f>VLOOKUP($B18,'Data shares'!$C:$FB,67)</f>
        <v>4221000</v>
      </c>
      <c r="J18" s="81">
        <f t="shared" si="4"/>
        <v>33.700544894574747</v>
      </c>
      <c r="K18" s="5">
        <f>VLOOKUP($B18,'Data Vlaue (Cr)'!$C:$FB,99)</f>
        <v>1528</v>
      </c>
      <c r="L18" s="81">
        <f>VLOOKUP(B18,'OI(Value)'!$A$7:$C$209,3,0)</f>
        <v>-11</v>
      </c>
      <c r="M18" s="33">
        <f t="shared" si="0"/>
        <v>-0.71989528795811519</v>
      </c>
      <c r="N18" s="5">
        <f>VLOOKUP($B18,'Data Vlaue (Cr)'!$C:$FB,67)</f>
        <v>1536</v>
      </c>
      <c r="O18" s="5">
        <f>VLOOKUP($B18,'Data Vlaue (Cr)'!$C:$FB,68)</f>
        <v>1149</v>
      </c>
      <c r="P18" s="5">
        <f t="shared" si="1"/>
        <v>25.1953125</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1628.3</v>
      </c>
      <c r="D19" s="82">
        <f>VLOOKUP($B19,'Data shares'!$C:$FB,98)</f>
        <v>10179050</v>
      </c>
      <c r="E19" s="165">
        <f>VLOOKUP(B19,'Snapshot (Volume)'!$A$7:$G$168,7,0)</f>
        <v>10029250</v>
      </c>
      <c r="F19" s="165">
        <f t="shared" si="2"/>
        <v>149800</v>
      </c>
      <c r="G19" s="166">
        <f t="shared" si="3"/>
        <v>1.4936311289478275E-2</v>
      </c>
      <c r="H19" s="165">
        <f>VLOOKUP($B19,'Data shares'!$C:$FB,66)</f>
        <v>3995250</v>
      </c>
      <c r="I19" s="165">
        <f>VLOOKUP($B19,'Data shares'!$C:$FB,67)</f>
        <v>2401350</v>
      </c>
      <c r="J19" s="81">
        <f t="shared" si="4"/>
        <v>66.375163970266726</v>
      </c>
      <c r="K19" s="5">
        <f>VLOOKUP($B19,'Data Vlaue (Cr)'!$C:$FB,99)</f>
        <v>1656</v>
      </c>
      <c r="L19" s="81">
        <f>VLOOKUP(B19,'OI(Value)'!$A$7:$C$209,3,0)</f>
        <v>24</v>
      </c>
      <c r="M19" s="33">
        <f t="shared" si="0"/>
        <v>1.4492753623188406</v>
      </c>
      <c r="N19" s="5">
        <f>VLOOKUP($B19,'Data Vlaue (Cr)'!$C:$FB,67)</f>
        <v>650</v>
      </c>
      <c r="O19" s="5">
        <f>VLOOKUP($B19,'Data Vlaue (Cr)'!$C:$FB,68)</f>
        <v>391</v>
      </c>
      <c r="P19" s="5">
        <f t="shared" si="1"/>
        <v>39.846153846153847</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7883</v>
      </c>
      <c r="D20" s="82">
        <f>VLOOKUP($B20,'Data shares'!$C:$FB,98)</f>
        <v>7883250</v>
      </c>
      <c r="E20" s="165">
        <f>VLOOKUP(B20,'Snapshot (Volume)'!$A$7:$G$168,7,0)</f>
        <v>7843875</v>
      </c>
      <c r="F20" s="165">
        <f t="shared" si="2"/>
        <v>39375</v>
      </c>
      <c r="G20" s="166">
        <f t="shared" si="3"/>
        <v>5.019840321269781E-3</v>
      </c>
      <c r="H20" s="165">
        <f>VLOOKUP($B20,'Data shares'!$C:$FB,66)</f>
        <v>7286875</v>
      </c>
      <c r="I20" s="165">
        <f>VLOOKUP($B20,'Data shares'!$C:$FB,67)</f>
        <v>4163375</v>
      </c>
      <c r="J20" s="81">
        <f t="shared" si="4"/>
        <v>75.023268382021797</v>
      </c>
      <c r="K20" s="5">
        <f>VLOOKUP($B20,'Data Vlaue (Cr)'!$C:$FB,99)</f>
        <v>6216</v>
      </c>
      <c r="L20" s="81">
        <f>VLOOKUP(B20,'OI(Value)'!$A$7:$C$209,3,0)</f>
        <v>31</v>
      </c>
      <c r="M20" s="33">
        <f t="shared" si="0"/>
        <v>0.49871299871299868</v>
      </c>
      <c r="N20" s="5">
        <f>VLOOKUP($B20,'Data Vlaue (Cr)'!$C:$FB,67)</f>
        <v>5746</v>
      </c>
      <c r="O20" s="5">
        <f>VLOOKUP($B20,'Data Vlaue (Cr)'!$C:$FB,68)</f>
        <v>3283</v>
      </c>
      <c r="P20" s="5">
        <f t="shared" si="1"/>
        <v>42.864601461886529</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133.1</v>
      </c>
      <c r="D21" s="82">
        <f>VLOOKUP($B21,'Data shares'!$C:$FB,98)</f>
        <v>215825000</v>
      </c>
      <c r="E21" s="165">
        <f>VLOOKUP(B21,'Snapshot (Volume)'!$A$7:$G$168,7,0)</f>
        <v>215275000</v>
      </c>
      <c r="F21" s="165">
        <f t="shared" si="2"/>
        <v>550000</v>
      </c>
      <c r="G21" s="166">
        <f t="shared" si="3"/>
        <v>2.5548716757635582E-3</v>
      </c>
      <c r="H21" s="165">
        <f>VLOOKUP($B21,'Data shares'!$C:$FB,66)</f>
        <v>205455000</v>
      </c>
      <c r="I21" s="165">
        <f>VLOOKUP($B21,'Data shares'!$C:$FB,67)</f>
        <v>582050000</v>
      </c>
      <c r="J21" s="81">
        <f t="shared" si="4"/>
        <v>-64.701486126621418</v>
      </c>
      <c r="K21" s="5">
        <f>VLOOKUP($B21,'Data Vlaue (Cr)'!$C:$FB,99)</f>
        <v>2873</v>
      </c>
      <c r="L21" s="81">
        <f>VLOOKUP(B21,'OI(Value)'!$A$7:$C$209,3,0)</f>
        <v>7</v>
      </c>
      <c r="M21" s="33">
        <f t="shared" si="0"/>
        <v>0.24364775495997215</v>
      </c>
      <c r="N21" s="5">
        <f>VLOOKUP($B21,'Data Vlaue (Cr)'!$C:$FB,67)</f>
        <v>2735</v>
      </c>
      <c r="O21" s="5">
        <f>VLOOKUP($B21,'Data Vlaue (Cr)'!$C:$FB,68)</f>
        <v>7749</v>
      </c>
      <c r="P21" s="5">
        <f t="shared" si="1"/>
        <v>-183.32723948811699</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2570.1</v>
      </c>
      <c r="D22" s="82">
        <f>VLOOKUP($B22,'Data shares'!$C:$FB,98)</f>
        <v>24986750</v>
      </c>
      <c r="E22" s="165">
        <f>VLOOKUP(B22,'Snapshot (Volume)'!$A$7:$G$168,7,0)</f>
        <v>24693500</v>
      </c>
      <c r="F22" s="165">
        <f t="shared" si="2"/>
        <v>293250</v>
      </c>
      <c r="G22" s="166">
        <f t="shared" si="3"/>
        <v>1.1875594792151781E-2</v>
      </c>
      <c r="H22" s="165">
        <f>VLOOKUP($B22,'Data shares'!$C:$FB,66)</f>
        <v>7515250</v>
      </c>
      <c r="I22" s="165">
        <f>VLOOKUP($B22,'Data shares'!$C:$FB,67)</f>
        <v>13390500</v>
      </c>
      <c r="J22" s="81">
        <f t="shared" si="4"/>
        <v>-43.876255554310895</v>
      </c>
      <c r="K22" s="5">
        <f>VLOOKUP($B22,'Data Vlaue (Cr)'!$C:$FB,99)</f>
        <v>6421</v>
      </c>
      <c r="L22" s="81">
        <f>VLOOKUP(B22,'OI(Value)'!$A$7:$C$209,3,0)</f>
        <v>75</v>
      </c>
      <c r="M22" s="33">
        <f t="shared" si="0"/>
        <v>1.1680423610029589</v>
      </c>
      <c r="N22" s="5">
        <f>VLOOKUP($B22,'Data Vlaue (Cr)'!$C:$FB,67)</f>
        <v>1931</v>
      </c>
      <c r="O22" s="5">
        <f>VLOOKUP($B22,'Data Vlaue (Cr)'!$C:$FB,68)</f>
        <v>3441</v>
      </c>
      <c r="P22" s="5">
        <f t="shared" si="1"/>
        <v>-78.197824961160023</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1393.8</v>
      </c>
      <c r="D23" s="82">
        <f>VLOOKUP($B23,'Data shares'!$C:$FB,98)</f>
        <v>14440650</v>
      </c>
      <c r="E23" s="165">
        <f>VLOOKUP(B23,'Snapshot (Volume)'!$A$7:$G$168,7,0)</f>
        <v>14672275</v>
      </c>
      <c r="F23" s="165">
        <f t="shared" si="2"/>
        <v>-231625</v>
      </c>
      <c r="G23" s="166">
        <f t="shared" si="3"/>
        <v>-1.5786577064565651E-2</v>
      </c>
      <c r="H23" s="165">
        <f>VLOOKUP($B23,'Data shares'!$C:$FB,66)</f>
        <v>21093600</v>
      </c>
      <c r="I23" s="165">
        <f>VLOOKUP($B23,'Data shares'!$C:$FB,67)</f>
        <v>20468425</v>
      </c>
      <c r="J23" s="81">
        <f>(H23-I23)/I23*100</f>
        <v>3.0543385727040553</v>
      </c>
      <c r="K23" s="5">
        <f>VLOOKUP($B23,'Data Vlaue (Cr)'!$C:$FB,99)</f>
        <v>2020</v>
      </c>
      <c r="L23" s="81">
        <f>VLOOKUP(B23,'OI(Value)'!$A$7:$C$209,3,0)</f>
        <v>-32</v>
      </c>
      <c r="M23" s="33">
        <f t="shared" si="0"/>
        <v>-1.5841584158415842</v>
      </c>
      <c r="N23" s="5">
        <f>VLOOKUP($B23,'Data Vlaue (Cr)'!$C:$FB,67)</f>
        <v>2951</v>
      </c>
      <c r="O23" s="5">
        <f>VLOOKUP($B23,'Data Vlaue (Cr)'!$C:$FB,68)</f>
        <v>2864</v>
      </c>
      <c r="P23" s="5">
        <f t="shared" si="1"/>
        <v>2.9481531684174858</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Oil_Gas</v>
      </c>
      <c r="B24" s="79" t="str">
        <f>'Data shares'!C19</f>
        <v>ATGL</v>
      </c>
      <c r="C24" s="79">
        <f>VLOOKUP($B24,'Data shares'!$C:$FB,7)</f>
        <v>630.4</v>
      </c>
      <c r="D24" s="80">
        <f>VLOOKUP($B24,'Data shares'!$C:$FB,98)</f>
        <v>5320875</v>
      </c>
      <c r="E24" s="165">
        <f>VLOOKUP(B24,'Snapshot (Volume)'!$A$7:$G$168,7,0)</f>
        <v>5656000</v>
      </c>
      <c r="F24" s="165">
        <f t="shared" ref="F24:F36" si="5">D24-E24</f>
        <v>-335125</v>
      </c>
      <c r="G24" s="166">
        <f t="shared" ref="G24:G36" si="6">F24/E24</f>
        <v>-5.9251237623762373E-2</v>
      </c>
      <c r="H24" s="165">
        <f>VLOOKUP($B24,'Data shares'!$C:$FB,66)</f>
        <v>2499875</v>
      </c>
      <c r="I24" s="165">
        <f>VLOOKUP($B24,'Data shares'!$C:$FB,67)</f>
        <v>2614500</v>
      </c>
      <c r="J24" s="81">
        <f t="shared" ref="J24:J36" si="7">(H24-I24)/I24*100</f>
        <v>-4.3842034805890222</v>
      </c>
      <c r="K24" s="81">
        <f>VLOOKUP($B24,'Data Vlaue (Cr)'!$C:$FB,99)</f>
        <v>337</v>
      </c>
      <c r="L24" s="81">
        <f>VLOOKUP(B24,'OI(Value)'!$A$7:$C$209,3,0)</f>
        <v>-21</v>
      </c>
      <c r="M24" s="81">
        <f t="shared" si="0"/>
        <v>-6.2314540059347179</v>
      </c>
      <c r="N24" s="81">
        <f>VLOOKUP($B24,'Data Vlaue (Cr)'!$C:$FB,67)</f>
        <v>158</v>
      </c>
      <c r="O24" s="81">
        <f>VLOOKUP($B24,'Data Vlaue (Cr)'!$C:$FB,68)</f>
        <v>166</v>
      </c>
      <c r="P24" s="81">
        <f t="shared" ref="P24:P36" si="8">(N24-O24)/N24*100</f>
        <v>-5.0632911392405067</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AUBANK</v>
      </c>
      <c r="C25" s="4">
        <f>VLOOKUP($B25,'Data shares'!$C:$FB,7)</f>
        <v>759.15</v>
      </c>
      <c r="D25" s="82">
        <f>VLOOKUP($B25,'Data shares'!$C:$FB,98)</f>
        <v>35374000</v>
      </c>
      <c r="E25" s="165">
        <f>VLOOKUP(B25,'Snapshot (Volume)'!$A$7:$G$168,7,0)</f>
        <v>35121000</v>
      </c>
      <c r="F25" s="165">
        <f t="shared" si="5"/>
        <v>253000</v>
      </c>
      <c r="G25" s="166">
        <f t="shared" si="6"/>
        <v>7.2036673215455137E-3</v>
      </c>
      <c r="H25" s="165">
        <f>VLOOKUP($B25,'Data shares'!$C:$FB,66)</f>
        <v>17992000</v>
      </c>
      <c r="I25" s="165">
        <f>VLOOKUP($B25,'Data shares'!$C:$FB,67)</f>
        <v>13254000</v>
      </c>
      <c r="J25" s="81">
        <f t="shared" si="7"/>
        <v>35.747698807907049</v>
      </c>
      <c r="K25" s="5">
        <f>VLOOKUP($B25,'Data Vlaue (Cr)'!$C:$FB,99)</f>
        <v>2680</v>
      </c>
      <c r="L25" s="81">
        <f>VLOOKUP(B25,'OI(Value)'!$A$7:$C$209,3,0)</f>
        <v>19</v>
      </c>
      <c r="M25" s="33">
        <f t="shared" si="0"/>
        <v>0.70895522388059706</v>
      </c>
      <c r="N25" s="5">
        <f>VLOOKUP($B25,'Data Vlaue (Cr)'!$C:$FB,67)</f>
        <v>1363</v>
      </c>
      <c r="O25" s="5">
        <f>VLOOKUP($B25,'Data Vlaue (Cr)'!$C:$FB,68)</f>
        <v>1004</v>
      </c>
      <c r="P25" s="5">
        <f t="shared" si="8"/>
        <v>26.338958180484223</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Pharma</v>
      </c>
      <c r="B26" s="79" t="str">
        <f>'Data shares'!C21</f>
        <v>AUROPHARMA</v>
      </c>
      <c r="C26" s="4">
        <f>VLOOKUP($B26,'Data shares'!$C:$FB,7)</f>
        <v>1046.4000000000001</v>
      </c>
      <c r="D26" s="82">
        <f>VLOOKUP($B26,'Data shares'!$C:$FB,98)</f>
        <v>31391250</v>
      </c>
      <c r="E26" s="165">
        <f>VLOOKUP(B26,'Snapshot (Volume)'!$A$7:$G$168,7,0)</f>
        <v>25119600</v>
      </c>
      <c r="F26" s="165">
        <f t="shared" si="5"/>
        <v>6271650</v>
      </c>
      <c r="G26" s="166">
        <f t="shared" si="6"/>
        <v>0.24967157120336311</v>
      </c>
      <c r="H26" s="165">
        <f>VLOOKUP($B26,'Data shares'!$C:$FB,66)</f>
        <v>51344150</v>
      </c>
      <c r="I26" s="165">
        <f>VLOOKUP($B26,'Data shares'!$C:$FB,67)</f>
        <v>7181900</v>
      </c>
      <c r="J26" s="81">
        <f t="shared" si="7"/>
        <v>614.91039975493948</v>
      </c>
      <c r="K26" s="5">
        <f>VLOOKUP($B26,'Data Vlaue (Cr)'!$C:$FB,99)</f>
        <v>3292</v>
      </c>
      <c r="L26" s="81">
        <f>VLOOKUP(B26,'OI(Value)'!$A$7:$C$209,3,0)</f>
        <v>658</v>
      </c>
      <c r="M26" s="33">
        <f t="shared" si="0"/>
        <v>19.987849331713246</v>
      </c>
      <c r="N26" s="5">
        <f>VLOOKUP($B26,'Data Vlaue (Cr)'!$C:$FB,67)</f>
        <v>5385</v>
      </c>
      <c r="O26" s="5">
        <f>VLOOKUP($B26,'Data Vlaue (Cr)'!$C:$FB,68)</f>
        <v>753</v>
      </c>
      <c r="P26" s="5">
        <f t="shared" si="8"/>
        <v>86.016713091922</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AXISBANK</v>
      </c>
      <c r="C27" s="4">
        <f>VLOOKUP($B27,'Data shares'!$C:$FB,7)</f>
        <v>1080.2</v>
      </c>
      <c r="D27" s="82">
        <f>VLOOKUP($B27,'Data shares'!$C:$FB,98)</f>
        <v>137405000</v>
      </c>
      <c r="E27" s="165">
        <f>VLOOKUP(B27,'Snapshot (Volume)'!$A$7:$G$168,7,0)</f>
        <v>135527500</v>
      </c>
      <c r="F27" s="165">
        <f t="shared" si="5"/>
        <v>1877500</v>
      </c>
      <c r="G27" s="166">
        <f t="shared" si="6"/>
        <v>1.3853277010200882E-2</v>
      </c>
      <c r="H27" s="165">
        <f>VLOOKUP($B27,'Data shares'!$C:$FB,66)</f>
        <v>30973125</v>
      </c>
      <c r="I27" s="165">
        <f>VLOOKUP($B27,'Data shares'!$C:$FB,67)</f>
        <v>43546250</v>
      </c>
      <c r="J27" s="81">
        <f t="shared" si="7"/>
        <v>-28.873037287940985</v>
      </c>
      <c r="K27" s="5">
        <f>VLOOKUP($B27,'Data Vlaue (Cr)'!$C:$FB,99)</f>
        <v>14869</v>
      </c>
      <c r="L27" s="81">
        <f>VLOOKUP(B27,'OI(Value)'!$A$7:$C$209,3,0)</f>
        <v>203</v>
      </c>
      <c r="M27" s="33">
        <f t="shared" si="0"/>
        <v>1.3652565740803013</v>
      </c>
      <c r="N27" s="5">
        <f>VLOOKUP($B27,'Data Vlaue (Cr)'!$C:$FB,67)</f>
        <v>3352</v>
      </c>
      <c r="O27" s="5">
        <f>VLOOKUP($B27,'Data Vlaue (Cr)'!$C:$FB,68)</f>
        <v>4712</v>
      </c>
      <c r="P27" s="5">
        <f t="shared" si="8"/>
        <v>-40.572792362768496</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Automobile</v>
      </c>
      <c r="B28" s="79" t="str">
        <f>'Data shares'!C23</f>
        <v>BAJAJ-AUTO</v>
      </c>
      <c r="C28" s="4">
        <f>VLOOKUP($B28,'Data shares'!$C:$FB,7)</f>
        <v>8827.5</v>
      </c>
      <c r="D28" s="82">
        <f>VLOOKUP($B28,'Data shares'!$C:$FB,98)</f>
        <v>5593275</v>
      </c>
      <c r="E28" s="165">
        <f>VLOOKUP(B28,'Snapshot (Volume)'!$A$7:$G$168,7,0)</f>
        <v>5638500</v>
      </c>
      <c r="F28" s="165">
        <f t="shared" si="5"/>
        <v>-45225</v>
      </c>
      <c r="G28" s="166">
        <f t="shared" si="6"/>
        <v>-8.0207501995211497E-3</v>
      </c>
      <c r="H28" s="165">
        <f>VLOOKUP($B28,'Data shares'!$C:$FB,66)</f>
        <v>7246800</v>
      </c>
      <c r="I28" s="165">
        <f>VLOOKUP($B28,'Data shares'!$C:$FB,67)</f>
        <v>26682150</v>
      </c>
      <c r="J28" s="81">
        <f t="shared" si="7"/>
        <v>-72.840269618452794</v>
      </c>
      <c r="K28" s="5">
        <f>VLOOKUP($B28,'Data Vlaue (Cr)'!$C:$FB,99)</f>
        <v>4937</v>
      </c>
      <c r="L28" s="81">
        <f>VLOOKUP(B28,'OI(Value)'!$A$7:$C$209,3,0)</f>
        <v>-40</v>
      </c>
      <c r="M28" s="33">
        <f t="shared" si="0"/>
        <v>-0.81020862872189581</v>
      </c>
      <c r="N28" s="5">
        <f>VLOOKUP($B28,'Data Vlaue (Cr)'!$C:$FB,67)</f>
        <v>6396</v>
      </c>
      <c r="O28" s="5">
        <f>VLOOKUP($B28,'Data Vlaue (Cr)'!$C:$FB,68)</f>
        <v>23551</v>
      </c>
      <c r="P28" s="5">
        <f t="shared" si="8"/>
        <v>-268.21450906816762</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BAJAJFINSV</v>
      </c>
      <c r="C29" s="4">
        <f>VLOOKUP($B29,'Data shares'!$C:$FB,7)</f>
        <v>1958.5</v>
      </c>
      <c r="D29" s="82">
        <f>VLOOKUP($B29,'Data shares'!$C:$FB,98)</f>
        <v>28045500</v>
      </c>
      <c r="E29" s="165">
        <f>VLOOKUP(B29,'Snapshot (Volume)'!$A$7:$G$168,7,0)</f>
        <v>27421500</v>
      </c>
      <c r="F29" s="165">
        <f t="shared" si="5"/>
        <v>624000</v>
      </c>
      <c r="G29" s="166">
        <f t="shared" si="6"/>
        <v>2.2755866746895684E-2</v>
      </c>
      <c r="H29" s="165">
        <f>VLOOKUP($B29,'Data shares'!$C:$FB,66)</f>
        <v>16183000</v>
      </c>
      <c r="I29" s="165">
        <f>VLOOKUP($B29,'Data shares'!$C:$FB,67)</f>
        <v>18298000</v>
      </c>
      <c r="J29" s="81">
        <f t="shared" si="7"/>
        <v>-11.558640288556127</v>
      </c>
      <c r="K29" s="5">
        <f>VLOOKUP($B29,'Data Vlaue (Cr)'!$C:$FB,99)</f>
        <v>5505</v>
      </c>
      <c r="L29" s="81">
        <f>VLOOKUP(B29,'OI(Value)'!$A$7:$C$209,3,0)</f>
        <v>122</v>
      </c>
      <c r="M29" s="33">
        <f t="shared" si="0"/>
        <v>2.2161671207992737</v>
      </c>
      <c r="N29" s="5">
        <f>VLOOKUP($B29,'Data Vlaue (Cr)'!$C:$FB,67)</f>
        <v>3177</v>
      </c>
      <c r="O29" s="5">
        <f>VLOOKUP($B29,'Data Vlaue (Cr)'!$C:$FB,68)</f>
        <v>3592</v>
      </c>
      <c r="P29" s="5">
        <f t="shared" si="8"/>
        <v>-13.062637708530058</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887.8</v>
      </c>
      <c r="D30" s="82">
        <f>VLOOKUP($B30,'Data shares'!$C:$FB,98)</f>
        <v>144300000</v>
      </c>
      <c r="E30" s="165">
        <f>VLOOKUP(B30,'Snapshot (Volume)'!$A$7:$G$168,7,0)</f>
        <v>139965000</v>
      </c>
      <c r="F30" s="165">
        <f t="shared" si="5"/>
        <v>4335000</v>
      </c>
      <c r="G30" s="166">
        <f t="shared" si="6"/>
        <v>3.097202872146608E-2</v>
      </c>
      <c r="H30" s="165">
        <f>VLOOKUP($B30,'Data shares'!$C:$FB,66)</f>
        <v>61887000</v>
      </c>
      <c r="I30" s="165">
        <f>VLOOKUP($B30,'Data shares'!$C:$FB,67)</f>
        <v>69669750</v>
      </c>
      <c r="J30" s="81">
        <f t="shared" si="7"/>
        <v>-11.170917076636561</v>
      </c>
      <c r="K30" s="5">
        <f>VLOOKUP($B30,'Data Vlaue (Cr)'!$C:$FB,99)</f>
        <v>12813</v>
      </c>
      <c r="L30" s="81">
        <f>VLOOKUP(B30,'OI(Value)'!$A$7:$C$209,3,0)</f>
        <v>385</v>
      </c>
      <c r="M30" s="33">
        <f t="shared" si="0"/>
        <v>3.0047607898228361</v>
      </c>
      <c r="N30" s="5">
        <f>VLOOKUP($B30,'Data Vlaue (Cr)'!$C:$FB,67)</f>
        <v>5495</v>
      </c>
      <c r="O30" s="5">
        <f>VLOOKUP($B30,'Data Vlaue (Cr)'!$C:$FB,68)</f>
        <v>6186</v>
      </c>
      <c r="P30" s="5">
        <f t="shared" si="8"/>
        <v>-12.575068243858054</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174.28</v>
      </c>
      <c r="D31" s="82">
        <f>VLOOKUP($B31,'Data shares'!$C:$FB,98)</f>
        <v>122670000</v>
      </c>
      <c r="E31" s="165">
        <f>VLOOKUP(B31,'Snapshot (Volume)'!$A$7:$G$168,7,0)</f>
        <v>121863600</v>
      </c>
      <c r="F31" s="165">
        <f t="shared" si="5"/>
        <v>806400</v>
      </c>
      <c r="G31" s="166">
        <f t="shared" si="6"/>
        <v>6.6172343505361735E-3</v>
      </c>
      <c r="H31" s="165">
        <f>VLOOKUP($B31,'Data shares'!$C:$FB,66)</f>
        <v>48276000</v>
      </c>
      <c r="I31" s="165">
        <f>VLOOKUP($B31,'Data shares'!$C:$FB,67)</f>
        <v>99331200</v>
      </c>
      <c r="J31" s="81">
        <f t="shared" si="7"/>
        <v>-51.39895621919397</v>
      </c>
      <c r="K31" s="5">
        <f>VLOOKUP($B31,'Data Vlaue (Cr)'!$C:$FB,99)</f>
        <v>2144</v>
      </c>
      <c r="L31" s="81">
        <f>VLOOKUP(B31,'OI(Value)'!$A$7:$C$209,3,0)</f>
        <v>14</v>
      </c>
      <c r="M31" s="33">
        <f t="shared" si="0"/>
        <v>0.65298507462686561</v>
      </c>
      <c r="N31" s="5">
        <f>VLOOKUP($B31,'Data Vlaue (Cr)'!$C:$FB,67)</f>
        <v>844</v>
      </c>
      <c r="O31" s="5">
        <f>VLOOKUP($B31,'Data Vlaue (Cr)'!$C:$FB,68)</f>
        <v>1736</v>
      </c>
      <c r="P31" s="5">
        <f t="shared" si="8"/>
        <v>-105.68720379146919</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244.88</v>
      </c>
      <c r="D32" s="82">
        <f>VLOOKUP($B32,'Data shares'!$C:$FB,98)</f>
        <v>188355375</v>
      </c>
      <c r="E32" s="165">
        <f>VLOOKUP(B32,'Snapshot (Volume)'!$A$7:$G$168,7,0)</f>
        <v>179665200</v>
      </c>
      <c r="F32" s="165">
        <f t="shared" si="5"/>
        <v>8690175</v>
      </c>
      <c r="G32" s="166">
        <f t="shared" si="6"/>
        <v>4.8368715811409224E-2</v>
      </c>
      <c r="H32" s="165">
        <f>VLOOKUP($B32,'Data shares'!$C:$FB,66)</f>
        <v>110471400</v>
      </c>
      <c r="I32" s="165">
        <f>VLOOKUP($B32,'Data shares'!$C:$FB,67)</f>
        <v>101134800</v>
      </c>
      <c r="J32" s="81">
        <f t="shared" si="7"/>
        <v>9.2318371124479413</v>
      </c>
      <c r="K32" s="5">
        <f>VLOOKUP($B32,'Data Vlaue (Cr)'!$C:$FB,99)</f>
        <v>4625</v>
      </c>
      <c r="L32" s="81">
        <f>VLOOKUP(B32,'OI(Value)'!$A$7:$C$209,3,0)</f>
        <v>213</v>
      </c>
      <c r="M32" s="33">
        <f t="shared" si="0"/>
        <v>4.6054054054054054</v>
      </c>
      <c r="N32" s="5">
        <f>VLOOKUP($B32,'Data Vlaue (Cr)'!$C:$FB,67)</f>
        <v>2713</v>
      </c>
      <c r="O32" s="5">
        <f>VLOOKUP($B32,'Data Vlaue (Cr)'!$C:$FB,68)</f>
        <v>2483</v>
      </c>
      <c r="P32" s="5">
        <f t="shared" si="8"/>
        <v>8.4776999631404344</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116.33</v>
      </c>
      <c r="D33" s="82">
        <f>VLOOKUP($B33,'Data shares'!$C:$FB,98)</f>
        <v>95529200</v>
      </c>
      <c r="E33" s="165">
        <f>VLOOKUP(B33,'Snapshot (Volume)'!$A$7:$G$168,7,0)</f>
        <v>94343600</v>
      </c>
      <c r="F33" s="165">
        <f t="shared" si="5"/>
        <v>1185600</v>
      </c>
      <c r="G33" s="166">
        <f t="shared" si="6"/>
        <v>1.2566830182439509E-2</v>
      </c>
      <c r="H33" s="165">
        <f>VLOOKUP($B33,'Data shares'!$C:$FB,66)</f>
        <v>19463600</v>
      </c>
      <c r="I33" s="165">
        <f>VLOOKUP($B33,'Data shares'!$C:$FB,67)</f>
        <v>36977200</v>
      </c>
      <c r="J33" s="81">
        <f t="shared" si="7"/>
        <v>-47.363240050625791</v>
      </c>
      <c r="K33" s="5">
        <f>VLOOKUP($B33,'Data Vlaue (Cr)'!$C:$FB,99)</f>
        <v>1113</v>
      </c>
      <c r="L33" s="81">
        <f>VLOOKUP(B33,'OI(Value)'!$A$7:$C$209,3,0)</f>
        <v>14</v>
      </c>
      <c r="M33" s="33">
        <f t="shared" si="0"/>
        <v>1.257861635220126</v>
      </c>
      <c r="N33" s="5">
        <f>VLOOKUP($B33,'Data Vlaue (Cr)'!$C:$FB,67)</f>
        <v>227</v>
      </c>
      <c r="O33" s="5">
        <f>VLOOKUP($B33,'Data Vlaue (Cr)'!$C:$FB,68)</f>
        <v>431</v>
      </c>
      <c r="P33" s="5">
        <f t="shared" si="8"/>
        <v>-89.867841409691636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55698.5</v>
      </c>
      <c r="D34" s="82">
        <f>VLOOKUP($B34,'Data shares'!$C:$FB,98)</f>
        <v>43638415</v>
      </c>
      <c r="E34" s="165">
        <f>VLOOKUP(B34,'Snapshot (Volume)'!$A$7:$G$168,7,0)</f>
        <v>42040470</v>
      </c>
      <c r="F34" s="165">
        <f t="shared" si="5"/>
        <v>1597945</v>
      </c>
      <c r="G34" s="166">
        <f t="shared" si="6"/>
        <v>3.8009684477837667E-2</v>
      </c>
      <c r="H34" s="165">
        <f>VLOOKUP($B34,'Data shares'!$C:$FB,66)</f>
        <v>122722005</v>
      </c>
      <c r="I34" s="165">
        <f>VLOOKUP($B34,'Data shares'!$C:$FB,67)</f>
        <v>117140730</v>
      </c>
      <c r="J34" s="81">
        <f t="shared" si="7"/>
        <v>4.7645895667544496</v>
      </c>
      <c r="K34" s="5">
        <f>VLOOKUP($B34,'Data Vlaue (Cr)'!$C:$FB,99)</f>
        <v>243570</v>
      </c>
      <c r="L34" s="81">
        <f>VLOOKUP(B34,'OI(Value)'!$A$7:$C$209,3,0)</f>
        <v>8919</v>
      </c>
      <c r="M34" s="33">
        <f t="shared" si="0"/>
        <v>3.6617810075132406</v>
      </c>
      <c r="N34" s="5">
        <f>VLOOKUP($B34,'Data Vlaue (Cr)'!$C:$FB,67)</f>
        <v>684980</v>
      </c>
      <c r="O34" s="5">
        <f>VLOOKUP($B34,'Data Vlaue (Cr)'!$C:$FB,68)</f>
        <v>653828</v>
      </c>
      <c r="P34" s="5">
        <f t="shared" si="8"/>
        <v>4.5478700108032353</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1529.5</v>
      </c>
      <c r="D35" s="82">
        <f>VLOOKUP($B35,'Data shares'!$C:$FB,98)</f>
        <v>10447450</v>
      </c>
      <c r="E35" s="165">
        <f>VLOOKUP(B35,'Snapshot (Volume)'!$A$7:$G$168,7,0)</f>
        <v>9916400</v>
      </c>
      <c r="F35" s="165">
        <f t="shared" si="5"/>
        <v>531050</v>
      </c>
      <c r="G35" s="166">
        <f t="shared" si="6"/>
        <v>5.3552700576822231E-2</v>
      </c>
      <c r="H35" s="165">
        <f>VLOOKUP($B35,'Data shares'!$C:$FB,66)</f>
        <v>7680075</v>
      </c>
      <c r="I35" s="165">
        <f>VLOOKUP($B35,'Data shares'!$C:$FB,67)</f>
        <v>10367500</v>
      </c>
      <c r="J35" s="81">
        <f t="shared" si="7"/>
        <v>-25.921630094043884</v>
      </c>
      <c r="K35" s="5">
        <f>VLOOKUP($B35,'Data Vlaue (Cr)'!$C:$FB,99)</f>
        <v>1601</v>
      </c>
      <c r="L35" s="81">
        <f>VLOOKUP(B35,'OI(Value)'!$A$7:$C$209,3,0)</f>
        <v>81</v>
      </c>
      <c r="M35" s="33">
        <f t="shared" si="0"/>
        <v>5.0593379138038728</v>
      </c>
      <c r="N35" s="5">
        <f>VLOOKUP($B35,'Data Vlaue (Cr)'!$C:$FB,67)</f>
        <v>1177</v>
      </c>
      <c r="O35" s="5">
        <f>VLOOKUP($B35,'Data Vlaue (Cr)'!$C:$FB,68)</f>
        <v>1589</v>
      </c>
      <c r="P35" s="5">
        <f t="shared" si="8"/>
        <v>-35.004248088360242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371.85</v>
      </c>
      <c r="D36" s="82">
        <f>VLOOKUP($B36,'Data shares'!$C:$FB,98)</f>
        <v>268803450</v>
      </c>
      <c r="E36" s="165">
        <f>VLOOKUP(B36,'Snapshot (Volume)'!$A$7:$G$168,7,0)</f>
        <v>239274600</v>
      </c>
      <c r="F36" s="165">
        <f t="shared" si="5"/>
        <v>29528850</v>
      </c>
      <c r="G36" s="166">
        <f t="shared" si="6"/>
        <v>0.12340988136643004</v>
      </c>
      <c r="H36" s="165">
        <f>VLOOKUP($B36,'Data shares'!$C:$FB,66)</f>
        <v>278647350</v>
      </c>
      <c r="I36" s="165">
        <f>VLOOKUP($B36,'Data shares'!$C:$FB,67)</f>
        <v>158753550</v>
      </c>
      <c r="J36" s="81">
        <f t="shared" si="7"/>
        <v>75.521964705671152</v>
      </c>
      <c r="K36" s="5">
        <f>VLOOKUP($B36,'Data Vlaue (Cr)'!$C:$FB,99)</f>
        <v>10004</v>
      </c>
      <c r="L36" s="81">
        <f>VLOOKUP(B36,'OI(Value)'!$A$7:$C$209,3,0)</f>
        <v>1099</v>
      </c>
      <c r="M36" s="33">
        <f t="shared" si="0"/>
        <v>10.985605757696922</v>
      </c>
      <c r="N36" s="5">
        <f>VLOOKUP($B36,'Data Vlaue (Cr)'!$C:$FB,67)</f>
        <v>10370</v>
      </c>
      <c r="O36" s="5">
        <f>VLOOKUP($B36,'Data Vlaue (Cr)'!$C:$FB,68)</f>
        <v>5908</v>
      </c>
      <c r="P36" s="5">
        <f t="shared" si="8"/>
        <v>43.027965284474448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1158.9000000000001</v>
      </c>
      <c r="D37" s="82">
        <f>VLOOKUP($B37,'Data shares'!$C:$FB,98)</f>
        <v>18638500</v>
      </c>
      <c r="E37" s="165">
        <f>VLOOKUP(B37,'Snapshot (Volume)'!$A$7:$G$168,7,0)</f>
        <v>17544000</v>
      </c>
      <c r="F37" s="165">
        <f t="shared" ref="F37:F43" si="9">D37-E37</f>
        <v>1094500</v>
      </c>
      <c r="G37" s="166">
        <f t="shared" ref="G37:G43" si="10">F37/E37</f>
        <v>6.2386000911992701E-2</v>
      </c>
      <c r="H37" s="165">
        <f>VLOOKUP($B37,'Data shares'!$C:$FB,66)</f>
        <v>9552500</v>
      </c>
      <c r="I37" s="165">
        <f>VLOOKUP($B37,'Data shares'!$C:$FB,67)</f>
        <v>5779000</v>
      </c>
      <c r="J37" s="81">
        <f t="shared" ref="J37:J43" si="11">(H37-I37)/I37*100</f>
        <v>65.29676414604603</v>
      </c>
      <c r="K37" s="5">
        <f>VLOOKUP($B37,'Data Vlaue (Cr)'!$C:$FB,99)</f>
        <v>2162</v>
      </c>
      <c r="L37" s="81">
        <f>VLOOKUP(B37,'OI(Value)'!$A$7:$C$209,3,0)</f>
        <v>127</v>
      </c>
      <c r="M37" s="33">
        <f t="shared" ref="M37:M65" si="12">L37/K37*100</f>
        <v>5.8741905642923218</v>
      </c>
      <c r="N37" s="5">
        <f>VLOOKUP($B37,'Data Vlaue (Cr)'!$C:$FB,67)</f>
        <v>1108</v>
      </c>
      <c r="O37" s="5">
        <f>VLOOKUP($B37,'Data Vlaue (Cr)'!$C:$FB,68)</f>
        <v>670</v>
      </c>
      <c r="P37" s="5">
        <f t="shared" ref="P37:P43" si="13">(N37-O37)/N37*100</f>
        <v>39.530685920577618</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1928.4</v>
      </c>
      <c r="D38" s="82">
        <f>VLOOKUP($B38,'Data shares'!$C:$FB,98)</f>
        <v>73496275</v>
      </c>
      <c r="E38" s="165">
        <f>VLOOKUP(B38,'Snapshot (Volume)'!$A$7:$G$168,7,0)</f>
        <v>74442950</v>
      </c>
      <c r="F38" s="165">
        <f t="shared" si="9"/>
        <v>-946675</v>
      </c>
      <c r="G38" s="166">
        <f t="shared" si="10"/>
        <v>-1.2716785135462793E-2</v>
      </c>
      <c r="H38" s="165">
        <f>VLOOKUP($B38,'Data shares'!$C:$FB,66)</f>
        <v>77347100</v>
      </c>
      <c r="I38" s="165">
        <f>VLOOKUP($B38,'Data shares'!$C:$FB,67)</f>
        <v>81435900</v>
      </c>
      <c r="J38" s="81">
        <f t="shared" si="11"/>
        <v>-5.0208814540024731</v>
      </c>
      <c r="K38" s="5">
        <f>VLOOKUP($B38,'Data Vlaue (Cr)'!$C:$FB,99)</f>
        <v>14179</v>
      </c>
      <c r="L38" s="81">
        <f>VLOOKUP(B38,'OI(Value)'!$A$7:$C$209,3,0)</f>
        <v>-183</v>
      </c>
      <c r="M38" s="33">
        <f t="shared" si="12"/>
        <v>-1.2906410889343396</v>
      </c>
      <c r="N38" s="5">
        <f>VLOOKUP($B38,'Data Vlaue (Cr)'!$C:$FB,67)</f>
        <v>14922</v>
      </c>
      <c r="O38" s="5">
        <f>VLOOKUP($B38,'Data Vlaue (Cr)'!$C:$FB,68)</f>
        <v>15711</v>
      </c>
      <c r="P38" s="5">
        <f t="shared" si="13"/>
        <v>-5.2874949738640931</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220.67</v>
      </c>
      <c r="D39" s="82">
        <f>VLOOKUP($B39,'Data shares'!$C:$FB,98)</f>
        <v>129346875</v>
      </c>
      <c r="E39" s="165">
        <f>VLOOKUP(B39,'Snapshot (Volume)'!$A$7:$G$168,7,0)</f>
        <v>129441375</v>
      </c>
      <c r="F39" s="165">
        <f t="shared" si="9"/>
        <v>-94500</v>
      </c>
      <c r="G39" s="166">
        <f t="shared" si="10"/>
        <v>-7.300602299689724E-4</v>
      </c>
      <c r="H39" s="165">
        <f>VLOOKUP($B39,'Data shares'!$C:$FB,66)</f>
        <v>44593500</v>
      </c>
      <c r="I39" s="165">
        <f>VLOOKUP($B39,'Data shares'!$C:$FB,67)</f>
        <v>64449000</v>
      </c>
      <c r="J39" s="81">
        <f t="shared" si="11"/>
        <v>-30.808080808080806</v>
      </c>
      <c r="K39" s="5">
        <f>VLOOKUP($B39,'Data Vlaue (Cr)'!$C:$FB,99)</f>
        <v>2858</v>
      </c>
      <c r="L39" s="81">
        <f>VLOOKUP(B39,'OI(Value)'!$A$7:$C$209,3,0)</f>
        <v>-2</v>
      </c>
      <c r="M39" s="33">
        <f t="shared" si="12"/>
        <v>-6.997900629811056E-2</v>
      </c>
      <c r="N39" s="5">
        <f>VLOOKUP($B39,'Data Vlaue (Cr)'!$C:$FB,67)</f>
        <v>985</v>
      </c>
      <c r="O39" s="5">
        <f>VLOOKUP($B39,'Data Vlaue (Cr)'!$C:$FB,68)</f>
        <v>1424</v>
      </c>
      <c r="P39" s="5">
        <f t="shared" si="13"/>
        <v>-44.568527918781726</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359.45</v>
      </c>
      <c r="D40" s="82">
        <f>VLOOKUP($B40,'Data shares'!$C:$FB,98)</f>
        <v>80035000</v>
      </c>
      <c r="E40" s="165">
        <f>VLOOKUP(B40,'Snapshot (Volume)'!$A$7:$G$168,7,0)</f>
        <v>79962500</v>
      </c>
      <c r="F40" s="165">
        <f t="shared" si="9"/>
        <v>72500</v>
      </c>
      <c r="G40" s="166">
        <f t="shared" si="10"/>
        <v>9.0667500390808188E-4</v>
      </c>
      <c r="H40" s="165">
        <f>VLOOKUP($B40,'Data shares'!$C:$FB,66)</f>
        <v>22905000</v>
      </c>
      <c r="I40" s="165">
        <f>VLOOKUP($B40,'Data shares'!$C:$FB,67)</f>
        <v>19807500</v>
      </c>
      <c r="J40" s="81">
        <f t="shared" si="11"/>
        <v>15.638015903067021</v>
      </c>
      <c r="K40" s="5">
        <f>VLOOKUP($B40,'Data Vlaue (Cr)'!$C:$FB,99)</f>
        <v>2882</v>
      </c>
      <c r="L40" s="81">
        <f>VLOOKUP(B40,'OI(Value)'!$A$7:$C$209,3,0)</f>
        <v>3</v>
      </c>
      <c r="M40" s="33">
        <f t="shared" si="12"/>
        <v>0.1040943789035392</v>
      </c>
      <c r="N40" s="5">
        <f>VLOOKUP($B40,'Data Vlaue (Cr)'!$C:$FB,67)</f>
        <v>825</v>
      </c>
      <c r="O40" s="5">
        <f>VLOOKUP($B40,'Data Vlaue (Cr)'!$C:$FB,68)</f>
        <v>713</v>
      </c>
      <c r="P40" s="5">
        <f t="shared" si="13"/>
        <v>13.575757575757578</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1927.4</v>
      </c>
      <c r="D41" s="82">
        <f>VLOOKUP($B41,'Data shares'!$C:$FB,98)</f>
        <v>3741725</v>
      </c>
      <c r="E41" s="165">
        <f>VLOOKUP(B41,'Snapshot (Volume)'!$A$7:$G$168,7,0)</f>
        <v>3266575</v>
      </c>
      <c r="F41" s="165">
        <f t="shared" si="9"/>
        <v>475150</v>
      </c>
      <c r="G41" s="166">
        <f t="shared" si="10"/>
        <v>0.14545816336682918</v>
      </c>
      <c r="H41" s="165">
        <f>VLOOKUP($B41,'Data shares'!$C:$FB,66)</f>
        <v>5537675</v>
      </c>
      <c r="I41" s="165">
        <f>VLOOKUP($B41,'Data shares'!$C:$FB,67)</f>
        <v>2140775</v>
      </c>
      <c r="J41" s="81">
        <f t="shared" si="11"/>
        <v>158.67618035524518</v>
      </c>
      <c r="K41" s="5">
        <f>VLOOKUP($B41,'Data Vlaue (Cr)'!$C:$FB,99)</f>
        <v>721</v>
      </c>
      <c r="L41" s="81">
        <f>VLOOKUP(B41,'OI(Value)'!$A$7:$C$209,3,0)</f>
        <v>92</v>
      </c>
      <c r="M41" s="33">
        <f t="shared" si="12"/>
        <v>12.76005547850208</v>
      </c>
      <c r="N41" s="5">
        <f>VLOOKUP($B41,'Data Vlaue (Cr)'!$C:$FB,67)</f>
        <v>1067</v>
      </c>
      <c r="O41" s="5">
        <f>VLOOKUP($B41,'Data Vlaue (Cr)'!$C:$FB,68)</f>
        <v>413</v>
      </c>
      <c r="P41" s="5">
        <f t="shared" si="13"/>
        <v>61.293345829428304</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39935</v>
      </c>
      <c r="D42" s="82">
        <f>VLOOKUP($B42,'Data shares'!$C:$FB,98)</f>
        <v>795600</v>
      </c>
      <c r="E42" s="165">
        <f>VLOOKUP(B42,'Snapshot (Volume)'!$A$7:$G$168,7,0)</f>
        <v>785825</v>
      </c>
      <c r="F42" s="165">
        <f t="shared" si="9"/>
        <v>9775</v>
      </c>
      <c r="G42" s="166">
        <f t="shared" si="10"/>
        <v>1.2439156300703082E-2</v>
      </c>
      <c r="H42" s="165">
        <f>VLOOKUP($B42,'Data shares'!$C:$FB,66)</f>
        <v>509325</v>
      </c>
      <c r="I42" s="165">
        <f>VLOOKUP($B42,'Data shares'!$C:$FB,67)</f>
        <v>851075</v>
      </c>
      <c r="J42" s="81">
        <f t="shared" si="11"/>
        <v>-40.15509796433922</v>
      </c>
      <c r="K42" s="5">
        <f>VLOOKUP($B42,'Data Vlaue (Cr)'!$C:$FB,99)</f>
        <v>3185</v>
      </c>
      <c r="L42" s="81">
        <f>VLOOKUP(B42,'OI(Value)'!$A$7:$C$209,3,0)</f>
        <v>39</v>
      </c>
      <c r="M42" s="33">
        <f t="shared" si="12"/>
        <v>1.2244897959183674</v>
      </c>
      <c r="N42" s="5">
        <f>VLOOKUP($B42,'Data Vlaue (Cr)'!$C:$FB,67)</f>
        <v>2039</v>
      </c>
      <c r="O42" s="5">
        <f>VLOOKUP($B42,'Data Vlaue (Cr)'!$C:$FB,68)</f>
        <v>3407</v>
      </c>
      <c r="P42" s="5">
        <f t="shared" si="13"/>
        <v>-67.091711623344779</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319.95</v>
      </c>
      <c r="D43" s="82">
        <f>VLOOKUP($B43,'Data shares'!$C:$FB,98)</f>
        <v>71058525</v>
      </c>
      <c r="E43" s="165">
        <f>VLOOKUP(B43,'Snapshot (Volume)'!$A$7:$G$168,7,0)</f>
        <v>72713575</v>
      </c>
      <c r="F43" s="165">
        <f t="shared" si="9"/>
        <v>-1655050</v>
      </c>
      <c r="G43" s="166">
        <f t="shared" si="10"/>
        <v>-2.2761224434364558E-2</v>
      </c>
      <c r="H43" s="165">
        <f>VLOOKUP($B43,'Data shares'!$C:$FB,66)</f>
        <v>25696725</v>
      </c>
      <c r="I43" s="165">
        <f>VLOOKUP($B43,'Data shares'!$C:$FB,67)</f>
        <v>56716075</v>
      </c>
      <c r="J43" s="81">
        <f t="shared" si="11"/>
        <v>-54.692342514886647</v>
      </c>
      <c r="K43" s="5">
        <f>VLOOKUP($B43,'Data Vlaue (Cr)'!$C:$FB,99)</f>
        <v>2280</v>
      </c>
      <c r="L43" s="81">
        <f>VLOOKUP(B43,'OI(Value)'!$A$7:$C$209,3,0)</f>
        <v>-53</v>
      </c>
      <c r="M43" s="33">
        <f t="shared" si="12"/>
        <v>-2.3245614035087718</v>
      </c>
      <c r="N43" s="5">
        <f>VLOOKUP($B43,'Data Vlaue (Cr)'!$C:$FB,67)</f>
        <v>824</v>
      </c>
      <c r="O43" s="5">
        <f>VLOOKUP($B43,'Data Vlaue (Cr)'!$C:$FB,68)</f>
        <v>1819</v>
      </c>
      <c r="P43" s="5">
        <f t="shared" si="13"/>
        <v>-120.75242718446601</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5701</v>
      </c>
      <c r="D44" s="165">
        <f>VLOOKUP($B44,'Data shares'!$C:$FB,98)</f>
        <v>5697125</v>
      </c>
      <c r="E44" s="165">
        <f>VLOOKUP(B44,'Snapshot (Volume)'!$A$7:$G$168,7,0)</f>
        <v>5611375</v>
      </c>
      <c r="F44" s="165">
        <f t="shared" ref="F44:F49" si="14">D44-E44</f>
        <v>85750</v>
      </c>
      <c r="G44" s="166">
        <f t="shared" ref="G44:G49" si="15">F44/E44</f>
        <v>1.5281459535318884E-2</v>
      </c>
      <c r="H44" s="165">
        <f>VLOOKUP($B44,'Data shares'!$C:$FB,66)</f>
        <v>12294625</v>
      </c>
      <c r="I44" s="165">
        <f>VLOOKUP($B44,'Data shares'!$C:$FB,67)</f>
        <v>2517000</v>
      </c>
      <c r="J44" s="81">
        <f t="shared" ref="J44:J49" si="16">(H44-I44)/I44*100</f>
        <v>388.46344854986097</v>
      </c>
      <c r="K44" s="81">
        <f>VLOOKUP($B44,'Data Vlaue (Cr)'!$C:$FB,99)</f>
        <v>3250</v>
      </c>
      <c r="L44" s="81">
        <f>VLOOKUP(B44,'OI(Value)'!$A$7:$C$209,3,0)</f>
        <v>49</v>
      </c>
      <c r="M44" s="81">
        <f t="shared" si="12"/>
        <v>1.5076923076923077</v>
      </c>
      <c r="N44" s="81">
        <f>VLOOKUP($B44,'Data Vlaue (Cr)'!$C:$FB,67)</f>
        <v>7014</v>
      </c>
      <c r="O44" s="81">
        <f>VLOOKUP($B44,'Data Vlaue (Cr)'!$C:$FB,68)</f>
        <v>1436</v>
      </c>
      <c r="P44" s="81">
        <f t="shared" ref="P44:P49" si="17">(N44-O44)/N44*100</f>
        <v>79.526660963786711</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2523</v>
      </c>
      <c r="D45" s="82">
        <f>VLOOKUP($B45,'Data shares'!$C:$FB,98)</f>
        <v>25928250</v>
      </c>
      <c r="E45" s="165">
        <f>VLOOKUP(B45,'Snapshot (Volume)'!$A$7:$G$168,7,0)</f>
        <v>26596500</v>
      </c>
      <c r="F45" s="165">
        <f t="shared" si="14"/>
        <v>-668250</v>
      </c>
      <c r="G45" s="166">
        <f t="shared" si="15"/>
        <v>-2.5125486436185212E-2</v>
      </c>
      <c r="H45" s="165">
        <f>VLOOKUP($B45,'Data shares'!$C:$FB,66)</f>
        <v>29932500</v>
      </c>
      <c r="I45" s="165">
        <f>VLOOKUP($B45,'Data shares'!$C:$FB,67)</f>
        <v>40183125</v>
      </c>
      <c r="J45" s="81">
        <f t="shared" si="16"/>
        <v>-25.509775558770002</v>
      </c>
      <c r="K45" s="5">
        <f>VLOOKUP($B45,'Data Vlaue (Cr)'!$C:$FB,99)</f>
        <v>6558</v>
      </c>
      <c r="L45" s="81">
        <f>VLOOKUP(B45,'OI(Value)'!$A$7:$C$209,3,0)</f>
        <v>-169</v>
      </c>
      <c r="M45" s="33">
        <f t="shared" si="12"/>
        <v>-2.5770051845074717</v>
      </c>
      <c r="N45" s="5">
        <f>VLOOKUP($B45,'Data Vlaue (Cr)'!$C:$FB,67)</f>
        <v>7570</v>
      </c>
      <c r="O45" s="5">
        <f>VLOOKUP($B45,'Data Vlaue (Cr)'!$C:$FB,68)</f>
        <v>10163</v>
      </c>
      <c r="P45" s="5">
        <f t="shared" si="17"/>
        <v>-34.253632760898284</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3841.8</v>
      </c>
      <c r="D46" s="82">
        <f>VLOOKUP($B46,'Data shares'!$C:$FB,98)</f>
        <v>3945450</v>
      </c>
      <c r="E46" s="165">
        <f>VLOOKUP(B46,'Snapshot (Volume)'!$A$7:$G$168,7,0)</f>
        <v>4097700</v>
      </c>
      <c r="F46" s="165">
        <f t="shared" si="14"/>
        <v>-152250</v>
      </c>
      <c r="G46" s="166">
        <f t="shared" si="15"/>
        <v>-3.7154989384288746E-2</v>
      </c>
      <c r="H46" s="165">
        <f>VLOOKUP($B46,'Data shares'!$C:$FB,66)</f>
        <v>2148300</v>
      </c>
      <c r="I46" s="165">
        <f>VLOOKUP($B46,'Data shares'!$C:$FB,67)</f>
        <v>2086200</v>
      </c>
      <c r="J46" s="81">
        <f t="shared" si="16"/>
        <v>2.9767040552200172</v>
      </c>
      <c r="K46" s="5">
        <f>VLOOKUP($B46,'Data Vlaue (Cr)'!$C:$FB,99)</f>
        <v>1516</v>
      </c>
      <c r="L46" s="81">
        <f>VLOOKUP(B46,'OI(Value)'!$A$7:$C$209,3,0)</f>
        <v>-59</v>
      </c>
      <c r="M46" s="33">
        <f t="shared" si="12"/>
        <v>-3.891820580474934</v>
      </c>
      <c r="N46" s="5">
        <f>VLOOKUP($B46,'Data Vlaue (Cr)'!$C:$FB,67)</f>
        <v>826</v>
      </c>
      <c r="O46" s="5">
        <f>VLOOKUP($B46,'Data Vlaue (Cr)'!$C:$FB,68)</f>
        <v>802</v>
      </c>
      <c r="P46" s="5">
        <f t="shared" si="17"/>
        <v>2.9055690072639226</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112.28</v>
      </c>
      <c r="D47" s="82">
        <f>VLOOKUP($B47,'Data shares'!$C:$FB,98)</f>
        <v>391992750</v>
      </c>
      <c r="E47" s="165">
        <f>VLOOKUP(B47,'Snapshot (Volume)'!$A$7:$G$168,7,0)</f>
        <v>396461250</v>
      </c>
      <c r="F47" s="165">
        <f t="shared" si="14"/>
        <v>-4468500</v>
      </c>
      <c r="G47" s="166">
        <f t="shared" si="15"/>
        <v>-1.1270962799012513E-2</v>
      </c>
      <c r="H47" s="165">
        <f>VLOOKUP($B47,'Data shares'!$C:$FB,66)</f>
        <v>141459750</v>
      </c>
      <c r="I47" s="165">
        <f>VLOOKUP($B47,'Data shares'!$C:$FB,67)</f>
        <v>230850000</v>
      </c>
      <c r="J47" s="81">
        <f t="shared" si="16"/>
        <v>-38.722222222222221</v>
      </c>
      <c r="K47" s="5">
        <f>VLOOKUP($B47,'Data Vlaue (Cr)'!$C:$FB,99)</f>
        <v>4406</v>
      </c>
      <c r="L47" s="81">
        <f>VLOOKUP(B47,'OI(Value)'!$A$7:$C$209,3,0)</f>
        <v>-50</v>
      </c>
      <c r="M47" s="33">
        <f t="shared" si="12"/>
        <v>-1.1348161597821154</v>
      </c>
      <c r="N47" s="5">
        <f>VLOOKUP($B47,'Data Vlaue (Cr)'!$C:$FB,67)</f>
        <v>1590</v>
      </c>
      <c r="O47" s="5">
        <f>VLOOKUP($B47,'Data Vlaue (Cr)'!$C:$FB,68)</f>
        <v>2595</v>
      </c>
      <c r="P47" s="5">
        <f t="shared" si="17"/>
        <v>-63.20754716981132</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1583.6</v>
      </c>
      <c r="D48" s="82">
        <f>VLOOKUP($B48,'Data shares'!$C:$FB,98)</f>
        <v>21769725</v>
      </c>
      <c r="E48" s="165">
        <f>VLOOKUP(B48,'Snapshot (Volume)'!$A$7:$G$168,7,0)</f>
        <v>21113275</v>
      </c>
      <c r="F48" s="165">
        <f t="shared" si="14"/>
        <v>656450</v>
      </c>
      <c r="G48" s="166">
        <f t="shared" si="15"/>
        <v>3.1091813089158361E-2</v>
      </c>
      <c r="H48" s="165">
        <f>VLOOKUP($B48,'Data shares'!$C:$FB,66)</f>
        <v>12055500</v>
      </c>
      <c r="I48" s="165">
        <f>VLOOKUP($B48,'Data shares'!$C:$FB,67)</f>
        <v>10923575</v>
      </c>
      <c r="J48" s="81">
        <f t="shared" si="16"/>
        <v>10.362221159281646</v>
      </c>
      <c r="K48" s="5">
        <f>VLOOKUP($B48,'Data Vlaue (Cr)'!$C:$FB,99)</f>
        <v>3458</v>
      </c>
      <c r="L48" s="81">
        <f>VLOOKUP(B48,'OI(Value)'!$A$7:$C$209,3,0)</f>
        <v>104</v>
      </c>
      <c r="M48" s="33">
        <f t="shared" si="12"/>
        <v>3.007518796992481</v>
      </c>
      <c r="N48" s="5">
        <f>VLOOKUP($B48,'Data Vlaue (Cr)'!$C:$FB,67)</f>
        <v>1915</v>
      </c>
      <c r="O48" s="5">
        <f>VLOOKUP($B48,'Data Vlaue (Cr)'!$C:$FB,68)</f>
        <v>1735</v>
      </c>
      <c r="P48" s="5">
        <f t="shared" si="17"/>
        <v>9.3994778067885107</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CESC</v>
      </c>
      <c r="C49" s="4">
        <f>VLOOKUP($B49,'Data shares'!$C:$FB,7)</f>
        <v>163.43</v>
      </c>
      <c r="D49" s="82">
        <f>VLOOKUP($B49,'Data shares'!$C:$FB,98)</f>
        <v>26538625</v>
      </c>
      <c r="E49" s="165">
        <f>VLOOKUP(B49,'Snapshot (Volume)'!$A$7:$G$168,7,0)</f>
        <v>26400875</v>
      </c>
      <c r="F49" s="165">
        <f t="shared" si="14"/>
        <v>137750</v>
      </c>
      <c r="G49" s="166">
        <f t="shared" si="15"/>
        <v>5.2176300974872995E-3</v>
      </c>
      <c r="H49" s="165">
        <f>VLOOKUP($B49,'Data shares'!$C:$FB,66)</f>
        <v>7130375</v>
      </c>
      <c r="I49" s="165">
        <f>VLOOKUP($B49,'Data shares'!$C:$FB,67)</f>
        <v>7529125</v>
      </c>
      <c r="J49" s="81">
        <f t="shared" si="16"/>
        <v>-5.2961001444390945</v>
      </c>
      <c r="K49" s="5">
        <f>VLOOKUP($B49,'Data Vlaue (Cr)'!$C:$FB,99)</f>
        <v>435</v>
      </c>
      <c r="L49" s="81">
        <f>VLOOKUP(B49,'OI(Value)'!$A$7:$C$209,3,0)</f>
        <v>2</v>
      </c>
      <c r="M49" s="33">
        <f t="shared" si="12"/>
        <v>0.45977011494252873</v>
      </c>
      <c r="N49" s="5">
        <f>VLOOKUP($B49,'Data Vlaue (Cr)'!$C:$FB,67)</f>
        <v>117</v>
      </c>
      <c r="O49" s="5">
        <f>VLOOKUP($B49,'Data Vlaue (Cr)'!$C:$FB,68)</f>
        <v>124</v>
      </c>
      <c r="P49" s="5">
        <f t="shared" si="17"/>
        <v>-5.982905982905983</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Power</v>
      </c>
      <c r="B50" s="79" t="str">
        <f>'Data shares'!C45</f>
        <v>CGPOWER</v>
      </c>
      <c r="C50" s="4">
        <f>VLOOKUP($B50,'Data shares'!$C:$FB,7)</f>
        <v>674.25</v>
      </c>
      <c r="D50" s="82">
        <f>VLOOKUP($B50,'Data shares'!$C:$FB,98)</f>
        <v>23410700</v>
      </c>
      <c r="E50" s="165">
        <f>VLOOKUP(B50,'Snapshot (Volume)'!$A$7:$G$168,7,0)</f>
        <v>23232200</v>
      </c>
      <c r="F50" s="165">
        <f>D50-E50</f>
        <v>178500</v>
      </c>
      <c r="G50" s="166">
        <f>F50/E50</f>
        <v>7.6833016244694866E-3</v>
      </c>
      <c r="H50" s="165">
        <f>VLOOKUP($B50,'Data shares'!$C:$FB,66)</f>
        <v>5383900</v>
      </c>
      <c r="I50" s="165">
        <f>VLOOKUP($B50,'Data shares'!$C:$FB,67)</f>
        <v>6687800</v>
      </c>
      <c r="J50" s="81">
        <f>(H50-I50)/I50*100</f>
        <v>-19.496695475343163</v>
      </c>
      <c r="K50" s="5">
        <f>VLOOKUP($B50,'Data Vlaue (Cr)'!$C:$FB,99)</f>
        <v>1581</v>
      </c>
      <c r="L50" s="81">
        <f>VLOOKUP(B50,'OI(Value)'!$A$7:$C$209,3,0)</f>
        <v>12</v>
      </c>
      <c r="M50" s="33">
        <f t="shared" si="12"/>
        <v>0.75901328273244784</v>
      </c>
      <c r="N50" s="5">
        <f>VLOOKUP($B50,'Data Vlaue (Cr)'!$C:$FB,67)</f>
        <v>364</v>
      </c>
      <c r="O50" s="5">
        <f>VLOOKUP($B50,'Data Vlaue (Cr)'!$C:$FB,68)</f>
        <v>452</v>
      </c>
      <c r="P50" s="5">
        <f>(N50-O50)/N50*100</f>
        <v>-24.175824175824175</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Finance</v>
      </c>
      <c r="B51" s="79" t="str">
        <f>'Data shares'!C46</f>
        <v>CHOLAFIN</v>
      </c>
      <c r="C51" s="4">
        <f>VLOOKUP($B51,'Data shares'!$C:$FB,7)</f>
        <v>1522.9</v>
      </c>
      <c r="D51" s="82">
        <f>VLOOKUP($B51,'Data shares'!$C:$FB,98)</f>
        <v>16791875</v>
      </c>
      <c r="E51" s="165">
        <f>VLOOKUP(B51,'Snapshot (Volume)'!$A$7:$G$168,7,0)</f>
        <v>16632500</v>
      </c>
      <c r="F51" s="165">
        <f>D51-E51</f>
        <v>159375</v>
      </c>
      <c r="G51" s="166">
        <f>F51/E51</f>
        <v>9.5821433939576126E-3</v>
      </c>
      <c r="H51" s="165">
        <f>VLOOKUP($B51,'Data shares'!$C:$FB,66)</f>
        <v>8523125</v>
      </c>
      <c r="I51" s="165">
        <f>VLOOKUP($B51,'Data shares'!$C:$FB,67)</f>
        <v>7770625</v>
      </c>
      <c r="J51" s="81">
        <f>(H51-I51)/I51*100</f>
        <v>9.6839057347381967</v>
      </c>
      <c r="K51" s="5">
        <f>VLOOKUP($B51,'Data Vlaue (Cr)'!$C:$FB,99)</f>
        <v>2557</v>
      </c>
      <c r="L51" s="81">
        <f>VLOOKUP(B51,'OI(Value)'!$A$7:$C$209,3,0)</f>
        <v>24</v>
      </c>
      <c r="M51" s="33">
        <f t="shared" si="12"/>
        <v>0.93859992178333984</v>
      </c>
      <c r="N51" s="5">
        <f>VLOOKUP($B51,'Data Vlaue (Cr)'!$C:$FB,67)</f>
        <v>1298</v>
      </c>
      <c r="O51" s="5">
        <f>VLOOKUP($B51,'Data Vlaue (Cr)'!$C:$FB,68)</f>
        <v>1183</v>
      </c>
      <c r="P51" s="5">
        <f>(N51-O51)/N51*100</f>
        <v>8.8597842835130969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Pharma</v>
      </c>
      <c r="B52" s="79" t="str">
        <f>'Data shares'!C47</f>
        <v>CIPLA</v>
      </c>
      <c r="C52" s="79">
        <f>VLOOKUP($B52,'Data shares'!$C:$FB,7)</f>
        <v>1546.1</v>
      </c>
      <c r="D52" s="80">
        <f>VLOOKUP($B52,'Data shares'!$C:$FB,98)</f>
        <v>18316500</v>
      </c>
      <c r="E52" s="165">
        <f>VLOOKUP(B52,'Snapshot (Volume)'!$A$7:$G$168,7,0)</f>
        <v>18325875</v>
      </c>
      <c r="F52" s="165">
        <f t="shared" ref="F52:F68" si="18">D52-E52</f>
        <v>-9375</v>
      </c>
      <c r="G52" s="166">
        <f t="shared" ref="G52:G68" si="19">F52/E52</f>
        <v>-5.1157175305408334E-4</v>
      </c>
      <c r="H52" s="165">
        <f>VLOOKUP($B52,'Data shares'!$C:$FB,66)</f>
        <v>8809875</v>
      </c>
      <c r="I52" s="165">
        <f>VLOOKUP($B52,'Data shares'!$C:$FB,67)</f>
        <v>5965500</v>
      </c>
      <c r="J52" s="81">
        <f t="shared" ref="J52:J68" si="20">(H52-I52)/I52*100</f>
        <v>47.680412371134025</v>
      </c>
      <c r="K52" s="81">
        <f>VLOOKUP($B52,'Data Vlaue (Cr)'!$C:$FB,99)</f>
        <v>2838</v>
      </c>
      <c r="L52" s="81">
        <f>VLOOKUP(B52,'OI(Value)'!$A$7:$C$209,3,0)</f>
        <v>-1</v>
      </c>
      <c r="M52" s="81">
        <f t="shared" si="12"/>
        <v>-3.5236081747709654E-2</v>
      </c>
      <c r="N52" s="81">
        <f>VLOOKUP($B52,'Data Vlaue (Cr)'!$C:$FB,67)</f>
        <v>1365</v>
      </c>
      <c r="O52" s="81">
        <f>VLOOKUP($B52,'Data Vlaue (Cr)'!$C:$FB,68)</f>
        <v>924</v>
      </c>
      <c r="P52" s="81">
        <f t="shared" ref="P52:P68" si="21">(N52-O52)/N52*100</f>
        <v>32.307692307692307</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Metals</v>
      </c>
      <c r="B53" s="79" t="str">
        <f>'Data shares'!C48</f>
        <v>COALINDIA</v>
      </c>
      <c r="C53" s="4">
        <f>VLOOKUP($B53,'Data shares'!$C:$FB,7)</f>
        <v>384.7</v>
      </c>
      <c r="D53" s="82">
        <f>VLOOKUP($B53,'Data shares'!$C:$FB,98)</f>
        <v>132271650</v>
      </c>
      <c r="E53" s="165">
        <f>VLOOKUP(B53,'Snapshot (Volume)'!$A$7:$G$168,7,0)</f>
        <v>129969900</v>
      </c>
      <c r="F53" s="165">
        <f t="shared" si="18"/>
        <v>2301750</v>
      </c>
      <c r="G53" s="166">
        <f t="shared" si="19"/>
        <v>1.7709869746764442E-2</v>
      </c>
      <c r="H53" s="165">
        <f>VLOOKUP($B53,'Data shares'!$C:$FB,66)</f>
        <v>33552900</v>
      </c>
      <c r="I53" s="165">
        <f>VLOOKUP($B53,'Data shares'!$C:$FB,67)</f>
        <v>55534950</v>
      </c>
      <c r="J53" s="81">
        <f t="shared" si="20"/>
        <v>-39.582371101441524</v>
      </c>
      <c r="K53" s="5">
        <f>VLOOKUP($B53,'Data Vlaue (Cr)'!$C:$FB,99)</f>
        <v>5027</v>
      </c>
      <c r="L53" s="81">
        <f>VLOOKUP(B53,'OI(Value)'!$A$7:$C$209,3,0)</f>
        <v>87</v>
      </c>
      <c r="M53" s="33">
        <f t="shared" si="12"/>
        <v>1.7306544658842251</v>
      </c>
      <c r="N53" s="5">
        <f>VLOOKUP($B53,'Data Vlaue (Cr)'!$C:$FB,67)</f>
        <v>1275</v>
      </c>
      <c r="O53" s="5">
        <f>VLOOKUP($B53,'Data Vlaue (Cr)'!$C:$FB,68)</f>
        <v>2111</v>
      </c>
      <c r="P53" s="5">
        <f t="shared" si="21"/>
        <v>-65.568627450980387</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1708.4</v>
      </c>
      <c r="D54" s="82">
        <f>VLOOKUP($B54,'Data shares'!$C:$FB,98)</f>
        <v>21126375</v>
      </c>
      <c r="E54" s="165">
        <f>VLOOKUP(B54,'Snapshot (Volume)'!$A$7:$G$168,7,0)</f>
        <v>22001625</v>
      </c>
      <c r="F54" s="165">
        <f t="shared" si="18"/>
        <v>-875250</v>
      </c>
      <c r="G54" s="166">
        <f t="shared" si="19"/>
        <v>-3.9781152528506419E-2</v>
      </c>
      <c r="H54" s="165">
        <f>VLOOKUP($B54,'Data shares'!$C:$FB,66)</f>
        <v>31860750</v>
      </c>
      <c r="I54" s="165">
        <f>VLOOKUP($B54,'Data shares'!$C:$FB,67)</f>
        <v>7516875</v>
      </c>
      <c r="J54" s="81">
        <f t="shared" si="20"/>
        <v>323.85632327263659</v>
      </c>
      <c r="K54" s="5">
        <f>VLOOKUP($B54,'Data Vlaue (Cr)'!$C:$FB,99)</f>
        <v>3610</v>
      </c>
      <c r="L54" s="81">
        <f>VLOOKUP(B54,'OI(Value)'!$A$7:$C$209,3,0)</f>
        <v>-150</v>
      </c>
      <c r="M54" s="33">
        <f t="shared" si="12"/>
        <v>-4.1551246537396125</v>
      </c>
      <c r="N54" s="5">
        <f>VLOOKUP($B54,'Data Vlaue (Cr)'!$C:$FB,67)</f>
        <v>5444</v>
      </c>
      <c r="O54" s="5">
        <f>VLOOKUP($B54,'Data Vlaue (Cr)'!$C:$FB,68)</f>
        <v>1284</v>
      </c>
      <c r="P54" s="5">
        <f t="shared" si="21"/>
        <v>76.414401175606173</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2356.5</v>
      </c>
      <c r="D55" s="82">
        <f>VLOOKUP($B55,'Data shares'!$C:$FB,98)</f>
        <v>8530200</v>
      </c>
      <c r="E55" s="165">
        <f>VLOOKUP(B55,'Snapshot (Volume)'!$A$7:$G$168,7,0)</f>
        <v>8670825</v>
      </c>
      <c r="F55" s="165">
        <f t="shared" si="18"/>
        <v>-140625</v>
      </c>
      <c r="G55" s="166">
        <f t="shared" si="19"/>
        <v>-1.6218179930975428E-2</v>
      </c>
      <c r="H55" s="165">
        <f>VLOOKUP($B55,'Data shares'!$C:$FB,66)</f>
        <v>20655675</v>
      </c>
      <c r="I55" s="165">
        <f>VLOOKUP($B55,'Data shares'!$C:$FB,67)</f>
        <v>6718500</v>
      </c>
      <c r="J55" s="81">
        <f t="shared" si="20"/>
        <v>207.44474212993973</v>
      </c>
      <c r="K55" s="5">
        <f>VLOOKUP($B55,'Data Vlaue (Cr)'!$C:$FB,99)</f>
        <v>2017</v>
      </c>
      <c r="L55" s="81">
        <f>VLOOKUP(B55,'OI(Value)'!$A$7:$C$209,3,0)</f>
        <v>-33</v>
      </c>
      <c r="M55" s="33">
        <f t="shared" si="12"/>
        <v>-1.6360932077342589</v>
      </c>
      <c r="N55" s="5">
        <f>VLOOKUP($B55,'Data Vlaue (Cr)'!$C:$FB,67)</f>
        <v>4883</v>
      </c>
      <c r="O55" s="5">
        <f>VLOOKUP($B55,'Data Vlaue (Cr)'!$C:$FB,68)</f>
        <v>1588</v>
      </c>
      <c r="P55" s="5">
        <f t="shared" si="21"/>
        <v>67.479008806061842</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557.5</v>
      </c>
      <c r="D56" s="82">
        <f>VLOOKUP($B56,'Data shares'!$C:$FB,98)</f>
        <v>37932500</v>
      </c>
      <c r="E56" s="165">
        <f>VLOOKUP(B56,'Snapshot (Volume)'!$A$7:$G$168,7,0)</f>
        <v>38066250</v>
      </c>
      <c r="F56" s="165">
        <f t="shared" si="18"/>
        <v>-133750</v>
      </c>
      <c r="G56" s="166">
        <f t="shared" si="19"/>
        <v>-3.5136111384756839E-3</v>
      </c>
      <c r="H56" s="165">
        <f>VLOOKUP($B56,'Data shares'!$C:$FB,66)</f>
        <v>15078750</v>
      </c>
      <c r="I56" s="165">
        <f>VLOOKUP($B56,'Data shares'!$C:$FB,67)</f>
        <v>24018750</v>
      </c>
      <c r="J56" s="81">
        <f t="shared" si="20"/>
        <v>-37.220921155347384</v>
      </c>
      <c r="K56" s="5">
        <f>VLOOKUP($B56,'Data Vlaue (Cr)'!$C:$FB,99)</f>
        <v>2117</v>
      </c>
      <c r="L56" s="81">
        <f>VLOOKUP(B56,'OI(Value)'!$A$7:$C$209,3,0)</f>
        <v>-7</v>
      </c>
      <c r="M56" s="33">
        <f t="shared" si="12"/>
        <v>-0.33065658951346244</v>
      </c>
      <c r="N56" s="5">
        <f>VLOOKUP($B56,'Data Vlaue (Cr)'!$C:$FB,67)</f>
        <v>841</v>
      </c>
      <c r="O56" s="5">
        <f>VLOOKUP($B56,'Data Vlaue (Cr)'!$C:$FB,68)</f>
        <v>1340</v>
      </c>
      <c r="P56" s="5">
        <f t="shared" si="21"/>
        <v>-59.33412604042806</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328.35</v>
      </c>
      <c r="D57" s="82">
        <f>VLOOKUP($B57,'Data shares'!$C:$FB,98)</f>
        <v>50252400</v>
      </c>
      <c r="E57" s="165">
        <f>VLOOKUP(B57,'Snapshot (Volume)'!$A$7:$G$168,7,0)</f>
        <v>49296600</v>
      </c>
      <c r="F57" s="165">
        <f t="shared" si="18"/>
        <v>955800</v>
      </c>
      <c r="G57" s="166">
        <f t="shared" si="19"/>
        <v>1.9388761091028592E-2</v>
      </c>
      <c r="H57" s="165">
        <f>VLOOKUP($B57,'Data shares'!$C:$FB,66)</f>
        <v>9509400</v>
      </c>
      <c r="I57" s="165">
        <f>VLOOKUP($B57,'Data shares'!$C:$FB,67)</f>
        <v>12889800</v>
      </c>
      <c r="J57" s="81">
        <f t="shared" si="20"/>
        <v>-26.225387515710096</v>
      </c>
      <c r="K57" s="5">
        <f>VLOOKUP($B57,'Data Vlaue (Cr)'!$C:$FB,99)</f>
        <v>1654</v>
      </c>
      <c r="L57" s="81">
        <f>VLOOKUP(B57,'OI(Value)'!$A$7:$C$209,3,0)</f>
        <v>31</v>
      </c>
      <c r="M57" s="33">
        <f t="shared" si="12"/>
        <v>1.8742442563482467</v>
      </c>
      <c r="N57" s="5">
        <f>VLOOKUP($B57,'Data Vlaue (Cr)'!$C:$FB,67)</f>
        <v>313</v>
      </c>
      <c r="O57" s="5">
        <f>VLOOKUP($B57,'Data Vlaue (Cr)'!$C:$FB,68)</f>
        <v>424</v>
      </c>
      <c r="P57" s="5">
        <f t="shared" si="21"/>
        <v>-35.463258785942493</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3818.4</v>
      </c>
      <c r="D58" s="82">
        <f>VLOOKUP($B58,'Data shares'!$C:$FB,98)</f>
        <v>5395800</v>
      </c>
      <c r="E58" s="165">
        <f>VLOOKUP(B58,'Snapshot (Volume)'!$A$7:$G$168,7,0)</f>
        <v>5298200</v>
      </c>
      <c r="F58" s="165">
        <f t="shared" si="18"/>
        <v>97600</v>
      </c>
      <c r="G58" s="166">
        <f t="shared" si="19"/>
        <v>1.842135064738968E-2</v>
      </c>
      <c r="H58" s="165">
        <f>VLOOKUP($B58,'Data shares'!$C:$FB,66)</f>
        <v>3531800</v>
      </c>
      <c r="I58" s="165">
        <f>VLOOKUP($B58,'Data shares'!$C:$FB,67)</f>
        <v>1883200</v>
      </c>
      <c r="J58" s="81">
        <f t="shared" si="20"/>
        <v>87.54248088360238</v>
      </c>
      <c r="K58" s="5">
        <f>VLOOKUP($B58,'Data Vlaue (Cr)'!$C:$FB,99)</f>
        <v>2057</v>
      </c>
      <c r="L58" s="81">
        <f>VLOOKUP(B58,'OI(Value)'!$A$7:$C$209,3,0)</f>
        <v>37</v>
      </c>
      <c r="M58" s="33">
        <f t="shared" si="12"/>
        <v>1.7987360233349539</v>
      </c>
      <c r="N58" s="5">
        <f>VLOOKUP($B58,'Data Vlaue (Cr)'!$C:$FB,67)</f>
        <v>1346</v>
      </c>
      <c r="O58" s="5">
        <f>VLOOKUP($B58,'Data Vlaue (Cr)'!$C:$FB,68)</f>
        <v>718</v>
      </c>
      <c r="P58" s="5">
        <f t="shared" si="21"/>
        <v>46.65676077265973</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CYIENT</v>
      </c>
      <c r="C59" s="4">
        <f>VLOOKUP($B59,'Data shares'!$C:$FB,7)</f>
        <v>1230.5999999999999</v>
      </c>
      <c r="D59" s="82">
        <f>VLOOKUP($B59,'Data shares'!$C:$FB,98)</f>
        <v>4806325</v>
      </c>
      <c r="E59" s="165">
        <f>VLOOKUP(B59,'Snapshot (Volume)'!$A$7:$G$168,7,0)</f>
        <v>4340950</v>
      </c>
      <c r="F59" s="165">
        <f t="shared" si="18"/>
        <v>465375</v>
      </c>
      <c r="G59" s="166">
        <f t="shared" si="19"/>
        <v>0.10720579596632074</v>
      </c>
      <c r="H59" s="165">
        <f>VLOOKUP($B59,'Data shares'!$C:$FB,66)</f>
        <v>6389450</v>
      </c>
      <c r="I59" s="165">
        <f>VLOOKUP($B59,'Data shares'!$C:$FB,67)</f>
        <v>2024700</v>
      </c>
      <c r="J59" s="81">
        <f t="shared" si="20"/>
        <v>215.57514693534844</v>
      </c>
      <c r="K59" s="5">
        <f>VLOOKUP($B59,'Data Vlaue (Cr)'!$C:$FB,99)</f>
        <v>593</v>
      </c>
      <c r="L59" s="81">
        <f>VLOOKUP(B59,'OI(Value)'!$A$7:$C$209,3,0)</f>
        <v>57</v>
      </c>
      <c r="M59" s="33">
        <f t="shared" si="12"/>
        <v>9.6121416526138272</v>
      </c>
      <c r="N59" s="5">
        <f>VLOOKUP($B59,'Data Vlaue (Cr)'!$C:$FB,67)</f>
        <v>789</v>
      </c>
      <c r="O59" s="5">
        <f>VLOOKUP($B59,'Data Vlaue (Cr)'!$C:$FB,68)</f>
        <v>250</v>
      </c>
      <c r="P59" s="5">
        <f t="shared" si="21"/>
        <v>68.314321926489228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DABUR</v>
      </c>
      <c r="C60" s="4">
        <f>VLOOKUP($B60,'Data shares'!$C:$FB,7)</f>
        <v>535</v>
      </c>
      <c r="D60" s="82">
        <f>VLOOKUP($B60,'Data shares'!$C:$FB,98)</f>
        <v>36646250</v>
      </c>
      <c r="E60" s="165">
        <f>VLOOKUP(B60,'Snapshot (Volume)'!$A$7:$G$168,7,0)</f>
        <v>32753750</v>
      </c>
      <c r="F60" s="165">
        <f t="shared" si="18"/>
        <v>3892500</v>
      </c>
      <c r="G60" s="166">
        <f t="shared" si="19"/>
        <v>0.11884135404343014</v>
      </c>
      <c r="H60" s="165">
        <f>VLOOKUP($B60,'Data shares'!$C:$FB,66)</f>
        <v>71911250</v>
      </c>
      <c r="I60" s="165">
        <f>VLOOKUP($B60,'Data shares'!$C:$FB,67)</f>
        <v>16668750</v>
      </c>
      <c r="J60" s="81">
        <f t="shared" si="20"/>
        <v>331.41357330333705</v>
      </c>
      <c r="K60" s="5">
        <f>VLOOKUP($B60,'Data Vlaue (Cr)'!$C:$FB,99)</f>
        <v>1967</v>
      </c>
      <c r="L60" s="81">
        <f>VLOOKUP(B60,'OI(Value)'!$A$7:$C$209,3,0)</f>
        <v>209</v>
      </c>
      <c r="M60" s="33">
        <f t="shared" si="12"/>
        <v>10.625317742755465</v>
      </c>
      <c r="N60" s="5">
        <f>VLOOKUP($B60,'Data Vlaue (Cr)'!$C:$FB,67)</f>
        <v>3861</v>
      </c>
      <c r="O60" s="5">
        <f>VLOOKUP($B60,'Data Vlaue (Cr)'!$C:$FB,68)</f>
        <v>895</v>
      </c>
      <c r="P60" s="5">
        <f t="shared" si="21"/>
        <v>76.819476819476819</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Cement</v>
      </c>
      <c r="B61" s="79" t="str">
        <f>'Data shares'!C56</f>
        <v>DALBHARAT</v>
      </c>
      <c r="C61" s="4">
        <f>VLOOKUP($B61,'Data shares'!$C:$FB,7)</f>
        <v>2344.4</v>
      </c>
      <c r="D61" s="82">
        <f>VLOOKUP($B61,'Data shares'!$C:$FB,98)</f>
        <v>3733925</v>
      </c>
      <c r="E61" s="165">
        <f>VLOOKUP(B61,'Snapshot (Volume)'!$A$7:$G$168,7,0)</f>
        <v>3751475</v>
      </c>
      <c r="F61" s="165">
        <f t="shared" si="18"/>
        <v>-17550</v>
      </c>
      <c r="G61" s="166">
        <f t="shared" si="19"/>
        <v>-4.6781599237633196E-3</v>
      </c>
      <c r="H61" s="165">
        <f>VLOOKUP($B61,'Data shares'!$C:$FB,66)</f>
        <v>573950</v>
      </c>
      <c r="I61" s="165">
        <f>VLOOKUP($B61,'Data shares'!$C:$FB,67)</f>
        <v>1040325</v>
      </c>
      <c r="J61" s="81">
        <f t="shared" si="20"/>
        <v>-44.829740706029362</v>
      </c>
      <c r="K61" s="5">
        <f>VLOOKUP($B61,'Data Vlaue (Cr)'!$C:$FB,99)</f>
        <v>877</v>
      </c>
      <c r="L61" s="81">
        <f>VLOOKUP(B61,'OI(Value)'!$A$7:$C$209,3,0)</f>
        <v>-4</v>
      </c>
      <c r="M61" s="33">
        <f t="shared" si="12"/>
        <v>-0.45610034207525657</v>
      </c>
      <c r="N61" s="5">
        <f>VLOOKUP($B61,'Data Vlaue (Cr)'!$C:$FB,67)</f>
        <v>135</v>
      </c>
      <c r="O61" s="5">
        <f>VLOOKUP($B61,'Data Vlaue (Cr)'!$C:$FB,68)</f>
        <v>244</v>
      </c>
      <c r="P61" s="5">
        <f t="shared" si="21"/>
        <v>-80.740740740740748</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New_Age</v>
      </c>
      <c r="B62" s="79" t="str">
        <f>'Data shares'!C57</f>
        <v>DELHIVERY</v>
      </c>
      <c r="C62" s="4">
        <f>VLOOKUP($B62,'Data shares'!$C:$FB,7)</f>
        <v>471.1</v>
      </c>
      <c r="D62" s="82">
        <f>VLOOKUP($B62,'Data shares'!$C:$FB,98)</f>
        <v>36434925</v>
      </c>
      <c r="E62" s="165">
        <f>VLOOKUP(B62,'Snapshot (Volume)'!$A$7:$G$168,7,0)</f>
        <v>37065725</v>
      </c>
      <c r="F62" s="165">
        <f t="shared" si="18"/>
        <v>-630800</v>
      </c>
      <c r="G62" s="166"/>
      <c r="H62" s="165">
        <f>VLOOKUP($B62,'Data shares'!$C:$FB,66)</f>
        <v>29882075</v>
      </c>
      <c r="I62" s="165">
        <f>VLOOKUP($B62,'Data shares'!$C:$FB,67)</f>
        <v>35729425</v>
      </c>
      <c r="J62" s="81"/>
      <c r="K62" s="5">
        <f>VLOOKUP($B62,'Data Vlaue (Cr)'!$C:$FB,99)</f>
        <v>1720</v>
      </c>
      <c r="L62" s="81">
        <f>VLOOKUP(B62,'OI(Value)'!$A$7:$C$209,3,0)</f>
        <v>-30</v>
      </c>
      <c r="M62" s="33"/>
      <c r="N62" s="5">
        <f>VLOOKUP($B62,'Data Vlaue (Cr)'!$C:$FB,67)</f>
        <v>1411</v>
      </c>
      <c r="O62" s="5">
        <f>VLOOKUP($B62,'Data Vlaue (Cr)'!$C:$FB,68)</f>
        <v>1687</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Pharma</v>
      </c>
      <c r="B63" s="79" t="str">
        <f>'Data shares'!C58</f>
        <v>DIVISLAB</v>
      </c>
      <c r="C63" s="4">
        <f>VLOOKUP($B63,'Data shares'!$C:$FB,7)</f>
        <v>6005</v>
      </c>
      <c r="D63" s="82">
        <f>VLOOKUP($B63,'Data shares'!$C:$FB,98)</f>
        <v>5567500</v>
      </c>
      <c r="E63" s="165">
        <f>VLOOKUP(B63,'Snapshot (Volume)'!$A$7:$G$168,7,0)</f>
        <v>5339200</v>
      </c>
      <c r="F63" s="165">
        <f t="shared" si="18"/>
        <v>228300</v>
      </c>
      <c r="G63" s="166">
        <f t="shared" si="19"/>
        <v>4.2759214863649982E-2</v>
      </c>
      <c r="H63" s="165">
        <f>VLOOKUP($B63,'Data shares'!$C:$FB,66)</f>
        <v>5244400</v>
      </c>
      <c r="I63" s="165">
        <f>VLOOKUP($B63,'Data shares'!$C:$FB,67)</f>
        <v>1967300</v>
      </c>
      <c r="J63" s="81">
        <f t="shared" si="20"/>
        <v>166.57855944695777</v>
      </c>
      <c r="K63" s="5">
        <f>VLOOKUP($B63,'Data Vlaue (Cr)'!$C:$FB,99)</f>
        <v>3354</v>
      </c>
      <c r="L63" s="81">
        <f>VLOOKUP(B63,'OI(Value)'!$A$7:$C$209,3,0)</f>
        <v>138</v>
      </c>
      <c r="M63" s="33">
        <f t="shared" si="12"/>
        <v>4.1144901610017888</v>
      </c>
      <c r="N63" s="5">
        <f>VLOOKUP($B63,'Data Vlaue (Cr)'!$C:$FB,67)</f>
        <v>3159</v>
      </c>
      <c r="O63" s="5">
        <f>VLOOKUP($B63,'Data Vlaue (Cr)'!$C:$FB,68)</f>
        <v>1185</v>
      </c>
      <c r="P63" s="5">
        <f t="shared" si="21"/>
        <v>62.488129154795821</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Capital_Goods</v>
      </c>
      <c r="B64" s="79" t="str">
        <f>'Data shares'!C59</f>
        <v>DIXON</v>
      </c>
      <c r="C64" s="4">
        <f>VLOOKUP($B64,'Data shares'!$C:$FB,7)</f>
        <v>16876</v>
      </c>
      <c r="D64" s="82">
        <f>VLOOKUP($B64,'Data shares'!$C:$FB,98)</f>
        <v>3442850</v>
      </c>
      <c r="E64" s="165">
        <f>VLOOKUP(B64,'Snapshot (Volume)'!$A$7:$G$168,7,0)</f>
        <v>3277450</v>
      </c>
      <c r="F64" s="165">
        <f t="shared" si="18"/>
        <v>165400</v>
      </c>
      <c r="G64" s="166">
        <f t="shared" si="19"/>
        <v>5.0466063555508096E-2</v>
      </c>
      <c r="H64" s="165">
        <f>VLOOKUP($B64,'Data shares'!$C:$FB,66)</f>
        <v>4548150</v>
      </c>
      <c r="I64" s="165">
        <f>VLOOKUP($B64,'Data shares'!$C:$FB,67)</f>
        <v>3604300</v>
      </c>
      <c r="J64" s="81">
        <f t="shared" si="20"/>
        <v>26.18677690536304</v>
      </c>
      <c r="K64" s="5">
        <f>VLOOKUP($B64,'Data Vlaue (Cr)'!$C:$FB,99)</f>
        <v>5824</v>
      </c>
      <c r="L64" s="81">
        <f>VLOOKUP(B64,'OI(Value)'!$A$7:$C$209,3,0)</f>
        <v>280</v>
      </c>
      <c r="M64" s="33">
        <f t="shared" si="12"/>
        <v>4.8076923076923084</v>
      </c>
      <c r="N64" s="5">
        <f>VLOOKUP($B64,'Data Vlaue (Cr)'!$C:$FB,67)</f>
        <v>7694</v>
      </c>
      <c r="O64" s="5">
        <f>VLOOKUP($B64,'Data Vlaue (Cr)'!$C:$FB,68)</f>
        <v>6097</v>
      </c>
      <c r="P64" s="5">
        <f t="shared" si="21"/>
        <v>20.756433584611386</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Realty</v>
      </c>
      <c r="B65" s="79" t="str">
        <f>'Data shares'!C60</f>
        <v>DLF</v>
      </c>
      <c r="C65" s="4">
        <f>VLOOKUP($B65,'Data shares'!$C:$FB,7)</f>
        <v>770.5</v>
      </c>
      <c r="D65" s="82">
        <f>VLOOKUP($B65,'Data shares'!$C:$FB,98)</f>
        <v>66790350</v>
      </c>
      <c r="E65" s="165">
        <f>VLOOKUP(B65,'Snapshot (Volume)'!$A$7:$G$168,7,0)</f>
        <v>65878725</v>
      </c>
      <c r="F65" s="165">
        <f t="shared" si="18"/>
        <v>911625</v>
      </c>
      <c r="G65" s="166">
        <f t="shared" si="19"/>
        <v>1.3837927191213855E-2</v>
      </c>
      <c r="H65" s="165">
        <f>VLOOKUP($B65,'Data shares'!$C:$FB,66)</f>
        <v>32170050</v>
      </c>
      <c r="I65" s="165">
        <f>VLOOKUP($B65,'Data shares'!$C:$FB,67)</f>
        <v>34602975</v>
      </c>
      <c r="J65" s="81">
        <f t="shared" si="20"/>
        <v>-7.0309706029611618</v>
      </c>
      <c r="K65" s="5">
        <f>VLOOKUP($B65,'Data Vlaue (Cr)'!$C:$FB,99)</f>
        <v>5158</v>
      </c>
      <c r="L65" s="81">
        <f>VLOOKUP(B65,'OI(Value)'!$A$7:$C$209,3,0)</f>
        <v>70</v>
      </c>
      <c r="M65" s="33">
        <f t="shared" si="12"/>
        <v>1.3571151609150833</v>
      </c>
      <c r="N65" s="5">
        <f>VLOOKUP($B65,'Data Vlaue (Cr)'!$C:$FB,67)</f>
        <v>2484</v>
      </c>
      <c r="O65" s="5">
        <f>VLOOKUP($B65,'Data Vlaue (Cr)'!$C:$FB,68)</f>
        <v>2672</v>
      </c>
      <c r="P65" s="5">
        <f t="shared" si="21"/>
        <v>-7.5684380032206118</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DMART</v>
      </c>
      <c r="C66" s="4">
        <f>VLOOKUP($B66,'Data shares'!$C:$FB,7)</f>
        <v>4737.8999999999996</v>
      </c>
      <c r="D66" s="82">
        <f>VLOOKUP($B66,'Data shares'!$C:$FB,98)</f>
        <v>8979000</v>
      </c>
      <c r="E66" s="165">
        <f>VLOOKUP(B66,'Snapshot (Volume)'!$A$7:$G$168,7,0)</f>
        <v>8637450</v>
      </c>
      <c r="F66" s="165">
        <f t="shared" si="18"/>
        <v>341550</v>
      </c>
      <c r="G66" s="166">
        <f t="shared" si="19"/>
        <v>3.9542920653665145E-2</v>
      </c>
      <c r="H66" s="165">
        <f>VLOOKUP($B66,'Data shares'!$C:$FB,66)</f>
        <v>15328950</v>
      </c>
      <c r="I66" s="165">
        <f>VLOOKUP($B66,'Data shares'!$C:$FB,67)</f>
        <v>17349900</v>
      </c>
      <c r="J66" s="81">
        <f t="shared" si="20"/>
        <v>-11.64819393771722</v>
      </c>
      <c r="K66" s="5">
        <f>VLOOKUP($B66,'Data Vlaue (Cr)'!$C:$FB,99)</f>
        <v>4228</v>
      </c>
      <c r="L66" s="81">
        <f>VLOOKUP(B66,'OI(Value)'!$A$7:$C$209,3,0)</f>
        <v>161</v>
      </c>
      <c r="M66" s="33">
        <f t="shared" ref="M66:M93" si="22">L66/K66*100</f>
        <v>3.8079470198675498</v>
      </c>
      <c r="N66" s="5">
        <f>VLOOKUP($B66,'Data Vlaue (Cr)'!$C:$FB,67)</f>
        <v>7218</v>
      </c>
      <c r="O66" s="5">
        <f>VLOOKUP($B66,'Data Vlaue (Cr)'!$C:$FB,68)</f>
        <v>8170</v>
      </c>
      <c r="P66" s="5">
        <f t="shared" si="21"/>
        <v>-13.189249099473537</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Pharma</v>
      </c>
      <c r="B67" s="79" t="str">
        <f>'Data shares'!C62</f>
        <v>DRREDDY</v>
      </c>
      <c r="C67" s="4">
        <f>VLOOKUP($B67,'Data shares'!$C:$FB,7)</f>
        <v>1245.4000000000001</v>
      </c>
      <c r="D67" s="82">
        <f>VLOOKUP($B67,'Data shares'!$C:$FB,98)</f>
        <v>25282500</v>
      </c>
      <c r="E67" s="165">
        <f>VLOOKUP(B67,'Snapshot (Volume)'!$A$7:$G$168,7,0)</f>
        <v>25053750</v>
      </c>
      <c r="F67" s="165">
        <f t="shared" si="18"/>
        <v>228750</v>
      </c>
      <c r="G67" s="166">
        <f t="shared" si="19"/>
        <v>9.1303697051339627E-3</v>
      </c>
      <c r="H67" s="165">
        <f>VLOOKUP($B67,'Data shares'!$C:$FB,66)</f>
        <v>8012500</v>
      </c>
      <c r="I67" s="165">
        <f>VLOOKUP($B67,'Data shares'!$C:$FB,67)</f>
        <v>8975000</v>
      </c>
      <c r="J67" s="81">
        <f t="shared" si="20"/>
        <v>-10.724233983286908</v>
      </c>
      <c r="K67" s="5">
        <f>VLOOKUP($B67,'Data Vlaue (Cr)'!$C:$FB,99)</f>
        <v>3138</v>
      </c>
      <c r="L67" s="81">
        <f>VLOOKUP(B67,'OI(Value)'!$A$7:$C$209,3,0)</f>
        <v>28</v>
      </c>
      <c r="M67" s="33">
        <f t="shared" si="22"/>
        <v>0.89228808158062467</v>
      </c>
      <c r="N67" s="5">
        <f>VLOOKUP($B67,'Data Vlaue (Cr)'!$C:$FB,67)</f>
        <v>995</v>
      </c>
      <c r="O67" s="5">
        <f>VLOOKUP($B67,'Data Vlaue (Cr)'!$C:$FB,68)</f>
        <v>1114</v>
      </c>
      <c r="P67" s="5">
        <f t="shared" si="21"/>
        <v>-11.959798994974873</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Automobile</v>
      </c>
      <c r="B68" s="79" t="str">
        <f>'Data shares'!C63</f>
        <v>EICHERMOT</v>
      </c>
      <c r="C68" s="4">
        <f>VLOOKUP($B68,'Data shares'!$C:$FB,7)</f>
        <v>5937.5</v>
      </c>
      <c r="D68" s="82">
        <f>VLOOKUP($B68,'Data shares'!$C:$FB,98)</f>
        <v>8201025</v>
      </c>
      <c r="E68" s="165">
        <f>VLOOKUP(B68,'Snapshot (Volume)'!$A$7:$G$168,7,0)</f>
        <v>8262275</v>
      </c>
      <c r="F68" s="165">
        <f t="shared" si="18"/>
        <v>-61250</v>
      </c>
      <c r="G68" s="166">
        <f t="shared" si="19"/>
        <v>-7.4132124626691805E-3</v>
      </c>
      <c r="H68" s="165">
        <f>VLOOKUP($B68,'Data shares'!$C:$FB,66)</f>
        <v>4087125</v>
      </c>
      <c r="I68" s="165">
        <f>VLOOKUP($B68,'Data shares'!$C:$FB,67)</f>
        <v>9088275</v>
      </c>
      <c r="J68" s="81">
        <f t="shared" si="20"/>
        <v>-55.028594535266592</v>
      </c>
      <c r="K68" s="5">
        <f>VLOOKUP($B68,'Data Vlaue (Cr)'!$C:$FB,99)</f>
        <v>4878</v>
      </c>
      <c r="L68" s="81">
        <f>VLOOKUP(B68,'OI(Value)'!$A$7:$C$209,3,0)</f>
        <v>-36</v>
      </c>
      <c r="M68" s="33">
        <f t="shared" si="22"/>
        <v>-0.73800738007380073</v>
      </c>
      <c r="N68" s="5">
        <f>VLOOKUP($B68,'Data Vlaue (Cr)'!$C:$FB,67)</f>
        <v>2431</v>
      </c>
      <c r="O68" s="5">
        <f>VLOOKUP($B68,'Data Vlaue (Cr)'!$C:$FB,68)</f>
        <v>5406</v>
      </c>
      <c r="P68" s="5">
        <f t="shared" si="21"/>
        <v>-122.37762237762237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New_Age</v>
      </c>
      <c r="B69" s="79" t="str">
        <f>'Data shares'!C64</f>
        <v>ETERNAL</v>
      </c>
      <c r="C69" s="79">
        <f>VLOOKUP($B69,'Data shares'!$C:$FB,7)</f>
        <v>326.55</v>
      </c>
      <c r="D69" s="165">
        <f>VLOOKUP($B69,'Data shares'!$C:$FB,98)</f>
        <v>365626950</v>
      </c>
      <c r="E69" s="165">
        <f>VLOOKUP(B69,'Snapshot (Volume)'!$A$7:$G$168,7,0)</f>
        <v>355931800</v>
      </c>
      <c r="F69" s="165">
        <f t="shared" ref="F69:F85" si="23">D69-E69</f>
        <v>9695150</v>
      </c>
      <c r="G69" s="166">
        <f t="shared" ref="G69:G85" si="24">F69/E69</f>
        <v>2.7238785632528479E-2</v>
      </c>
      <c r="H69" s="165">
        <f>VLOOKUP($B69,'Data shares'!$C:$FB,66)</f>
        <v>466710650</v>
      </c>
      <c r="I69" s="165">
        <f>VLOOKUP($B69,'Data shares'!$C:$FB,67)</f>
        <v>278186300</v>
      </c>
      <c r="J69" s="81">
        <f t="shared" ref="J69:J85" si="25">(H69-I69)/I69*100</f>
        <v>67.769099340981214</v>
      </c>
      <c r="K69" s="81">
        <f>VLOOKUP($B69,'Data Vlaue (Cr)'!$C:$FB,99)</f>
        <v>11930</v>
      </c>
      <c r="L69" s="81">
        <f>VLOOKUP(B69,'OI(Value)'!$A$7:$C$209,3,0)</f>
        <v>316</v>
      </c>
      <c r="M69" s="81">
        <f t="shared" si="22"/>
        <v>2.6487845766974014</v>
      </c>
      <c r="N69" s="81">
        <f>VLOOKUP($B69,'Data Vlaue (Cr)'!$C:$FB,67)</f>
        <v>15229</v>
      </c>
      <c r="O69" s="81">
        <f>VLOOKUP($B69,'Data Vlaue (Cr)'!$C:$FB,68)</f>
        <v>9077</v>
      </c>
      <c r="P69" s="81">
        <f t="shared" ref="P69:P85" si="26">(N69-O69)/N69*100</f>
        <v>40.396611727624929</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Automobile</v>
      </c>
      <c r="B70" s="79" t="str">
        <f>'Data shares'!C65</f>
        <v>EXIDEIND</v>
      </c>
      <c r="C70" s="79">
        <f>VLOOKUP($B70,'Data shares'!$C:$FB,7)</f>
        <v>396.3</v>
      </c>
      <c r="D70" s="165">
        <f>VLOOKUP($B70,'Data shares'!$C:$FB,98)</f>
        <v>61972200</v>
      </c>
      <c r="E70" s="165">
        <f>VLOOKUP(B70,'Snapshot (Volume)'!$A$7:$G$168,7,0)</f>
        <v>61956000</v>
      </c>
      <c r="F70" s="165">
        <f t="shared" si="23"/>
        <v>16200</v>
      </c>
      <c r="G70" s="166">
        <f t="shared" si="24"/>
        <v>2.6147588611272513E-4</v>
      </c>
      <c r="H70" s="165">
        <f>VLOOKUP($B70,'Data shares'!$C:$FB,66)</f>
        <v>69919200</v>
      </c>
      <c r="I70" s="165">
        <f>VLOOKUP($B70,'Data shares'!$C:$FB,67)</f>
        <v>135090000</v>
      </c>
      <c r="J70" s="81">
        <f t="shared" si="25"/>
        <v>-48.242504996668892</v>
      </c>
      <c r="K70" s="81">
        <f>VLOOKUP($B70,'Data Vlaue (Cr)'!$C:$FB,99)</f>
        <v>2462</v>
      </c>
      <c r="L70" s="81">
        <f>VLOOKUP(B70,'OI(Value)'!$A$7:$C$209,3,0)</f>
        <v>1</v>
      </c>
      <c r="M70" s="81">
        <f t="shared" si="22"/>
        <v>4.0617384240454912E-2</v>
      </c>
      <c r="N70" s="81">
        <f>VLOOKUP($B70,'Data Vlaue (Cr)'!$C:$FB,67)</f>
        <v>2778</v>
      </c>
      <c r="O70" s="81">
        <f>VLOOKUP($B70,'Data Vlaue (Cr)'!$C:$FB,68)</f>
        <v>5367</v>
      </c>
      <c r="P70" s="81">
        <f t="shared" si="26"/>
        <v>-93.196544276457885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Banking</v>
      </c>
      <c r="B71" s="79" t="str">
        <f>'Data shares'!C66</f>
        <v>FEDERALBNK</v>
      </c>
      <c r="C71" s="4">
        <f>VLOOKUP($B71,'Data shares'!$C:$FB,7)</f>
        <v>199.71</v>
      </c>
      <c r="D71" s="82">
        <f>VLOOKUP($B71,'Data shares'!$C:$FB,98)</f>
        <v>191790000</v>
      </c>
      <c r="E71" s="165">
        <f>VLOOKUP(B71,'Snapshot (Volume)'!$A$7:$G$168,7,0)</f>
        <v>189740000</v>
      </c>
      <c r="F71" s="165">
        <f t="shared" si="23"/>
        <v>2050000</v>
      </c>
      <c r="G71" s="166">
        <f t="shared" si="24"/>
        <v>1.0804258458943818E-2</v>
      </c>
      <c r="H71" s="165">
        <f>VLOOKUP($B71,'Data shares'!$C:$FB,66)</f>
        <v>86345000</v>
      </c>
      <c r="I71" s="165">
        <f>VLOOKUP($B71,'Data shares'!$C:$FB,67)</f>
        <v>102605000</v>
      </c>
      <c r="J71" s="81">
        <f t="shared" si="25"/>
        <v>-15.847180936601529</v>
      </c>
      <c r="K71" s="5">
        <f>VLOOKUP($B71,'Data Vlaue (Cr)'!$C:$FB,99)</f>
        <v>3819</v>
      </c>
      <c r="L71" s="81">
        <f>VLOOKUP(B71,'OI(Value)'!$A$7:$C$209,3,0)</f>
        <v>41</v>
      </c>
      <c r="M71" s="33">
        <f t="shared" si="22"/>
        <v>1.073579471065724</v>
      </c>
      <c r="N71" s="5">
        <f>VLOOKUP($B71,'Data Vlaue (Cr)'!$C:$FB,67)</f>
        <v>1719</v>
      </c>
      <c r="O71" s="5">
        <f>VLOOKUP($B71,'Data Vlaue (Cr)'!$C:$FB,68)</f>
        <v>2043</v>
      </c>
      <c r="P71" s="5">
        <f t="shared" si="26"/>
        <v>-18.848167539267017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Index</v>
      </c>
      <c r="B72" s="79" t="str">
        <f>'Data shares'!C67</f>
        <v>FINNIFTY</v>
      </c>
      <c r="C72" s="4">
        <f>VLOOKUP($B72,'Data shares'!$C:$FB,7)</f>
        <v>26487.8</v>
      </c>
      <c r="D72" s="82">
        <f>VLOOKUP($B72,'Data shares'!$C:$FB,98)</f>
        <v>2574845</v>
      </c>
      <c r="E72" s="165">
        <f>VLOOKUP(B72,'Snapshot (Volume)'!$A$7:$G$168,7,0)</f>
        <v>2377700</v>
      </c>
      <c r="F72" s="165">
        <f t="shared" si="23"/>
        <v>197145</v>
      </c>
      <c r="G72" s="166">
        <f t="shared" si="24"/>
        <v>8.2914160743575729E-2</v>
      </c>
      <c r="H72" s="165">
        <f>VLOOKUP($B72,'Data shares'!$C:$FB,66)</f>
        <v>8503105</v>
      </c>
      <c r="I72" s="165">
        <f>VLOOKUP($B72,'Data shares'!$C:$FB,67)</f>
        <v>7756190</v>
      </c>
      <c r="J72" s="81">
        <f t="shared" si="25"/>
        <v>9.6299213918173745</v>
      </c>
      <c r="K72" s="5">
        <f>VLOOKUP($B72,'Data Vlaue (Cr)'!$C:$FB,99)</f>
        <v>6836</v>
      </c>
      <c r="L72" s="81">
        <f>VLOOKUP(B72,'OI(Value)'!$A$7:$C$209,3,0)</f>
        <v>523</v>
      </c>
      <c r="M72" s="33">
        <f t="shared" si="22"/>
        <v>7.6506729081334113</v>
      </c>
      <c r="N72" s="5">
        <f>VLOOKUP($B72,'Data Vlaue (Cr)'!$C:$FB,67)</f>
        <v>22575</v>
      </c>
      <c r="O72" s="5">
        <f>VLOOKUP($B72,'Data Vlaue (Cr)'!$C:$FB,68)</f>
        <v>20592</v>
      </c>
      <c r="P72" s="5">
        <f t="shared" si="26"/>
        <v>8.7840531561461788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963.95</v>
      </c>
      <c r="D73" s="82">
        <f>VLOOKUP($B73,'Data shares'!$C:$FB,98)</f>
        <v>17805625</v>
      </c>
      <c r="E73" s="165">
        <f>VLOOKUP(B73,'Snapshot (Volume)'!$A$7:$G$168,7,0)</f>
        <v>17489425</v>
      </c>
      <c r="F73" s="165">
        <f t="shared" si="23"/>
        <v>316200</v>
      </c>
      <c r="G73" s="166">
        <f t="shared" si="24"/>
        <v>1.8079496610094385E-2</v>
      </c>
      <c r="H73" s="165">
        <f>VLOOKUP($B73,'Data shares'!$C:$FB,66)</f>
        <v>15486825</v>
      </c>
      <c r="I73" s="165">
        <f>VLOOKUP($B73,'Data shares'!$C:$FB,67)</f>
        <v>8075500</v>
      </c>
      <c r="J73" s="81">
        <f t="shared" si="25"/>
        <v>91.775431861804222</v>
      </c>
      <c r="K73" s="5">
        <f>VLOOKUP($B73,'Data Vlaue (Cr)'!$C:$FB,99)</f>
        <v>1718</v>
      </c>
      <c r="L73" s="81">
        <f>VLOOKUP(B73,'OI(Value)'!$A$7:$C$209,3,0)</f>
        <v>31</v>
      </c>
      <c r="M73" s="33">
        <f t="shared" si="22"/>
        <v>1.8044237485448196</v>
      </c>
      <c r="N73" s="5">
        <f>VLOOKUP($B73,'Data Vlaue (Cr)'!$C:$FB,67)</f>
        <v>1494</v>
      </c>
      <c r="O73" s="5">
        <f>VLOOKUP($B73,'Data Vlaue (Cr)'!$C:$FB,68)</f>
        <v>779</v>
      </c>
      <c r="P73" s="5">
        <f t="shared" si="26"/>
        <v>47.858099062918342</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178.12</v>
      </c>
      <c r="D74" s="82">
        <f>VLOOKUP($B74,'Data shares'!$C:$FB,98)</f>
        <v>176863050</v>
      </c>
      <c r="E74" s="165">
        <f>VLOOKUP(B74,'Snapshot (Volume)'!$A$7:$G$168,7,0)</f>
        <v>173398050</v>
      </c>
      <c r="F74" s="165">
        <f t="shared" si="23"/>
        <v>3465000</v>
      </c>
      <c r="G74" s="166">
        <f t="shared" si="24"/>
        <v>1.9982923683397824E-2</v>
      </c>
      <c r="H74" s="165">
        <f>VLOOKUP($B74,'Data shares'!$C:$FB,66)</f>
        <v>120821400</v>
      </c>
      <c r="I74" s="165">
        <f>VLOOKUP($B74,'Data shares'!$C:$FB,67)</f>
        <v>68726700</v>
      </c>
      <c r="J74" s="81">
        <f t="shared" si="25"/>
        <v>75.799798331652767</v>
      </c>
      <c r="K74" s="5">
        <f>VLOOKUP($B74,'Data Vlaue (Cr)'!$C:$FB,99)</f>
        <v>3151</v>
      </c>
      <c r="L74" s="81">
        <f>VLOOKUP(B74,'OI(Value)'!$A$7:$C$209,3,0)</f>
        <v>62</v>
      </c>
      <c r="M74" s="33">
        <f t="shared" si="22"/>
        <v>1.9676293240241192</v>
      </c>
      <c r="N74" s="5">
        <f>VLOOKUP($B74,'Data Vlaue (Cr)'!$C:$FB,67)</f>
        <v>2153</v>
      </c>
      <c r="O74" s="5">
        <f>VLOOKUP($B74,'Data Vlaue (Cr)'!$C:$FB,68)</f>
        <v>1225</v>
      </c>
      <c r="P74" s="5">
        <f t="shared" si="26"/>
        <v>43.102647468648399</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1924</v>
      </c>
      <c r="D75" s="82">
        <f>VLOOKUP($B75,'Data shares'!$C:$FB,98)</f>
        <v>13810125</v>
      </c>
      <c r="E75" s="165">
        <f>VLOOKUP(B75,'Snapshot (Volume)'!$A$7:$G$168,7,0)</f>
        <v>13730625</v>
      </c>
      <c r="F75" s="165">
        <f t="shared" si="23"/>
        <v>79500</v>
      </c>
      <c r="G75" s="166">
        <f t="shared" si="24"/>
        <v>5.7899767854704357E-3</v>
      </c>
      <c r="H75" s="165">
        <f>VLOOKUP($B75,'Data shares'!$C:$FB,66)</f>
        <v>6885000</v>
      </c>
      <c r="I75" s="165">
        <f>VLOOKUP($B75,'Data shares'!$C:$FB,67)</f>
        <v>16516500</v>
      </c>
      <c r="J75" s="81">
        <f t="shared" si="25"/>
        <v>-58.314412859867403</v>
      </c>
      <c r="K75" s="5">
        <f>VLOOKUP($B75,'Data Vlaue (Cr)'!$C:$FB,99)</f>
        <v>2665</v>
      </c>
      <c r="L75" s="81">
        <f>VLOOKUP(B75,'OI(Value)'!$A$7:$C$209,3,0)</f>
        <v>15</v>
      </c>
      <c r="M75" s="33">
        <f t="shared" si="22"/>
        <v>0.56285178236397748</v>
      </c>
      <c r="N75" s="5">
        <f>VLOOKUP($B75,'Data Vlaue (Cr)'!$C:$FB,67)</f>
        <v>1328</v>
      </c>
      <c r="O75" s="5">
        <f>VLOOKUP($B75,'Data Vlaue (Cr)'!$C:$FB,68)</f>
        <v>3187</v>
      </c>
      <c r="P75" s="5">
        <f t="shared" si="26"/>
        <v>-139.98493975903614</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91.01</v>
      </c>
      <c r="D76" s="82">
        <f>VLOOKUP($B76,'Data shares'!$C:$FB,98)</f>
        <v>293235975</v>
      </c>
      <c r="E76" s="165">
        <f>VLOOKUP(B76,'Snapshot (Volume)'!$A$7:$G$168,7,0)</f>
        <v>292880250</v>
      </c>
      <c r="F76" s="165">
        <f t="shared" si="23"/>
        <v>355725</v>
      </c>
      <c r="G76" s="166">
        <f t="shared" si="24"/>
        <v>1.2145748987854252E-3</v>
      </c>
      <c r="H76" s="165">
        <f>VLOOKUP($B76,'Data shares'!$C:$FB,66)</f>
        <v>97908075</v>
      </c>
      <c r="I76" s="165">
        <f>VLOOKUP($B76,'Data shares'!$C:$FB,67)</f>
        <v>58471425</v>
      </c>
      <c r="J76" s="81">
        <f t="shared" si="25"/>
        <v>67.446021710604796</v>
      </c>
      <c r="K76" s="5">
        <f>VLOOKUP($B76,'Data Vlaue (Cr)'!$C:$FB,99)</f>
        <v>2677</v>
      </c>
      <c r="L76" s="81">
        <f>VLOOKUP(B76,'OI(Value)'!$A$7:$C$209,3,0)</f>
        <v>3</v>
      </c>
      <c r="M76" s="33">
        <f t="shared" si="22"/>
        <v>0.11206574523720583</v>
      </c>
      <c r="N76" s="5">
        <f>VLOOKUP($B76,'Data Vlaue (Cr)'!$C:$FB,67)</f>
        <v>894</v>
      </c>
      <c r="O76" s="5">
        <f>VLOOKUP($B76,'Data Vlaue (Cr)'!$C:$FB,68)</f>
        <v>534</v>
      </c>
      <c r="P76" s="5">
        <f t="shared" si="26"/>
        <v>40.268456375838923</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GODREJCP</v>
      </c>
      <c r="C77" s="4">
        <f>VLOOKUP($B77,'Data shares'!$C:$FB,7)</f>
        <v>1246.9000000000001</v>
      </c>
      <c r="D77" s="82">
        <f>VLOOKUP($B77,'Data shares'!$C:$FB,98)</f>
        <v>12626500</v>
      </c>
      <c r="E77" s="165">
        <f>VLOOKUP(B77,'Snapshot (Volume)'!$A$7:$G$168,7,0)</f>
        <v>12155500</v>
      </c>
      <c r="F77" s="165">
        <f t="shared" si="23"/>
        <v>471000</v>
      </c>
      <c r="G77" s="166">
        <f t="shared" si="24"/>
        <v>3.8747891900785654E-2</v>
      </c>
      <c r="H77" s="165">
        <f>VLOOKUP($B77,'Data shares'!$C:$FB,66)</f>
        <v>15117500</v>
      </c>
      <c r="I77" s="165">
        <f>VLOOKUP($B77,'Data shares'!$C:$FB,67)</f>
        <v>4194000</v>
      </c>
      <c r="J77" s="81">
        <f t="shared" si="25"/>
        <v>260.45541249403914</v>
      </c>
      <c r="K77" s="5">
        <f>VLOOKUP($B77,'Data Vlaue (Cr)'!$C:$FB,99)</f>
        <v>1579</v>
      </c>
      <c r="L77" s="81">
        <f>VLOOKUP(B77,'OI(Value)'!$A$7:$C$209,3,0)</f>
        <v>59</v>
      </c>
      <c r="M77" s="33">
        <f t="shared" si="22"/>
        <v>3.7365421152628246</v>
      </c>
      <c r="N77" s="5">
        <f>VLOOKUP($B77,'Data Vlaue (Cr)'!$C:$FB,67)</f>
        <v>1891</v>
      </c>
      <c r="O77" s="5">
        <f>VLOOKUP($B77,'Data Vlaue (Cr)'!$C:$FB,68)</f>
        <v>525</v>
      </c>
      <c r="P77" s="5">
        <f t="shared" si="26"/>
        <v>72.236911686938129</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Realty</v>
      </c>
      <c r="B78" s="79" t="str">
        <f>'Data shares'!C73</f>
        <v>GODREJPROP</v>
      </c>
      <c r="C78" s="4">
        <f>VLOOKUP($B78,'Data shares'!$C:$FB,7)</f>
        <v>2041.8</v>
      </c>
      <c r="D78" s="82">
        <f>VLOOKUP($B78,'Data shares'!$C:$FB,98)</f>
        <v>13650725</v>
      </c>
      <c r="E78" s="165">
        <f>VLOOKUP(B78,'Snapshot (Volume)'!$A$7:$G$168,7,0)</f>
        <v>13527800</v>
      </c>
      <c r="F78" s="165">
        <f t="shared" si="23"/>
        <v>122925</v>
      </c>
      <c r="G78" s="166">
        <f t="shared" si="24"/>
        <v>9.0868433891689703E-3</v>
      </c>
      <c r="H78" s="165">
        <f>VLOOKUP($B78,'Data shares'!$C:$FB,66)</f>
        <v>6559300</v>
      </c>
      <c r="I78" s="165">
        <f>VLOOKUP($B78,'Data shares'!$C:$FB,67)</f>
        <v>5631725</v>
      </c>
      <c r="J78" s="81">
        <f t="shared" si="25"/>
        <v>16.470530787636115</v>
      </c>
      <c r="K78" s="5">
        <f>VLOOKUP($B78,'Data Vlaue (Cr)'!$C:$FB,99)</f>
        <v>2787</v>
      </c>
      <c r="L78" s="81">
        <f>VLOOKUP(B78,'OI(Value)'!$A$7:$C$209,3,0)</f>
        <v>25</v>
      </c>
      <c r="M78" s="33">
        <f t="shared" si="22"/>
        <v>0.89702188733405097</v>
      </c>
      <c r="N78" s="5">
        <f>VLOOKUP($B78,'Data Vlaue (Cr)'!$C:$FB,67)</f>
        <v>1339</v>
      </c>
      <c r="O78" s="5">
        <f>VLOOKUP($B78,'Data Vlaue (Cr)'!$C:$FB,68)</f>
        <v>1150</v>
      </c>
      <c r="P78" s="5">
        <f t="shared" si="26"/>
        <v>14.115011202389843</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Pharma</v>
      </c>
      <c r="B79" s="79" t="str">
        <f>'Data shares'!C74</f>
        <v>GRANULES</v>
      </c>
      <c r="C79" s="4">
        <f>VLOOKUP($B79,'Data shares'!$C:$FB,7)</f>
        <v>461.35</v>
      </c>
      <c r="D79" s="82">
        <f>VLOOKUP($B79,'Data shares'!$C:$FB,98)</f>
        <v>16439975</v>
      </c>
      <c r="E79" s="165">
        <f>VLOOKUP(B79,'Snapshot (Volume)'!$A$7:$G$168,7,0)</f>
        <v>16674325</v>
      </c>
      <c r="F79" s="165">
        <f t="shared" si="23"/>
        <v>-234350</v>
      </c>
      <c r="G79" s="166">
        <f t="shared" si="24"/>
        <v>-1.4054541937979498E-2</v>
      </c>
      <c r="H79" s="165">
        <f>VLOOKUP($B79,'Data shares'!$C:$FB,66)</f>
        <v>5058950</v>
      </c>
      <c r="I79" s="165">
        <f>VLOOKUP($B79,'Data shares'!$C:$FB,67)</f>
        <v>3623825</v>
      </c>
      <c r="J79" s="81">
        <f t="shared" si="25"/>
        <v>39.602491842183326</v>
      </c>
      <c r="K79" s="5">
        <f>VLOOKUP($B79,'Data Vlaue (Cr)'!$C:$FB,99)</f>
        <v>759</v>
      </c>
      <c r="L79" s="81">
        <f>VLOOKUP(B79,'OI(Value)'!$A$7:$C$209,3,0)</f>
        <v>-11</v>
      </c>
      <c r="M79" s="33">
        <f t="shared" si="22"/>
        <v>-1.4492753623188406</v>
      </c>
      <c r="N79" s="5">
        <f>VLOOKUP($B79,'Data Vlaue (Cr)'!$C:$FB,67)</f>
        <v>233</v>
      </c>
      <c r="O79" s="5">
        <f>VLOOKUP($B79,'Data Vlaue (Cr)'!$C:$FB,68)</f>
        <v>167</v>
      </c>
      <c r="P79" s="5">
        <f t="shared" si="26"/>
        <v>28.326180257510732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2864.9</v>
      </c>
      <c r="D80" s="82">
        <f>VLOOKUP($B80,'Data shares'!$C:$FB,98)</f>
        <v>17017000</v>
      </c>
      <c r="E80" s="165">
        <f>VLOOKUP(B80,'Snapshot (Volume)'!$A$7:$G$168,7,0)</f>
        <v>17128000</v>
      </c>
      <c r="F80" s="165">
        <f t="shared" si="23"/>
        <v>-111000</v>
      </c>
      <c r="G80" s="166">
        <f t="shared" si="24"/>
        <v>-6.4806165343297521E-3</v>
      </c>
      <c r="H80" s="165">
        <f>VLOOKUP($B80,'Data shares'!$C:$FB,66)</f>
        <v>13162750</v>
      </c>
      <c r="I80" s="165">
        <f>VLOOKUP($B80,'Data shares'!$C:$FB,67)</f>
        <v>6237500</v>
      </c>
      <c r="J80" s="81">
        <f t="shared" si="25"/>
        <v>111.02605210420842</v>
      </c>
      <c r="K80" s="5">
        <f>VLOOKUP($B80,'Data Vlaue (Cr)'!$C:$FB,99)</f>
        <v>4884</v>
      </c>
      <c r="L80" s="81">
        <f>VLOOKUP(B80,'OI(Value)'!$A$7:$C$209,3,0)</f>
        <v>-32</v>
      </c>
      <c r="M80" s="33">
        <f t="shared" si="22"/>
        <v>-0.65520065520065529</v>
      </c>
      <c r="N80" s="5">
        <f>VLOOKUP($B80,'Data Vlaue (Cr)'!$C:$FB,67)</f>
        <v>3778</v>
      </c>
      <c r="O80" s="5">
        <f>VLOOKUP($B80,'Data Vlaue (Cr)'!$C:$FB,68)</f>
        <v>1790</v>
      </c>
      <c r="P80" s="5">
        <f t="shared" si="26"/>
        <v>52.620434092112234</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4468.3999999999996</v>
      </c>
      <c r="D81" s="82">
        <f>VLOOKUP($B81,'Data shares'!$C:$FB,98)</f>
        <v>25445700</v>
      </c>
      <c r="E81" s="165">
        <f>VLOOKUP(B81,'Snapshot (Volume)'!$A$7:$G$168,7,0)</f>
        <v>19730250</v>
      </c>
      <c r="F81" s="165">
        <f t="shared" si="23"/>
        <v>5715450</v>
      </c>
      <c r="G81" s="166">
        <f t="shared" si="24"/>
        <v>0.2896795529706922</v>
      </c>
      <c r="H81" s="165">
        <f>VLOOKUP($B81,'Data shares'!$C:$FB,66)</f>
        <v>58891050</v>
      </c>
      <c r="I81" s="165">
        <f>VLOOKUP($B81,'Data shares'!$C:$FB,67)</f>
        <v>17786250</v>
      </c>
      <c r="J81" s="81">
        <f t="shared" si="25"/>
        <v>231.1043643263757</v>
      </c>
      <c r="K81" s="5">
        <f>VLOOKUP($B81,'Data Vlaue (Cr)'!$C:$FB,99)</f>
        <v>11339</v>
      </c>
      <c r="L81" s="81">
        <f>VLOOKUP(B81,'OI(Value)'!$A$7:$C$209,3,0)</f>
        <v>2547</v>
      </c>
      <c r="M81" s="33">
        <f t="shared" si="22"/>
        <v>22.462298262633389</v>
      </c>
      <c r="N81" s="5">
        <f>VLOOKUP($B81,'Data Vlaue (Cr)'!$C:$FB,67)</f>
        <v>26242</v>
      </c>
      <c r="O81" s="5">
        <f>VLOOKUP($B81,'Data Vlaue (Cr)'!$C:$FB,68)</f>
        <v>7926</v>
      </c>
      <c r="P81" s="5">
        <f t="shared" si="26"/>
        <v>69.796509412392354</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1567.9</v>
      </c>
      <c r="D82" s="82">
        <f>VLOOKUP($B82,'Data shares'!$C:$FB,98)</f>
        <v>14008500</v>
      </c>
      <c r="E82" s="165">
        <f>VLOOKUP(B82,'Snapshot (Volume)'!$A$7:$G$168,7,0)</f>
        <v>13935500</v>
      </c>
      <c r="F82" s="165">
        <f t="shared" si="23"/>
        <v>73000</v>
      </c>
      <c r="G82" s="166">
        <f t="shared" si="24"/>
        <v>5.2384198629399732E-3</v>
      </c>
      <c r="H82" s="165">
        <f>VLOOKUP($B82,'Data shares'!$C:$FB,66)</f>
        <v>5471500</v>
      </c>
      <c r="I82" s="165">
        <f>VLOOKUP($B82,'Data shares'!$C:$FB,67)</f>
        <v>8201000</v>
      </c>
      <c r="J82" s="81">
        <f t="shared" si="25"/>
        <v>-33.282526521155958</v>
      </c>
      <c r="K82" s="5">
        <f>VLOOKUP($B82,'Data Vlaue (Cr)'!$C:$FB,99)</f>
        <v>2193</v>
      </c>
      <c r="L82" s="81">
        <f>VLOOKUP(B82,'OI(Value)'!$A$7:$C$209,3,0)</f>
        <v>11</v>
      </c>
      <c r="M82" s="33">
        <f t="shared" si="22"/>
        <v>0.50159598723210208</v>
      </c>
      <c r="N82" s="5">
        <f>VLOOKUP($B82,'Data Vlaue (Cr)'!$C:$FB,67)</f>
        <v>857</v>
      </c>
      <c r="O82" s="5">
        <f>VLOOKUP($B82,'Data Vlaue (Cr)'!$C:$FB,68)</f>
        <v>1284</v>
      </c>
      <c r="P82" s="5">
        <f t="shared" si="26"/>
        <v>-49.824970828471407</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1496</v>
      </c>
      <c r="D83" s="82">
        <f>VLOOKUP($B83,'Data shares'!$C:$FB,98)</f>
        <v>34628650</v>
      </c>
      <c r="E83" s="165">
        <f>VLOOKUP(B83,'Snapshot (Volume)'!$A$7:$G$168,7,0)</f>
        <v>31236450</v>
      </c>
      <c r="F83" s="165">
        <f t="shared" si="23"/>
        <v>3392200</v>
      </c>
      <c r="G83" s="166">
        <f t="shared" si="24"/>
        <v>0.10859748787074075</v>
      </c>
      <c r="H83" s="165">
        <f>VLOOKUP($B83,'Data shares'!$C:$FB,66)</f>
        <v>51157050</v>
      </c>
      <c r="I83" s="165">
        <f>VLOOKUP($B83,'Data shares'!$C:$FB,67)</f>
        <v>16363200</v>
      </c>
      <c r="J83" s="81">
        <f t="shared" si="25"/>
        <v>212.63475359342917</v>
      </c>
      <c r="K83" s="5">
        <f>VLOOKUP($B83,'Data Vlaue (Cr)'!$C:$FB,99)</f>
        <v>5192</v>
      </c>
      <c r="L83" s="81">
        <f>VLOOKUP(B83,'OI(Value)'!$A$7:$C$209,3,0)</f>
        <v>509</v>
      </c>
      <c r="M83" s="33">
        <f t="shared" si="22"/>
        <v>9.8035439137134048</v>
      </c>
      <c r="N83" s="5">
        <f>VLOOKUP($B83,'Data Vlaue (Cr)'!$C:$FB,67)</f>
        <v>7669</v>
      </c>
      <c r="O83" s="5">
        <f>VLOOKUP($B83,'Data Vlaue (Cr)'!$C:$FB,68)</f>
        <v>2453</v>
      </c>
      <c r="P83" s="5">
        <f t="shared" si="26"/>
        <v>68.01408267049159</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5709.5</v>
      </c>
      <c r="D84" s="82">
        <f>VLOOKUP($B84,'Data shares'!$C:$FB,98)</f>
        <v>4230000</v>
      </c>
      <c r="E84" s="165">
        <f>VLOOKUP(B84,'Snapshot (Volume)'!$A$7:$G$168,7,0)</f>
        <v>4241250</v>
      </c>
      <c r="F84" s="165">
        <f t="shared" si="23"/>
        <v>-11250</v>
      </c>
      <c r="G84" s="166">
        <f t="shared" si="24"/>
        <v>-2.6525198938992041E-3</v>
      </c>
      <c r="H84" s="165">
        <f>VLOOKUP($B84,'Data shares'!$C:$FB,66)</f>
        <v>2217150</v>
      </c>
      <c r="I84" s="165">
        <f>VLOOKUP($B84,'Data shares'!$C:$FB,67)</f>
        <v>3589350</v>
      </c>
      <c r="J84" s="81">
        <f t="shared" si="25"/>
        <v>-38.229763049020015</v>
      </c>
      <c r="K84" s="5">
        <f>VLOOKUP($B84,'Data Vlaue (Cr)'!$C:$FB,99)</f>
        <v>2414</v>
      </c>
      <c r="L84" s="81">
        <f>VLOOKUP(B84,'OI(Value)'!$A$7:$C$209,3,0)</f>
        <v>-6</v>
      </c>
      <c r="M84" s="33">
        <f t="shared" si="22"/>
        <v>-0.24855012427506215</v>
      </c>
      <c r="N84" s="5">
        <f>VLOOKUP($B84,'Data Vlaue (Cr)'!$C:$FB,67)</f>
        <v>1265</v>
      </c>
      <c r="O84" s="5">
        <f>VLOOKUP($B84,'Data Vlaue (Cr)'!$C:$FB,68)</f>
        <v>2048</v>
      </c>
      <c r="P84" s="5">
        <f t="shared" si="26"/>
        <v>-61.897233201581024</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1988.2</v>
      </c>
      <c r="D85" s="82">
        <f>VLOOKUP($B85,'Data shares'!$C:$FB,98)</f>
        <v>148885550</v>
      </c>
      <c r="E85" s="165">
        <f>VLOOKUP(B85,'Snapshot (Volume)'!$A$7:$G$168,7,0)</f>
        <v>146953950</v>
      </c>
      <c r="F85" s="165">
        <f t="shared" si="23"/>
        <v>1931600</v>
      </c>
      <c r="G85" s="166">
        <f t="shared" si="24"/>
        <v>1.3144253693078683E-2</v>
      </c>
      <c r="H85" s="165">
        <f>VLOOKUP($B85,'Data shares'!$C:$FB,66)</f>
        <v>61818900</v>
      </c>
      <c r="I85" s="165">
        <f>VLOOKUP($B85,'Data shares'!$C:$FB,67)</f>
        <v>61675900</v>
      </c>
      <c r="J85" s="81">
        <f t="shared" si="25"/>
        <v>0.2318571759795966</v>
      </c>
      <c r="K85" s="5">
        <f>VLOOKUP($B85,'Data Vlaue (Cr)'!$C:$FB,99)</f>
        <v>29640</v>
      </c>
      <c r="L85" s="81">
        <f>VLOOKUP(B85,'OI(Value)'!$A$7:$C$209,3,0)</f>
        <v>385</v>
      </c>
      <c r="M85" s="33">
        <f t="shared" si="22"/>
        <v>1.2989203778677463</v>
      </c>
      <c r="N85" s="5">
        <f>VLOOKUP($B85,'Data Vlaue (Cr)'!$C:$FB,67)</f>
        <v>12307</v>
      </c>
      <c r="O85" s="5">
        <f>VLOOKUP($B85,'Data Vlaue (Cr)'!$C:$FB,68)</f>
        <v>12278</v>
      </c>
      <c r="P85" s="5">
        <f t="shared" si="26"/>
        <v>0.2356382546518242</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796.55</v>
      </c>
      <c r="D86" s="82">
        <f>VLOOKUP($B86,'Data shares'!$C:$FB,98)</f>
        <v>48935700</v>
      </c>
      <c r="E86" s="165">
        <f>VLOOKUP(B86,'Snapshot (Volume)'!$A$7:$G$168,7,0)</f>
        <v>48580400</v>
      </c>
      <c r="F86" s="165">
        <f t="shared" ref="F86:F96" si="27">D86-E86</f>
        <v>355300</v>
      </c>
      <c r="G86" s="166">
        <f t="shared" ref="G86:G96" si="28">F86/E86</f>
        <v>7.3136491259849648E-3</v>
      </c>
      <c r="H86" s="165">
        <f>VLOOKUP($B86,'Data shares'!$C:$FB,66)</f>
        <v>18153300</v>
      </c>
      <c r="I86" s="165">
        <f>VLOOKUP($B86,'Data shares'!$C:$FB,67)</f>
        <v>23854600</v>
      </c>
      <c r="J86" s="81">
        <f t="shared" ref="J86:J96" si="29">(H86-I86)/I86*100</f>
        <v>-23.900212118417414</v>
      </c>
      <c r="K86" s="5">
        <f>VLOOKUP($B86,'Data Vlaue (Cr)'!$C:$FB,99)</f>
        <v>3898</v>
      </c>
      <c r="L86" s="81">
        <f>VLOOKUP(B86,'OI(Value)'!$A$7:$C$209,3,0)</f>
        <v>28</v>
      </c>
      <c r="M86" s="33">
        <f t="shared" si="22"/>
        <v>0.71831708568496666</v>
      </c>
      <c r="N86" s="5">
        <f>VLOOKUP($B86,'Data Vlaue (Cr)'!$C:$FB,67)</f>
        <v>1446</v>
      </c>
      <c r="O86" s="5">
        <f>VLOOKUP($B86,'Data Vlaue (Cr)'!$C:$FB,68)</f>
        <v>1900</v>
      </c>
      <c r="P86" s="5">
        <f t="shared" ref="P86:P96" si="30">(N86-O86)/N86*100</f>
        <v>-31.396957123098201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5136</v>
      </c>
      <c r="D87" s="82">
        <f>VLOOKUP($B87,'Data shares'!$C:$FB,98)</f>
        <v>16314750</v>
      </c>
      <c r="E87" s="165">
        <f>VLOOKUP(B87,'Snapshot (Volume)'!$A$7:$G$168,7,0)</f>
        <v>15725100</v>
      </c>
      <c r="F87" s="165">
        <f t="shared" si="27"/>
        <v>589650</v>
      </c>
      <c r="G87" s="166">
        <f t="shared" si="28"/>
        <v>3.749737680523494E-2</v>
      </c>
      <c r="H87" s="165">
        <f>VLOOKUP($B87,'Data shares'!$C:$FB,66)</f>
        <v>19848450</v>
      </c>
      <c r="I87" s="165">
        <f>VLOOKUP($B87,'Data shares'!$C:$FB,67)</f>
        <v>38976300</v>
      </c>
      <c r="J87" s="81">
        <f t="shared" si="29"/>
        <v>-49.07559209057812</v>
      </c>
      <c r="K87" s="5">
        <f>VLOOKUP($B87,'Data Vlaue (Cr)'!$C:$FB,99)</f>
        <v>8365</v>
      </c>
      <c r="L87" s="81">
        <f>VLOOKUP(B87,'OI(Value)'!$A$7:$C$209,3,0)</f>
        <v>302</v>
      </c>
      <c r="M87" s="33">
        <f t="shared" si="22"/>
        <v>3.6102809324566643</v>
      </c>
      <c r="N87" s="5">
        <f>VLOOKUP($B87,'Data Vlaue (Cr)'!$C:$FB,67)</f>
        <v>10177</v>
      </c>
      <c r="O87" s="5">
        <f>VLOOKUP($B87,'Data Vlaue (Cr)'!$C:$FB,68)</f>
        <v>19985</v>
      </c>
      <c r="P87" s="5">
        <f t="shared" si="30"/>
        <v>-96.374177065932983</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HFCL</v>
      </c>
      <c r="C88" s="4">
        <f>VLOOKUP($B88,'Data shares'!$C:$FB,7)</f>
        <v>75.27</v>
      </c>
      <c r="D88" s="82">
        <f>VLOOKUP($B88,'Data shares'!$C:$FB,98)</f>
        <v>144731550</v>
      </c>
      <c r="E88" s="165">
        <f>VLOOKUP(B88,'Snapshot (Volume)'!$A$7:$G$168,7,0)</f>
        <v>144699300</v>
      </c>
      <c r="F88" s="165">
        <f t="shared" si="27"/>
        <v>32250</v>
      </c>
      <c r="G88" s="166">
        <f t="shared" si="28"/>
        <v>2.2287599179816349E-4</v>
      </c>
      <c r="H88" s="165">
        <f>VLOOKUP($B88,'Data shares'!$C:$FB,66)</f>
        <v>26141850</v>
      </c>
      <c r="I88" s="165">
        <f>VLOOKUP($B88,'Data shares'!$C:$FB,67)</f>
        <v>37197150</v>
      </c>
      <c r="J88" s="81">
        <f t="shared" si="29"/>
        <v>-29.720825385815846</v>
      </c>
      <c r="K88" s="5">
        <f>VLOOKUP($B88,'Data Vlaue (Cr)'!$C:$FB,99)</f>
        <v>1091</v>
      </c>
      <c r="L88" s="81">
        <f>VLOOKUP(B88,'OI(Value)'!$A$7:$C$209,3,0)</f>
        <v>0</v>
      </c>
      <c r="M88" s="33">
        <f t="shared" si="22"/>
        <v>0</v>
      </c>
      <c r="N88" s="5">
        <f>VLOOKUP($B88,'Data Vlaue (Cr)'!$C:$FB,67)</f>
        <v>197</v>
      </c>
      <c r="O88" s="5">
        <f>VLOOKUP($B88,'Data Vlaue (Cr)'!$C:$FB,68)</f>
        <v>280</v>
      </c>
      <c r="P88" s="5">
        <f t="shared" si="30"/>
        <v>-42.131979695431468</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Metals</v>
      </c>
      <c r="B89" s="79" t="str">
        <f>'Data shares'!C84</f>
        <v>HINDALCO</v>
      </c>
      <c r="C89" s="4">
        <f>VLOOKUP($B89,'Data shares'!$C:$FB,7)</f>
        <v>700.85</v>
      </c>
      <c r="D89" s="82">
        <f>VLOOKUP($B89,'Data shares'!$C:$FB,98)</f>
        <v>84155400</v>
      </c>
      <c r="E89" s="165">
        <f>VLOOKUP(B89,'Snapshot (Volume)'!$A$7:$G$168,7,0)</f>
        <v>83514200</v>
      </c>
      <c r="F89" s="165">
        <f t="shared" si="27"/>
        <v>641200</v>
      </c>
      <c r="G89" s="166">
        <f t="shared" si="28"/>
        <v>7.6777362412619654E-3</v>
      </c>
      <c r="H89" s="165">
        <f>VLOOKUP($B89,'Data shares'!$C:$FB,66)</f>
        <v>58392600</v>
      </c>
      <c r="I89" s="165">
        <f>VLOOKUP($B89,'Data shares'!$C:$FB,67)</f>
        <v>66918600</v>
      </c>
      <c r="J89" s="81">
        <f t="shared" si="29"/>
        <v>-12.740852319086175</v>
      </c>
      <c r="K89" s="5">
        <f>VLOOKUP($B89,'Data Vlaue (Cr)'!$C:$FB,99)</f>
        <v>5909</v>
      </c>
      <c r="L89" s="81">
        <f>VLOOKUP(B89,'OI(Value)'!$A$7:$C$209,3,0)</f>
        <v>45</v>
      </c>
      <c r="M89" s="33">
        <f t="shared" si="22"/>
        <v>0.76155017769504152</v>
      </c>
      <c r="N89" s="5">
        <f>VLOOKUP($B89,'Data Vlaue (Cr)'!$C:$FB,67)</f>
        <v>4100</v>
      </c>
      <c r="O89" s="5">
        <f>VLOOKUP($B89,'Data Vlaue (Cr)'!$C:$FB,68)</f>
        <v>4699</v>
      </c>
      <c r="P89" s="5">
        <f t="shared" si="30"/>
        <v>-14.609756097560975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Oil_Gas</v>
      </c>
      <c r="B90" s="79" t="str">
        <f>'Data shares'!C85</f>
        <v>HINDPETRO</v>
      </c>
      <c r="C90" s="4">
        <f>VLOOKUP($B90,'Data shares'!$C:$FB,7)</f>
        <v>390.8</v>
      </c>
      <c r="D90" s="82">
        <f>VLOOKUP($B90,'Data shares'!$C:$FB,98)</f>
        <v>83697300</v>
      </c>
      <c r="E90" s="165">
        <f>VLOOKUP(B90,'Snapshot (Volume)'!$A$7:$G$168,7,0)</f>
        <v>85590675</v>
      </c>
      <c r="F90" s="165">
        <f t="shared" si="27"/>
        <v>-1893375</v>
      </c>
      <c r="G90" s="166">
        <f t="shared" si="28"/>
        <v>-2.2121276646083234E-2</v>
      </c>
      <c r="H90" s="165">
        <f>VLOOKUP($B90,'Data shares'!$C:$FB,66)</f>
        <v>38499300</v>
      </c>
      <c r="I90" s="165">
        <f>VLOOKUP($B90,'Data shares'!$C:$FB,67)</f>
        <v>52571025</v>
      </c>
      <c r="J90" s="81">
        <f t="shared" si="29"/>
        <v>-26.767073687454257</v>
      </c>
      <c r="K90" s="5">
        <f>VLOOKUP($B90,'Data Vlaue (Cr)'!$C:$FB,99)</f>
        <v>3279</v>
      </c>
      <c r="L90" s="81">
        <f>VLOOKUP(B90,'OI(Value)'!$A$7:$C$209,3,0)</f>
        <v>-74</v>
      </c>
      <c r="M90" s="33">
        <f t="shared" si="22"/>
        <v>-2.2567856053674902</v>
      </c>
      <c r="N90" s="5">
        <f>VLOOKUP($B90,'Data Vlaue (Cr)'!$C:$FB,67)</f>
        <v>1508</v>
      </c>
      <c r="O90" s="5">
        <f>VLOOKUP($B90,'Data Vlaue (Cr)'!$C:$FB,68)</f>
        <v>2059</v>
      </c>
      <c r="P90" s="5">
        <f t="shared" si="30"/>
        <v>-36.538461538461533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FMCG</v>
      </c>
      <c r="B91" s="79" t="str">
        <f>'Data shares'!C86</f>
        <v>HINDUNILVR</v>
      </c>
      <c r="C91" s="4">
        <f>VLOOKUP($B91,'Data shares'!$C:$FB,7)</f>
        <v>2669.8</v>
      </c>
      <c r="D91" s="82">
        <f>VLOOKUP($B91,'Data shares'!$C:$FB,98)</f>
        <v>29702100</v>
      </c>
      <c r="E91" s="165">
        <f>VLOOKUP(B91,'Snapshot (Volume)'!$A$7:$G$168,7,0)</f>
        <v>27974700</v>
      </c>
      <c r="F91" s="165">
        <f t="shared" si="27"/>
        <v>1727400</v>
      </c>
      <c r="G91" s="166">
        <f t="shared" si="28"/>
        <v>6.1748651460069276E-2</v>
      </c>
      <c r="H91" s="165">
        <f>VLOOKUP($B91,'Data shares'!$C:$FB,66)</f>
        <v>67849500</v>
      </c>
      <c r="I91" s="165">
        <f>VLOOKUP($B91,'Data shares'!$C:$FB,67)</f>
        <v>24207600</v>
      </c>
      <c r="J91" s="81">
        <f t="shared" si="29"/>
        <v>180.28181232340256</v>
      </c>
      <c r="K91" s="5">
        <f>VLOOKUP($B91,'Data Vlaue (Cr)'!$C:$FB,99)</f>
        <v>7933</v>
      </c>
      <c r="L91" s="81">
        <f>VLOOKUP(B91,'OI(Value)'!$A$7:$C$209,3,0)</f>
        <v>461</v>
      </c>
      <c r="M91" s="33">
        <f t="shared" si="22"/>
        <v>5.8111685364931294</v>
      </c>
      <c r="N91" s="5">
        <f>VLOOKUP($B91,'Data Vlaue (Cr)'!$C:$FB,67)</f>
        <v>18121</v>
      </c>
      <c r="O91" s="5">
        <f>VLOOKUP($B91,'Data Vlaue (Cr)'!$C:$FB,68)</f>
        <v>6465</v>
      </c>
      <c r="P91" s="5">
        <f t="shared" si="30"/>
        <v>64.323160973456211</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Metals</v>
      </c>
      <c r="B92" s="79" t="str">
        <f>'Data shares'!C87</f>
        <v>HINDZINC</v>
      </c>
      <c r="C92" s="4">
        <f>VLOOKUP($B92,'Data shares'!$C:$FB,7)</f>
        <v>430</v>
      </c>
      <c r="D92" s="82">
        <f>VLOOKUP($B92,'Data shares'!$C:$FB,98)</f>
        <v>45987725</v>
      </c>
      <c r="E92" s="165">
        <f>VLOOKUP(B92,'Snapshot (Volume)'!$A$7:$G$168,7,0)</f>
        <v>45274775</v>
      </c>
      <c r="F92" s="165">
        <f t="shared" si="27"/>
        <v>712950</v>
      </c>
      <c r="G92" s="166">
        <f t="shared" si="28"/>
        <v>1.5747179306799426E-2</v>
      </c>
      <c r="H92" s="165">
        <f>VLOOKUP($B92,'Data shares'!$C:$FB,66)</f>
        <v>16699200</v>
      </c>
      <c r="I92" s="165">
        <f>VLOOKUP($B92,'Data shares'!$C:$FB,67)</f>
        <v>20003025</v>
      </c>
      <c r="J92" s="81">
        <f t="shared" si="29"/>
        <v>-16.516626860187397</v>
      </c>
      <c r="K92" s="5">
        <f>VLOOKUP($B92,'Data Vlaue (Cr)'!$C:$FB,99)</f>
        <v>1979</v>
      </c>
      <c r="L92" s="81">
        <f>VLOOKUP(B92,'OI(Value)'!$A$7:$C$209,3,0)</f>
        <v>31</v>
      </c>
      <c r="M92" s="33">
        <f t="shared" si="22"/>
        <v>1.5664477008590199</v>
      </c>
      <c r="N92" s="5">
        <f>VLOOKUP($B92,'Data Vlaue (Cr)'!$C:$FB,67)</f>
        <v>719</v>
      </c>
      <c r="O92" s="5">
        <f>VLOOKUP($B92,'Data Vlaue (Cr)'!$C:$FB,68)</f>
        <v>861</v>
      </c>
      <c r="P92" s="5">
        <f t="shared" si="30"/>
        <v>-19.749652294853963</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Realty</v>
      </c>
      <c r="B93" s="79" t="str">
        <f>'Data shares'!C88</f>
        <v>HUDCO</v>
      </c>
      <c r="C93" s="4">
        <f>VLOOKUP($B93,'Data shares'!$C:$FB,7)</f>
        <v>214.39</v>
      </c>
      <c r="D93" s="82">
        <f>VLOOKUP($B93,'Data shares'!$C:$FB,98)</f>
        <v>58641300</v>
      </c>
      <c r="E93" s="165">
        <f>VLOOKUP(B93,'Snapshot (Volume)'!$A$7:$G$168,7,0)</f>
        <v>57131700</v>
      </c>
      <c r="F93" s="165">
        <f t="shared" si="27"/>
        <v>1509600</v>
      </c>
      <c r="G93" s="166">
        <f t="shared" si="28"/>
        <v>2.6423159121818536E-2</v>
      </c>
      <c r="H93" s="165">
        <f>VLOOKUP($B93,'Data shares'!$C:$FB,66)</f>
        <v>26676075</v>
      </c>
      <c r="I93" s="165">
        <f>VLOOKUP($B93,'Data shares'!$C:$FB,67)</f>
        <v>34745775</v>
      </c>
      <c r="J93" s="81">
        <f t="shared" si="29"/>
        <v>-23.224982030189281</v>
      </c>
      <c r="K93" s="5">
        <f>VLOOKUP($B93,'Data Vlaue (Cr)'!$C:$FB,99)</f>
        <v>1257</v>
      </c>
      <c r="L93" s="81">
        <f>VLOOKUP(B93,'OI(Value)'!$A$7:$C$209,3,0)</f>
        <v>32</v>
      </c>
      <c r="M93" s="33">
        <f t="shared" si="22"/>
        <v>2.5457438345266508</v>
      </c>
      <c r="N93" s="5">
        <f>VLOOKUP($B93,'Data Vlaue (Cr)'!$C:$FB,67)</f>
        <v>572</v>
      </c>
      <c r="O93" s="5">
        <f>VLOOKUP($B93,'Data Vlaue (Cr)'!$C:$FB,68)</f>
        <v>745</v>
      </c>
      <c r="P93" s="5">
        <f t="shared" si="30"/>
        <v>-30.244755244755243</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1430.6</v>
      </c>
      <c r="D94" s="82">
        <f>VLOOKUP($B94,'Data shares'!$C:$FB,98)</f>
        <v>144616500</v>
      </c>
      <c r="E94" s="165">
        <f>VLOOKUP(B94,'Snapshot (Volume)'!$A$7:$G$168,7,0)</f>
        <v>142655800</v>
      </c>
      <c r="F94" s="165">
        <f t="shared" si="27"/>
        <v>1960700</v>
      </c>
      <c r="G94" s="166">
        <f t="shared" si="28"/>
        <v>1.3744271175795165E-2</v>
      </c>
      <c r="H94" s="165">
        <f>VLOOKUP($B94,'Data shares'!$C:$FB,66)</f>
        <v>49830200</v>
      </c>
      <c r="I94" s="165">
        <f>VLOOKUP($B94,'Data shares'!$C:$FB,67)</f>
        <v>43621200</v>
      </c>
      <c r="J94" s="81">
        <f t="shared" si="29"/>
        <v>14.233904615187109</v>
      </c>
      <c r="K94" s="5">
        <f>VLOOKUP($B94,'Data Vlaue (Cr)'!$C:$FB,99)</f>
        <v>20696</v>
      </c>
      <c r="L94" s="81">
        <f>VLOOKUP(B94,'OI(Value)'!$A$7:$C$209,3,0)</f>
        <v>281</v>
      </c>
      <c r="M94" s="33">
        <f t="shared" ref="M94:M122" si="31">L94/K94*100</f>
        <v>1.3577502899110938</v>
      </c>
      <c r="N94" s="5">
        <f>VLOOKUP($B94,'Data Vlaue (Cr)'!$C:$FB,67)</f>
        <v>7131</v>
      </c>
      <c r="O94" s="5">
        <f>VLOOKUP($B94,'Data Vlaue (Cr)'!$C:$FB,68)</f>
        <v>6243</v>
      </c>
      <c r="P94" s="5">
        <f t="shared" si="30"/>
        <v>12.452671434581406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1968.5</v>
      </c>
      <c r="D95" s="82">
        <f>VLOOKUP($B95,'Data shares'!$C:$FB,98)</f>
        <v>6343675</v>
      </c>
      <c r="E95" s="165">
        <f>VLOOKUP(B95,'Snapshot (Volume)'!$A$7:$G$168,7,0)</f>
        <v>6192550</v>
      </c>
      <c r="F95" s="165">
        <f t="shared" si="27"/>
        <v>151125</v>
      </c>
      <c r="G95" s="166">
        <f t="shared" si="28"/>
        <v>2.4404324551275322E-2</v>
      </c>
      <c r="H95" s="165">
        <f>VLOOKUP($B95,'Data shares'!$C:$FB,66)</f>
        <v>1744275</v>
      </c>
      <c r="I95" s="165">
        <f>VLOOKUP($B95,'Data shares'!$C:$FB,67)</f>
        <v>1663025</v>
      </c>
      <c r="J95" s="81">
        <f t="shared" si="29"/>
        <v>4.8856752003126838</v>
      </c>
      <c r="K95" s="5">
        <f>VLOOKUP($B95,'Data Vlaue (Cr)'!$C:$FB,99)</f>
        <v>1253</v>
      </c>
      <c r="L95" s="81">
        <f>VLOOKUP(B95,'OI(Value)'!$A$7:$C$209,3,0)</f>
        <v>30</v>
      </c>
      <c r="M95" s="33">
        <f t="shared" si="31"/>
        <v>2.3942537909018355</v>
      </c>
      <c r="N95" s="5">
        <f>VLOOKUP($B95,'Data Vlaue (Cr)'!$C:$FB,67)</f>
        <v>345</v>
      </c>
      <c r="O95" s="5">
        <f>VLOOKUP($B95,'Data Vlaue (Cr)'!$C:$FB,68)</f>
        <v>328</v>
      </c>
      <c r="P95" s="5">
        <f t="shared" si="30"/>
        <v>4.9275362318840585</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632.04999999999995</v>
      </c>
      <c r="D96" s="82">
        <f>VLOOKUP($B96,'Data shares'!$C:$FB,98)</f>
        <v>17801625</v>
      </c>
      <c r="E96" s="165">
        <f>VLOOKUP(B96,'Snapshot (Volume)'!$A$7:$G$168,7,0)</f>
        <v>17561125</v>
      </c>
      <c r="F96" s="165">
        <f t="shared" si="27"/>
        <v>240500</v>
      </c>
      <c r="G96" s="166">
        <f t="shared" si="28"/>
        <v>1.3695022386094284E-2</v>
      </c>
      <c r="H96" s="165">
        <f>VLOOKUP($B96,'Data shares'!$C:$FB,66)</f>
        <v>3308725</v>
      </c>
      <c r="I96" s="165">
        <f>VLOOKUP($B96,'Data shares'!$C:$FB,67)</f>
        <v>5228100</v>
      </c>
      <c r="J96" s="81">
        <f t="shared" si="29"/>
        <v>-36.712668082094837</v>
      </c>
      <c r="K96" s="5">
        <f>VLOOKUP($B96,'Data Vlaue (Cr)'!$C:$FB,99)</f>
        <v>1129</v>
      </c>
      <c r="L96" s="81">
        <f>VLOOKUP(B96,'OI(Value)'!$A$7:$C$209,3,0)</f>
        <v>15</v>
      </c>
      <c r="M96" s="33">
        <f t="shared" si="31"/>
        <v>1.328609388839681</v>
      </c>
      <c r="N96" s="5">
        <f>VLOOKUP($B96,'Data Vlaue (Cr)'!$C:$FB,67)</f>
        <v>210</v>
      </c>
      <c r="O96" s="5">
        <f>VLOOKUP($B96,'Data Vlaue (Cr)'!$C:$FB,68)</f>
        <v>331</v>
      </c>
      <c r="P96" s="5">
        <f t="shared" si="30"/>
        <v>-57.619047619047613</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6.79</v>
      </c>
      <c r="D97" s="82">
        <f>VLOOKUP($B97,'Data shares'!$C:$FB,98)</f>
        <v>7642464375</v>
      </c>
      <c r="E97" s="165">
        <f>VLOOKUP(B97,'Snapshot (Volume)'!$A$7:$G$168,7,0)</f>
        <v>7589358450</v>
      </c>
      <c r="F97" s="165">
        <f t="shared" ref="F97:F105" si="32">D97-E97</f>
        <v>53105925</v>
      </c>
      <c r="G97" s="166">
        <f t="shared" ref="G97:G105" si="33">F97/E97</f>
        <v>6.9974195249665671E-3</v>
      </c>
      <c r="H97" s="165">
        <f>VLOOKUP($B97,'Data shares'!$C:$FB,66)</f>
        <v>2353385850</v>
      </c>
      <c r="I97" s="165">
        <f>VLOOKUP($B97,'Data shares'!$C:$FB,67)</f>
        <v>2183489775</v>
      </c>
      <c r="J97" s="81">
        <f t="shared" ref="J97:J105" si="34">(H97-I97)/I97*100</f>
        <v>7.7809420930308679</v>
      </c>
      <c r="K97" s="5">
        <f>VLOOKUP($B97,'Data Vlaue (Cr)'!$C:$FB,99)</f>
        <v>5189</v>
      </c>
      <c r="L97" s="81">
        <f>VLOOKUP(B97,'OI(Value)'!$A$7:$C$209,3,0)</f>
        <v>36</v>
      </c>
      <c r="M97" s="33">
        <f t="shared" si="31"/>
        <v>0.69377529389092307</v>
      </c>
      <c r="N97" s="5">
        <f>VLOOKUP($B97,'Data Vlaue (Cr)'!$C:$FB,67)</f>
        <v>1598</v>
      </c>
      <c r="O97" s="5">
        <f>VLOOKUP($B97,'Data Vlaue (Cr)'!$C:$FB,68)</f>
        <v>1483</v>
      </c>
      <c r="P97" s="5">
        <f t="shared" ref="P97:P105" si="35">(N97-O97)/N97*100</f>
        <v>7.1964956195244056</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71.25</v>
      </c>
      <c r="D98" s="82">
        <f>VLOOKUP($B98,'Data shares'!$C:$FB,98)</f>
        <v>587728925</v>
      </c>
      <c r="E98" s="165">
        <f>VLOOKUP(B98,'Snapshot (Volume)'!$A$7:$G$168,7,0)</f>
        <v>581932050</v>
      </c>
      <c r="F98" s="165">
        <f t="shared" si="32"/>
        <v>5796875</v>
      </c>
      <c r="G98" s="166">
        <f t="shared" si="33"/>
        <v>9.9614293455739383E-3</v>
      </c>
      <c r="H98" s="165">
        <f>VLOOKUP($B98,'Data shares'!$C:$FB,66)</f>
        <v>126993300</v>
      </c>
      <c r="I98" s="165">
        <f>VLOOKUP($B98,'Data shares'!$C:$FB,67)</f>
        <v>255628275</v>
      </c>
      <c r="J98" s="81">
        <f t="shared" si="34"/>
        <v>-50.321105910525745</v>
      </c>
      <c r="K98" s="5">
        <f>VLOOKUP($B98,'Data Vlaue (Cr)'!$C:$FB,99)</f>
        <v>4189</v>
      </c>
      <c r="L98" s="81">
        <f>VLOOKUP(B98,'OI(Value)'!$A$7:$C$209,3,0)</f>
        <v>41</v>
      </c>
      <c r="M98" s="33">
        <f t="shared" si="31"/>
        <v>0.97875387920744805</v>
      </c>
      <c r="N98" s="5">
        <f>VLOOKUP($B98,'Data Vlaue (Cr)'!$C:$FB,67)</f>
        <v>905</v>
      </c>
      <c r="O98" s="5">
        <f>VLOOKUP($B98,'Data Vlaue (Cr)'!$C:$FB,68)</f>
        <v>1822</v>
      </c>
      <c r="P98" s="5">
        <f t="shared" si="35"/>
        <v>-101.32596685082873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143.15</v>
      </c>
      <c r="D99" s="82">
        <f>VLOOKUP($B99,'Data shares'!$C:$FB,98)</f>
        <v>122640000</v>
      </c>
      <c r="E99" s="165">
        <f>VLOOKUP(B99,'Snapshot (Volume)'!$A$7:$G$168,7,0)</f>
        <v>123611250</v>
      </c>
      <c r="F99" s="165">
        <f t="shared" si="32"/>
        <v>-971250</v>
      </c>
      <c r="G99" s="166">
        <f t="shared" si="33"/>
        <v>-7.8572945423656827E-3</v>
      </c>
      <c r="H99" s="165">
        <f>VLOOKUP($B99,'Data shares'!$C:$FB,66)</f>
        <v>62433750</v>
      </c>
      <c r="I99" s="165">
        <f>VLOOKUP($B99,'Data shares'!$C:$FB,67)</f>
        <v>47373750</v>
      </c>
      <c r="J99" s="81">
        <f t="shared" si="34"/>
        <v>31.789756985672447</v>
      </c>
      <c r="K99" s="5">
        <f>VLOOKUP($B99,'Data Vlaue (Cr)'!$C:$FB,99)</f>
        <v>1762</v>
      </c>
      <c r="L99" s="81">
        <f>VLOOKUP(B99,'OI(Value)'!$A$7:$C$209,3,0)</f>
        <v>-14</v>
      </c>
      <c r="M99" s="33">
        <f t="shared" si="31"/>
        <v>-0.79455164585698068</v>
      </c>
      <c r="N99" s="5">
        <f>VLOOKUP($B99,'Data Vlaue (Cr)'!$C:$FB,67)</f>
        <v>897</v>
      </c>
      <c r="O99" s="5">
        <f>VLOOKUP($B99,'Data Vlaue (Cr)'!$C:$FB,68)</f>
        <v>680</v>
      </c>
      <c r="P99" s="5">
        <f t="shared" si="35"/>
        <v>24.191750278706799</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Oil_Gas</v>
      </c>
      <c r="B100" s="79" t="str">
        <f>'Data shares'!C95</f>
        <v>IGL</v>
      </c>
      <c r="C100" s="4">
        <f>VLOOKUP($B100,'Data shares'!$C:$FB,7)</f>
        <v>205.23</v>
      </c>
      <c r="D100" s="82">
        <f>VLOOKUP($B100,'Data shares'!$C:$FB,98)</f>
        <v>33365750</v>
      </c>
      <c r="E100" s="165">
        <f>VLOOKUP(B100,'Snapshot (Volume)'!$A$7:$G$168,7,0)</f>
        <v>31968750</v>
      </c>
      <c r="F100" s="165">
        <f t="shared" si="32"/>
        <v>1397000</v>
      </c>
      <c r="G100" s="166">
        <f t="shared" si="33"/>
        <v>4.3698924731182795E-2</v>
      </c>
      <c r="H100" s="165">
        <f>VLOOKUP($B100,'Data shares'!$C:$FB,66)</f>
        <v>19849500</v>
      </c>
      <c r="I100" s="165">
        <f>VLOOKUP($B100,'Data shares'!$C:$FB,67)</f>
        <v>9539750</v>
      </c>
      <c r="J100" s="81">
        <f t="shared" si="34"/>
        <v>108.07149034303833</v>
      </c>
      <c r="K100" s="5">
        <f>VLOOKUP($B100,'Data Vlaue (Cr)'!$C:$FB,99)</f>
        <v>687</v>
      </c>
      <c r="L100" s="81">
        <f>VLOOKUP(B100,'OI(Value)'!$A$7:$C$209,3,0)</f>
        <v>29</v>
      </c>
      <c r="M100" s="33">
        <f t="shared" si="31"/>
        <v>4.2212518195050945</v>
      </c>
      <c r="N100" s="5">
        <f>VLOOKUP($B100,'Data Vlaue (Cr)'!$C:$FB,67)</f>
        <v>409</v>
      </c>
      <c r="O100" s="5">
        <f>VLOOKUP($B100,'Data Vlaue (Cr)'!$C:$FB,68)</f>
        <v>196</v>
      </c>
      <c r="P100" s="5">
        <f t="shared" si="35"/>
        <v>52.078239608801958</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IIFL</v>
      </c>
      <c r="C101" s="4">
        <f>VLOOKUP($B101,'Data shares'!$C:$FB,7)</f>
        <v>471.5</v>
      </c>
      <c r="D101" s="82">
        <f>VLOOKUP($B101,'Data shares'!$C:$FB,98)</f>
        <v>21781650</v>
      </c>
      <c r="E101" s="165">
        <f>VLOOKUP(B101,'Snapshot (Volume)'!$A$7:$G$168,7,0)</f>
        <v>22324500</v>
      </c>
      <c r="F101" s="165">
        <f t="shared" si="32"/>
        <v>-542850</v>
      </c>
      <c r="G101" s="166">
        <f t="shared" si="33"/>
        <v>-2.4316334072431632E-2</v>
      </c>
      <c r="H101" s="165">
        <f>VLOOKUP($B101,'Data shares'!$C:$FB,66)</f>
        <v>11142450</v>
      </c>
      <c r="I101" s="165">
        <f>VLOOKUP($B101,'Data shares'!$C:$FB,67)</f>
        <v>31816950</v>
      </c>
      <c r="J101" s="81">
        <f t="shared" si="34"/>
        <v>-64.979515635533886</v>
      </c>
      <c r="K101" s="5">
        <f>VLOOKUP($B101,'Data Vlaue (Cr)'!$C:$FB,99)</f>
        <v>1027</v>
      </c>
      <c r="L101" s="81">
        <f>VLOOKUP(B101,'OI(Value)'!$A$7:$C$209,3,0)</f>
        <v>-26</v>
      </c>
      <c r="M101" s="33">
        <f t="shared" si="31"/>
        <v>-2.5316455696202533</v>
      </c>
      <c r="N101" s="5">
        <f>VLOOKUP($B101,'Data Vlaue (Cr)'!$C:$FB,67)</f>
        <v>525</v>
      </c>
      <c r="O101" s="5">
        <f>VLOOKUP($B101,'Data Vlaue (Cr)'!$C:$FB,68)</f>
        <v>1500</v>
      </c>
      <c r="P101" s="5">
        <f t="shared" si="35"/>
        <v>-185.71428571428572</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Realty</v>
      </c>
      <c r="B102" s="79" t="str">
        <f>'Data shares'!C97</f>
        <v>INDHOTEL</v>
      </c>
      <c r="C102" s="4">
        <f>VLOOKUP($B102,'Data shares'!$C:$FB,7)</f>
        <v>806.8</v>
      </c>
      <c r="D102" s="82">
        <f>VLOOKUP($B102,'Data shares'!$C:$FB,98)</f>
        <v>41891000</v>
      </c>
      <c r="E102" s="165">
        <f>VLOOKUP(B102,'Snapshot (Volume)'!$A$7:$G$168,7,0)</f>
        <v>37147000</v>
      </c>
      <c r="F102" s="165">
        <f t="shared" si="32"/>
        <v>4744000</v>
      </c>
      <c r="G102" s="166">
        <f t="shared" si="33"/>
        <v>0.12770883247637763</v>
      </c>
      <c r="H102" s="165">
        <f>VLOOKUP($B102,'Data shares'!$C:$FB,66)</f>
        <v>132184000</v>
      </c>
      <c r="I102" s="165">
        <f>VLOOKUP($B102,'Data shares'!$C:$FB,67)</f>
        <v>13509000</v>
      </c>
      <c r="J102" s="81">
        <f t="shared" si="34"/>
        <v>878.48841513065372</v>
      </c>
      <c r="K102" s="5">
        <f>VLOOKUP($B102,'Data Vlaue (Cr)'!$C:$FB,99)</f>
        <v>3382</v>
      </c>
      <c r="L102" s="81">
        <f>VLOOKUP(B102,'OI(Value)'!$A$7:$C$209,3,0)</f>
        <v>383</v>
      </c>
      <c r="M102" s="33">
        <f t="shared" si="31"/>
        <v>11.324659964518037</v>
      </c>
      <c r="N102" s="5">
        <f>VLOOKUP($B102,'Data Vlaue (Cr)'!$C:$FB,67)</f>
        <v>10673</v>
      </c>
      <c r="O102" s="5">
        <f>VLOOKUP($B102,'Data Vlaue (Cr)'!$C:$FB,68)</f>
        <v>1091</v>
      </c>
      <c r="P102" s="5">
        <f t="shared" si="35"/>
        <v>89.777944345544839</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Banking</v>
      </c>
      <c r="B103" s="79" t="str">
        <f>'Data shares'!C98</f>
        <v>INDIANB</v>
      </c>
      <c r="C103" s="4">
        <f>VLOOKUP($B103,'Data shares'!$C:$FB,7)</f>
        <v>670.05</v>
      </c>
      <c r="D103" s="82">
        <f>VLOOKUP($B103,'Data shares'!$C:$FB,98)</f>
        <v>11986000</v>
      </c>
      <c r="E103" s="165">
        <f>VLOOKUP(B103,'Snapshot (Volume)'!$A$7:$G$168,7,0)</f>
        <v>12021000</v>
      </c>
      <c r="F103" s="165">
        <f t="shared" si="32"/>
        <v>-35000</v>
      </c>
      <c r="G103" s="166">
        <f t="shared" si="33"/>
        <v>-2.9115714166874636E-3</v>
      </c>
      <c r="H103" s="165">
        <f>VLOOKUP($B103,'Data shares'!$C:$FB,66)</f>
        <v>3763000</v>
      </c>
      <c r="I103" s="165">
        <f>VLOOKUP($B103,'Data shares'!$C:$FB,67)</f>
        <v>7174000</v>
      </c>
      <c r="J103" s="81">
        <f t="shared" si="34"/>
        <v>-47.546696403679952</v>
      </c>
      <c r="K103" s="5">
        <f>VLOOKUP($B103,'Data Vlaue (Cr)'!$C:$FB,99)</f>
        <v>805</v>
      </c>
      <c r="L103" s="81">
        <f>VLOOKUP(B103,'OI(Value)'!$A$7:$C$209,3,0)</f>
        <v>-2</v>
      </c>
      <c r="M103" s="33">
        <f t="shared" si="31"/>
        <v>-0.2484472049689441</v>
      </c>
      <c r="N103" s="5">
        <f>VLOOKUP($B103,'Data Vlaue (Cr)'!$C:$FB,67)</f>
        <v>253</v>
      </c>
      <c r="O103" s="5">
        <f>VLOOKUP($B103,'Data Vlaue (Cr)'!$C:$FB,68)</f>
        <v>482</v>
      </c>
      <c r="P103" s="5">
        <f t="shared" si="35"/>
        <v>-90.51383399209486</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Index</v>
      </c>
      <c r="B104" s="79" t="str">
        <f>'Data shares'!C99</f>
        <v>INDIAVIX</v>
      </c>
      <c r="C104" s="4">
        <f>VLOOKUP($B104,'Data shares'!$C:$FB,7)</f>
        <v>11.79</v>
      </c>
      <c r="D104" s="82">
        <f>VLOOKUP($B104,'Data shares'!$C:$FB,98)</f>
        <v>0</v>
      </c>
      <c r="E104" s="165">
        <f>VLOOKUP(B104,'Snapshot (Volume)'!$A$7:$G$168,7,0)</f>
        <v>0</v>
      </c>
      <c r="F104" s="165">
        <f t="shared" si="32"/>
        <v>0</v>
      </c>
      <c r="G104" s="166" t="e">
        <f t="shared" si="33"/>
        <v>#DIV/0!</v>
      </c>
      <c r="H104" s="165">
        <f>VLOOKUP($B104,'Data shares'!$C:$FB,66)</f>
        <v>0</v>
      </c>
      <c r="I104" s="165">
        <f>VLOOKUP($B104,'Data shares'!$C:$FB,67)</f>
        <v>0</v>
      </c>
      <c r="J104" s="81" t="e">
        <f t="shared" si="34"/>
        <v>#DIV/0!</v>
      </c>
      <c r="K104" s="5">
        <f>VLOOKUP($B104,'Data Vlaue (Cr)'!$C:$FB,99)</f>
        <v>0</v>
      </c>
      <c r="L104" s="81">
        <f>VLOOKUP(B104,'OI(Value)'!$A$7:$C$209,3,0)</f>
        <v>0</v>
      </c>
      <c r="M104" s="33" t="e">
        <f t="shared" si="31"/>
        <v>#DIV/0!</v>
      </c>
      <c r="N104" s="5">
        <f>VLOOKUP($B104,'Data Vlaue (Cr)'!$C:$FB,67)</f>
        <v>0</v>
      </c>
      <c r="O104" s="5">
        <f>VLOOKUP($B104,'Data Vlaue (Cr)'!$C:$FB,68)</f>
        <v>0</v>
      </c>
      <c r="P104" s="5" t="e">
        <f t="shared" si="35"/>
        <v>#DIV/0!</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INDIGO</v>
      </c>
      <c r="C105" s="4">
        <f>VLOOKUP($B105,'Data shares'!$C:$FB,7)</f>
        <v>6155.5</v>
      </c>
      <c r="D105" s="82">
        <f>VLOOKUP($B105,'Data shares'!$C:$FB,98)</f>
        <v>10728750</v>
      </c>
      <c r="E105" s="165">
        <f>VLOOKUP(B105,'Snapshot (Volume)'!$A$7:$G$168,7,0)</f>
        <v>10044300</v>
      </c>
      <c r="F105" s="165">
        <f t="shared" si="32"/>
        <v>684450</v>
      </c>
      <c r="G105" s="166">
        <f t="shared" si="33"/>
        <v>6.8143125952032493E-2</v>
      </c>
      <c r="H105" s="165">
        <f>VLOOKUP($B105,'Data shares'!$C:$FB,66)</f>
        <v>6603000</v>
      </c>
      <c r="I105" s="165">
        <f>VLOOKUP($B105,'Data shares'!$C:$FB,67)</f>
        <v>4368000</v>
      </c>
      <c r="J105" s="81">
        <f t="shared" si="34"/>
        <v>51.167582417582416</v>
      </c>
      <c r="K105" s="5">
        <f>VLOOKUP($B105,'Data Vlaue (Cr)'!$C:$FB,99)</f>
        <v>6593</v>
      </c>
      <c r="L105" s="81">
        <f>VLOOKUP(B105,'OI(Value)'!$A$7:$C$209,3,0)</f>
        <v>421</v>
      </c>
      <c r="M105" s="33">
        <f t="shared" si="31"/>
        <v>6.3855604428939783</v>
      </c>
      <c r="N105" s="5">
        <f>VLOOKUP($B105,'Data Vlaue (Cr)'!$C:$FB,67)</f>
        <v>4058</v>
      </c>
      <c r="O105" s="5">
        <f>VLOOKUP($B105,'Data Vlaue (Cr)'!$C:$FB,68)</f>
        <v>2684</v>
      </c>
      <c r="P105" s="5">
        <f t="shared" si="35"/>
        <v>33.859043863972396</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Banking</v>
      </c>
      <c r="B106" s="79" t="str">
        <f>'Data shares'!C101</f>
        <v>INDUSINDBK</v>
      </c>
      <c r="C106" s="79">
        <f>VLOOKUP($B106,'Data shares'!$C:$FB,7)</f>
        <v>778.2</v>
      </c>
      <c r="D106" s="80">
        <f>VLOOKUP($B106,'Data shares'!$C:$FB,98)</f>
        <v>81572400</v>
      </c>
      <c r="E106" s="165">
        <f>VLOOKUP(B106,'Snapshot (Volume)'!$A$7:$G$168,7,0)</f>
        <v>80230500</v>
      </c>
      <c r="F106" s="165">
        <f t="shared" ref="F106:F114" si="36">D106-E106</f>
        <v>1341900</v>
      </c>
      <c r="G106" s="166">
        <f t="shared" ref="G106:G114" si="37">F106/E106</f>
        <v>1.6725559481743226E-2</v>
      </c>
      <c r="H106" s="165">
        <f>VLOOKUP($B106,'Data shares'!$C:$FB,66)</f>
        <v>24546200</v>
      </c>
      <c r="I106" s="165">
        <f>VLOOKUP($B106,'Data shares'!$C:$FB,67)</f>
        <v>22452500</v>
      </c>
      <c r="J106" s="81">
        <f t="shared" ref="J106:J114" si="38">(H106-I106)/I106*100</f>
        <v>9.3250194855806701</v>
      </c>
      <c r="K106" s="81">
        <f>VLOOKUP($B106,'Data Vlaue (Cr)'!$C:$FB,99)</f>
        <v>6363</v>
      </c>
      <c r="L106" s="81">
        <f>VLOOKUP(B106,'OI(Value)'!$A$7:$C$209,3,0)</f>
        <v>105</v>
      </c>
      <c r="M106" s="81">
        <f t="shared" si="31"/>
        <v>1.6501650165016499</v>
      </c>
      <c r="N106" s="81">
        <f>VLOOKUP($B106,'Data Vlaue (Cr)'!$C:$FB,67)</f>
        <v>1915</v>
      </c>
      <c r="O106" s="81">
        <f>VLOOKUP($B106,'Data Vlaue (Cr)'!$C:$FB,68)</f>
        <v>1752</v>
      </c>
      <c r="P106" s="81">
        <f t="shared" ref="P106:P114" si="39">(N106-O106)/N106*100</f>
        <v>8.5117493472584869</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Telecom</v>
      </c>
      <c r="B107" s="79" t="str">
        <f>'Data shares'!C102</f>
        <v>INDUSTOWER</v>
      </c>
      <c r="C107" s="79">
        <f>VLOOKUP($B107,'Data shares'!$C:$FB,7)</f>
        <v>349.1</v>
      </c>
      <c r="D107" s="80">
        <f>VLOOKUP($B107,'Data shares'!$C:$FB,98)</f>
        <v>117668900</v>
      </c>
      <c r="E107" s="165">
        <f>VLOOKUP(B107,'Snapshot (Volume)'!$A$7:$G$168,7,0)</f>
        <v>115499700</v>
      </c>
      <c r="F107" s="165">
        <f t="shared" si="36"/>
        <v>2169200</v>
      </c>
      <c r="G107" s="166">
        <f t="shared" si="37"/>
        <v>1.8781001162773581E-2</v>
      </c>
      <c r="H107" s="165">
        <f>VLOOKUP($B107,'Data shares'!$C:$FB,66)</f>
        <v>153119000</v>
      </c>
      <c r="I107" s="165">
        <f>VLOOKUP($B107,'Data shares'!$C:$FB,67)</f>
        <v>65752600</v>
      </c>
      <c r="J107" s="81">
        <f t="shared" si="38"/>
        <v>132.87139976213868</v>
      </c>
      <c r="K107" s="81">
        <f>VLOOKUP($B107,'Data Vlaue (Cr)'!$C:$FB,99)</f>
        <v>4111</v>
      </c>
      <c r="L107" s="81">
        <f>VLOOKUP(B107,'OI(Value)'!$A$7:$C$209,3,0)</f>
        <v>76</v>
      </c>
      <c r="M107" s="81">
        <f t="shared" si="31"/>
        <v>1.8486986134760397</v>
      </c>
      <c r="N107" s="81">
        <f>VLOOKUP($B107,'Data Vlaue (Cr)'!$C:$FB,67)</f>
        <v>5350</v>
      </c>
      <c r="O107" s="81">
        <f>VLOOKUP($B107,'Data Vlaue (Cr)'!$C:$FB,68)</f>
        <v>2297</v>
      </c>
      <c r="P107" s="81">
        <f t="shared" si="39"/>
        <v>57.065420560747661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Technology</v>
      </c>
      <c r="B108" s="79" t="str">
        <f>'Data shares'!C103</f>
        <v>INFY</v>
      </c>
      <c r="C108" s="4">
        <f>VLOOKUP($B108,'Data shares'!$C:$FB,7)</f>
        <v>1496.2</v>
      </c>
      <c r="D108" s="82">
        <f>VLOOKUP($B108,'Data shares'!$C:$FB,98)</f>
        <v>126023200</v>
      </c>
      <c r="E108" s="165">
        <f>VLOOKUP(B108,'Snapshot (Volume)'!$A$7:$G$168,7,0)</f>
        <v>130279200</v>
      </c>
      <c r="F108" s="165">
        <f t="shared" si="36"/>
        <v>-4256000</v>
      </c>
      <c r="G108" s="166">
        <f t="shared" si="37"/>
        <v>-3.2668300081670751E-2</v>
      </c>
      <c r="H108" s="165">
        <f>VLOOKUP($B108,'Data shares'!$C:$FB,66)</f>
        <v>181916800</v>
      </c>
      <c r="I108" s="165">
        <f>VLOOKUP($B108,'Data shares'!$C:$FB,67)</f>
        <v>38982800</v>
      </c>
      <c r="J108" s="81">
        <f t="shared" si="38"/>
        <v>366.65914198056578</v>
      </c>
      <c r="K108" s="5">
        <f>VLOOKUP($B108,'Data Vlaue (Cr)'!$C:$FB,99)</f>
        <v>18885</v>
      </c>
      <c r="L108" s="81">
        <f>VLOOKUP(B108,'OI(Value)'!$A$7:$C$209,3,0)</f>
        <v>-638</v>
      </c>
      <c r="M108" s="33">
        <f t="shared" si="31"/>
        <v>-3.3783425999470476</v>
      </c>
      <c r="N108" s="5">
        <f>VLOOKUP($B108,'Data Vlaue (Cr)'!$C:$FB,67)</f>
        <v>27260</v>
      </c>
      <c r="O108" s="5">
        <f>VLOOKUP($B108,'Data Vlaue (Cr)'!$C:$FB,68)</f>
        <v>5842</v>
      </c>
      <c r="P108" s="5">
        <f t="shared" si="39"/>
        <v>78.569332355099036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Power</v>
      </c>
      <c r="B109" s="79" t="str">
        <f>'Data shares'!C104</f>
        <v>INOXWIND</v>
      </c>
      <c r="C109" s="4">
        <f>VLOOKUP($B109,'Data shares'!$C:$FB,7)</f>
        <v>144.19</v>
      </c>
      <c r="D109" s="82">
        <f>VLOOKUP($B109,'Data shares'!$C:$FB,98)</f>
        <v>84136208</v>
      </c>
      <c r="E109" s="165">
        <f>VLOOKUP(B109,'Snapshot (Volume)'!$A$7:$G$168,7,0)</f>
        <v>85163616</v>
      </c>
      <c r="F109" s="165">
        <f t="shared" si="36"/>
        <v>-1027408</v>
      </c>
      <c r="G109" s="166">
        <f t="shared" si="37"/>
        <v>-1.206393115106808E-2</v>
      </c>
      <c r="H109" s="165">
        <f>VLOOKUP($B109,'Data shares'!$C:$FB,66)</f>
        <v>38707760</v>
      </c>
      <c r="I109" s="165">
        <f>VLOOKUP($B109,'Data shares'!$C:$FB,67)</f>
        <v>196323272</v>
      </c>
      <c r="J109" s="81">
        <f t="shared" si="38"/>
        <v>-80.283661938967683</v>
      </c>
      <c r="K109" s="5">
        <f>VLOOKUP($B109,'Data Vlaue (Cr)'!$C:$FB,99)</f>
        <v>1213</v>
      </c>
      <c r="L109" s="81">
        <f>VLOOKUP(B109,'OI(Value)'!$A$7:$C$209,3,0)</f>
        <v>-15</v>
      </c>
      <c r="M109" s="33">
        <f t="shared" si="31"/>
        <v>-1.2366034624896949</v>
      </c>
      <c r="N109" s="5">
        <f>VLOOKUP($B109,'Data Vlaue (Cr)'!$C:$FB,67)</f>
        <v>558</v>
      </c>
      <c r="O109" s="5">
        <f>VLOOKUP($B109,'Data Vlaue (Cr)'!$C:$FB,68)</f>
        <v>2830</v>
      </c>
      <c r="P109" s="5">
        <f t="shared" si="39"/>
        <v>-407.16845878136201</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Oil_Gas</v>
      </c>
      <c r="B110" s="79" t="str">
        <f>'Data shares'!C105</f>
        <v>IOC</v>
      </c>
      <c r="C110" s="4">
        <f>VLOOKUP($B110,'Data shares'!$C:$FB,7)</f>
        <v>141.44</v>
      </c>
      <c r="D110" s="82">
        <f>VLOOKUP($B110,'Data shares'!$C:$FB,98)</f>
        <v>159880500</v>
      </c>
      <c r="E110" s="165">
        <f>VLOOKUP(B110,'Snapshot (Volume)'!$A$7:$G$168,7,0)</f>
        <v>162503250</v>
      </c>
      <c r="F110" s="165">
        <f t="shared" si="36"/>
        <v>-2622750</v>
      </c>
      <c r="G110" s="166">
        <f t="shared" si="37"/>
        <v>-1.6139677206455871E-2</v>
      </c>
      <c r="H110" s="165">
        <f>VLOOKUP($B110,'Data shares'!$C:$FB,66)</f>
        <v>77249250</v>
      </c>
      <c r="I110" s="165">
        <f>VLOOKUP($B110,'Data shares'!$C:$FB,67)</f>
        <v>103452375</v>
      </c>
      <c r="J110" s="81">
        <f t="shared" si="38"/>
        <v>-25.328683850902404</v>
      </c>
      <c r="K110" s="5">
        <f>VLOOKUP($B110,'Data Vlaue (Cr)'!$C:$FB,99)</f>
        <v>2266</v>
      </c>
      <c r="L110" s="81">
        <f>VLOOKUP(B110,'OI(Value)'!$A$7:$C$209,3,0)</f>
        <v>-37</v>
      </c>
      <c r="M110" s="33">
        <f t="shared" si="31"/>
        <v>-1.6328331862312444</v>
      </c>
      <c r="N110" s="5">
        <f>VLOOKUP($B110,'Data Vlaue (Cr)'!$C:$FB,67)</f>
        <v>1095</v>
      </c>
      <c r="O110" s="5">
        <f>VLOOKUP($B110,'Data Vlaue (Cr)'!$C:$FB,68)</f>
        <v>1466</v>
      </c>
      <c r="P110" s="5">
        <f t="shared" si="39"/>
        <v>-33.881278538812786</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IRB</v>
      </c>
      <c r="C111" s="4">
        <f>VLOOKUP($B111,'Data shares'!$C:$FB,7)</f>
        <v>44.6</v>
      </c>
      <c r="D111" s="82">
        <f>VLOOKUP($B111,'Data shares'!$C:$FB,98)</f>
        <v>113737850</v>
      </c>
      <c r="E111" s="165">
        <f>VLOOKUP(B111,'Snapshot (Volume)'!$A$7:$G$168,7,0)</f>
        <v>115710925</v>
      </c>
      <c r="F111" s="165">
        <f t="shared" si="36"/>
        <v>-1973075</v>
      </c>
      <c r="G111" s="166">
        <f t="shared" si="37"/>
        <v>-1.7051760669962668E-2</v>
      </c>
      <c r="H111" s="165">
        <f>VLOOKUP($B111,'Data shares'!$C:$FB,66)</f>
        <v>26350475</v>
      </c>
      <c r="I111" s="165">
        <f>VLOOKUP($B111,'Data shares'!$C:$FB,67)</f>
        <v>37418375</v>
      </c>
      <c r="J111" s="81">
        <f t="shared" si="38"/>
        <v>-29.578783151326054</v>
      </c>
      <c r="K111" s="5">
        <f>VLOOKUP($B111,'Data Vlaue (Cr)'!$C:$FB,99)</f>
        <v>507</v>
      </c>
      <c r="L111" s="81">
        <f>VLOOKUP(B111,'OI(Value)'!$A$7:$C$209,3,0)</f>
        <v>-9</v>
      </c>
      <c r="M111" s="33">
        <f t="shared" si="31"/>
        <v>-1.7751479289940828</v>
      </c>
      <c r="N111" s="5">
        <f>VLOOKUP($B111,'Data Vlaue (Cr)'!$C:$FB,67)</f>
        <v>117</v>
      </c>
      <c r="O111" s="5">
        <f>VLOOKUP($B111,'Data Vlaue (Cr)'!$C:$FB,68)</f>
        <v>167</v>
      </c>
      <c r="P111" s="5">
        <f t="shared" si="39"/>
        <v>-42.735042735042732</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Infrastructure</v>
      </c>
      <c r="B112" s="79" t="str">
        <f>'Data shares'!C107</f>
        <v>IRCTC</v>
      </c>
      <c r="C112" s="4">
        <f>VLOOKUP($B112,'Data shares'!$C:$FB,7)</f>
        <v>731.2</v>
      </c>
      <c r="D112" s="82">
        <f>VLOOKUP($B112,'Data shares'!$C:$FB,98)</f>
        <v>31100125</v>
      </c>
      <c r="E112" s="165">
        <f>VLOOKUP(B112,'Snapshot (Volume)'!$A$7:$G$168,7,0)</f>
        <v>30576875</v>
      </c>
      <c r="F112" s="165">
        <f t="shared" si="36"/>
        <v>523250</v>
      </c>
      <c r="G112" s="166">
        <f t="shared" si="37"/>
        <v>1.7112605522964657E-2</v>
      </c>
      <c r="H112" s="165">
        <f>VLOOKUP($B112,'Data shares'!$C:$FB,66)</f>
        <v>13169625</v>
      </c>
      <c r="I112" s="165">
        <f>VLOOKUP($B112,'Data shares'!$C:$FB,67)</f>
        <v>11937625</v>
      </c>
      <c r="J112" s="81">
        <f t="shared" si="38"/>
        <v>10.320310782086052</v>
      </c>
      <c r="K112" s="5">
        <f>VLOOKUP($B112,'Data Vlaue (Cr)'!$C:$FB,99)</f>
        <v>2274</v>
      </c>
      <c r="L112" s="81">
        <f>VLOOKUP(B112,'OI(Value)'!$A$7:$C$209,3,0)</f>
        <v>38</v>
      </c>
      <c r="M112" s="33">
        <f t="shared" si="31"/>
        <v>1.6710642040457344</v>
      </c>
      <c r="N112" s="5">
        <f>VLOOKUP($B112,'Data Vlaue (Cr)'!$C:$FB,67)</f>
        <v>963</v>
      </c>
      <c r="O112" s="5">
        <f>VLOOKUP($B112,'Data Vlaue (Cr)'!$C:$FB,68)</f>
        <v>873</v>
      </c>
      <c r="P112" s="5">
        <f t="shared" si="39"/>
        <v>9.3457943925233646</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IREDA</v>
      </c>
      <c r="C113" s="4">
        <f>VLOOKUP($B113,'Data shares'!$C:$FB,7)</f>
        <v>148.78</v>
      </c>
      <c r="D113" s="82">
        <f>VLOOKUP($B113,'Data shares'!$C:$FB,98)</f>
        <v>69244950</v>
      </c>
      <c r="E113" s="165">
        <f>VLOOKUP(B113,'Snapshot (Volume)'!$A$7:$G$168,7,0)</f>
        <v>68254800</v>
      </c>
      <c r="F113" s="165">
        <f t="shared" si="36"/>
        <v>990150</v>
      </c>
      <c r="G113" s="166">
        <f t="shared" si="37"/>
        <v>1.4506672058228871E-2</v>
      </c>
      <c r="H113" s="165">
        <f>VLOOKUP($B113,'Data shares'!$C:$FB,66)</f>
        <v>15331800</v>
      </c>
      <c r="I113" s="165">
        <f>VLOOKUP($B113,'Data shares'!$C:$FB,67)</f>
        <v>22421550</v>
      </c>
      <c r="J113" s="81">
        <f t="shared" si="38"/>
        <v>-31.620249269118329</v>
      </c>
      <c r="K113" s="5">
        <f>VLOOKUP($B113,'Data Vlaue (Cr)'!$C:$FB,99)</f>
        <v>1029</v>
      </c>
      <c r="L113" s="81">
        <f>VLOOKUP(B113,'OI(Value)'!$A$7:$C$209,3,0)</f>
        <v>15</v>
      </c>
      <c r="M113" s="33">
        <f t="shared" si="31"/>
        <v>1.4577259475218658</v>
      </c>
      <c r="N113" s="5">
        <f>VLOOKUP($B113,'Data Vlaue (Cr)'!$C:$FB,67)</f>
        <v>228</v>
      </c>
      <c r="O113" s="5">
        <f>VLOOKUP($B113,'Data Vlaue (Cr)'!$C:$FB,68)</f>
        <v>333</v>
      </c>
      <c r="P113" s="5">
        <f t="shared" si="39"/>
        <v>-46.05263157894737</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Infrastructure</v>
      </c>
      <c r="B114" s="79" t="str">
        <f>'Data shares'!C109</f>
        <v>IRFC</v>
      </c>
      <c r="C114" s="4">
        <f>VLOOKUP($B114,'Data shares'!$C:$FB,7)</f>
        <v>126.73</v>
      </c>
      <c r="D114" s="82">
        <f>VLOOKUP($B114,'Data shares'!$C:$FB,98)</f>
        <v>98251500</v>
      </c>
      <c r="E114" s="165">
        <f>VLOOKUP(B114,'Snapshot (Volume)'!$A$7:$G$168,7,0)</f>
        <v>95824750</v>
      </c>
      <c r="F114" s="165">
        <f t="shared" si="36"/>
        <v>2426750</v>
      </c>
      <c r="G114" s="166">
        <f t="shared" si="37"/>
        <v>2.532487692375926E-2</v>
      </c>
      <c r="H114" s="165">
        <f>VLOOKUP($B114,'Data shares'!$C:$FB,66)</f>
        <v>42708250</v>
      </c>
      <c r="I114" s="165">
        <f>VLOOKUP($B114,'Data shares'!$C:$FB,67)</f>
        <v>45619500</v>
      </c>
      <c r="J114" s="81">
        <f t="shared" si="38"/>
        <v>-6.3815912055151855</v>
      </c>
      <c r="K114" s="5">
        <f>VLOOKUP($B114,'Data Vlaue (Cr)'!$C:$FB,99)</f>
        <v>1250</v>
      </c>
      <c r="L114" s="81">
        <f>VLOOKUP(B114,'OI(Value)'!$A$7:$C$209,3,0)</f>
        <v>31</v>
      </c>
      <c r="M114" s="33">
        <f t="shared" si="31"/>
        <v>2.48</v>
      </c>
      <c r="N114" s="5">
        <f>VLOOKUP($B114,'Data Vlaue (Cr)'!$C:$FB,67)</f>
        <v>543</v>
      </c>
      <c r="O114" s="5">
        <f>VLOOKUP($B114,'Data Vlaue (Cr)'!$C:$FB,68)</f>
        <v>580</v>
      </c>
      <c r="P114" s="5">
        <f t="shared" si="39"/>
        <v>-6.8139963167587485</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ITC</v>
      </c>
      <c r="C115" s="79">
        <f>VLOOKUP($B115,'Data shares'!$C:$FB,7)</f>
        <v>406.05</v>
      </c>
      <c r="D115" s="80">
        <f>VLOOKUP($B115,'Data shares'!$C:$FB,98)</f>
        <v>198811200</v>
      </c>
      <c r="E115" s="165">
        <f>VLOOKUP(B115,'Snapshot (Volume)'!$A$7:$G$168,7,0)</f>
        <v>189088000</v>
      </c>
      <c r="F115" s="165">
        <f t="shared" ref="F115:F126" si="40">D115-E115</f>
        <v>9723200</v>
      </c>
      <c r="G115" s="166">
        <f t="shared" ref="G115:G126" si="41">F115/E115</f>
        <v>5.1421560331697411E-2</v>
      </c>
      <c r="H115" s="165">
        <f>VLOOKUP($B115,'Data shares'!$C:$FB,66)</f>
        <v>100918400</v>
      </c>
      <c r="I115" s="165">
        <f>VLOOKUP($B115,'Data shares'!$C:$FB,67)</f>
        <v>89185600</v>
      </c>
      <c r="J115" s="81">
        <f t="shared" ref="J115:J126" si="42">(H115-I115)/I115*100</f>
        <v>13.155486984445918</v>
      </c>
      <c r="K115" s="81">
        <f>VLOOKUP($B115,'Data Vlaue (Cr)'!$C:$FB,99)</f>
        <v>8097</v>
      </c>
      <c r="L115" s="81">
        <f>VLOOKUP(B115,'OI(Value)'!$A$7:$C$209,3,0)</f>
        <v>396</v>
      </c>
      <c r="M115" s="81">
        <f t="shared" si="31"/>
        <v>4.8907002593553166</v>
      </c>
      <c r="N115" s="81">
        <f>VLOOKUP($B115,'Data Vlaue (Cr)'!$C:$FB,67)</f>
        <v>4110</v>
      </c>
      <c r="O115" s="81">
        <f>VLOOKUP($B115,'Data Vlaue (Cr)'!$C:$FB,68)</f>
        <v>3632</v>
      </c>
      <c r="P115" s="81">
        <f t="shared" ref="P115:P126" si="43">(N115-O115)/N115*100</f>
        <v>11.630170316301705</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Metals</v>
      </c>
      <c r="B116" s="79" t="str">
        <f>'Data shares'!C111</f>
        <v>JINDALSTEL</v>
      </c>
      <c r="C116" s="4">
        <f>VLOOKUP($B116,'Data shares'!$C:$FB,7)</f>
        <v>1016.25</v>
      </c>
      <c r="D116" s="82">
        <f>VLOOKUP($B116,'Data shares'!$C:$FB,98)</f>
        <v>21676250</v>
      </c>
      <c r="E116" s="165">
        <f>VLOOKUP(B116,'Snapshot (Volume)'!$A$7:$G$168,7,0)</f>
        <v>21710625</v>
      </c>
      <c r="F116" s="165">
        <f t="shared" si="40"/>
        <v>-34375</v>
      </c>
      <c r="G116" s="166">
        <f t="shared" si="41"/>
        <v>-1.5833261363963496E-3</v>
      </c>
      <c r="H116" s="165">
        <f>VLOOKUP($B116,'Data shares'!$C:$FB,66)</f>
        <v>16077500</v>
      </c>
      <c r="I116" s="165">
        <f>VLOOKUP($B116,'Data shares'!$C:$FB,67)</f>
        <v>12142500</v>
      </c>
      <c r="J116" s="81">
        <f t="shared" si="42"/>
        <v>32.406835495161623</v>
      </c>
      <c r="K116" s="5">
        <f>VLOOKUP($B116,'Data Vlaue (Cr)'!$C:$FB,99)</f>
        <v>2200</v>
      </c>
      <c r="L116" s="81">
        <f>VLOOKUP(B116,'OI(Value)'!$A$7:$C$209,3,0)</f>
        <v>-3</v>
      </c>
      <c r="M116" s="33">
        <f t="shared" si="31"/>
        <v>-0.13636363636363638</v>
      </c>
      <c r="N116" s="5">
        <f>VLOOKUP($B116,'Data Vlaue (Cr)'!$C:$FB,67)</f>
        <v>1632</v>
      </c>
      <c r="O116" s="5">
        <f>VLOOKUP($B116,'Data Vlaue (Cr)'!$C:$FB,68)</f>
        <v>1232</v>
      </c>
      <c r="P116" s="5">
        <f t="shared" si="43"/>
        <v>24.509803921568626</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Finance</v>
      </c>
      <c r="B117" s="79" t="str">
        <f>'Data shares'!C112</f>
        <v>JIOFIN</v>
      </c>
      <c r="C117" s="4">
        <f>VLOOKUP($B117,'Data shares'!$C:$FB,7)</f>
        <v>328.45</v>
      </c>
      <c r="D117" s="82">
        <f>VLOOKUP($B117,'Data shares'!$C:$FB,98)</f>
        <v>216785150</v>
      </c>
      <c r="E117" s="165">
        <f>VLOOKUP(B117,'Snapshot (Volume)'!$A$7:$G$168,7,0)</f>
        <v>211765550</v>
      </c>
      <c r="F117" s="165">
        <f t="shared" si="40"/>
        <v>5019600</v>
      </c>
      <c r="G117" s="166">
        <f t="shared" si="41"/>
        <v>2.3703572181594221E-2</v>
      </c>
      <c r="H117" s="165">
        <f>VLOOKUP($B117,'Data shares'!$C:$FB,66)</f>
        <v>94538150</v>
      </c>
      <c r="I117" s="165">
        <f>VLOOKUP($B117,'Data shares'!$C:$FB,67)</f>
        <v>96953950</v>
      </c>
      <c r="J117" s="81">
        <f t="shared" si="42"/>
        <v>-2.4916983784569893</v>
      </c>
      <c r="K117" s="5">
        <f>VLOOKUP($B117,'Data Vlaue (Cr)'!$C:$FB,99)</f>
        <v>7133</v>
      </c>
      <c r="L117" s="81">
        <f>VLOOKUP(B117,'OI(Value)'!$A$7:$C$209,3,0)</f>
        <v>165</v>
      </c>
      <c r="M117" s="33">
        <f t="shared" si="31"/>
        <v>2.3131922052432357</v>
      </c>
      <c r="N117" s="5">
        <f>VLOOKUP($B117,'Data Vlaue (Cr)'!$C:$FB,67)</f>
        <v>3111</v>
      </c>
      <c r="O117" s="5">
        <f>VLOOKUP($B117,'Data Vlaue (Cr)'!$C:$FB,68)</f>
        <v>3190</v>
      </c>
      <c r="P117" s="5">
        <f t="shared" si="43"/>
        <v>-2.5393764063002249</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Metals</v>
      </c>
      <c r="B118" s="79" t="str">
        <f>'Data shares'!C113</f>
        <v>JSL</v>
      </c>
      <c r="C118" s="4">
        <f>VLOOKUP($B118,'Data shares'!$C:$FB,7)</f>
        <v>765.05</v>
      </c>
      <c r="D118" s="82">
        <f>VLOOKUP($B118,'Data shares'!$C:$FB,98)</f>
        <v>7463000</v>
      </c>
      <c r="E118" s="165">
        <f>VLOOKUP(B118,'Snapshot (Volume)'!$A$7:$G$168,7,0)</f>
        <v>7612600</v>
      </c>
      <c r="F118" s="165">
        <f t="shared" si="40"/>
        <v>-149600</v>
      </c>
      <c r="G118" s="166">
        <f t="shared" si="41"/>
        <v>-1.9651630192050022E-2</v>
      </c>
      <c r="H118" s="165">
        <f>VLOOKUP($B118,'Data shares'!$C:$FB,66)</f>
        <v>6011200</v>
      </c>
      <c r="I118" s="165">
        <f>VLOOKUP($B118,'Data shares'!$C:$FB,67)</f>
        <v>5936400</v>
      </c>
      <c r="J118" s="81">
        <f t="shared" si="42"/>
        <v>1.2600229095074456</v>
      </c>
      <c r="K118" s="5">
        <f>VLOOKUP($B118,'Data Vlaue (Cr)'!$C:$FB,99)</f>
        <v>571</v>
      </c>
      <c r="L118" s="81">
        <f>VLOOKUP(B118,'OI(Value)'!$A$7:$C$209,3,0)</f>
        <v>-11</v>
      </c>
      <c r="M118" s="33">
        <f t="shared" si="31"/>
        <v>-1.9264448336252189</v>
      </c>
      <c r="N118" s="5">
        <f>VLOOKUP($B118,'Data Vlaue (Cr)'!$C:$FB,67)</f>
        <v>460</v>
      </c>
      <c r="O118" s="5">
        <f>VLOOKUP($B118,'Data Vlaue (Cr)'!$C:$FB,68)</f>
        <v>454</v>
      </c>
      <c r="P118" s="5">
        <f t="shared" si="43"/>
        <v>1.3043478260869565</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JSWENERGY</v>
      </c>
      <c r="C119" s="4">
        <f>VLOOKUP($B119,'Data shares'!$C:$FB,7)</f>
        <v>531.75</v>
      </c>
      <c r="D119" s="82">
        <f>VLOOKUP($B119,'Data shares'!$C:$FB,98)</f>
        <v>50198000</v>
      </c>
      <c r="E119" s="165">
        <f>VLOOKUP(B119,'Snapshot (Volume)'!$A$7:$G$168,7,0)</f>
        <v>48804000</v>
      </c>
      <c r="F119" s="165">
        <f t="shared" si="40"/>
        <v>1394000</v>
      </c>
      <c r="G119" s="166">
        <f t="shared" si="41"/>
        <v>2.8563232521924432E-2</v>
      </c>
      <c r="H119" s="165">
        <f>VLOOKUP($B119,'Data shares'!$C:$FB,66)</f>
        <v>11102000</v>
      </c>
      <c r="I119" s="165">
        <f>VLOOKUP($B119,'Data shares'!$C:$FB,67)</f>
        <v>6921000</v>
      </c>
      <c r="J119" s="81">
        <f t="shared" si="42"/>
        <v>60.410345325819968</v>
      </c>
      <c r="K119" s="5">
        <f>VLOOKUP($B119,'Data Vlaue (Cr)'!$C:$FB,99)</f>
        <v>2678</v>
      </c>
      <c r="L119" s="81">
        <f>VLOOKUP(B119,'OI(Value)'!$A$7:$C$209,3,0)</f>
        <v>74</v>
      </c>
      <c r="M119" s="33">
        <f t="shared" si="31"/>
        <v>2.7632561613144135</v>
      </c>
      <c r="N119" s="5">
        <f>VLOOKUP($B119,'Data Vlaue (Cr)'!$C:$FB,67)</f>
        <v>592</v>
      </c>
      <c r="O119" s="5">
        <f>VLOOKUP($B119,'Data Vlaue (Cr)'!$C:$FB,68)</f>
        <v>369</v>
      </c>
      <c r="P119" s="5">
        <f t="shared" si="43"/>
        <v>37.668918918918919</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Metals</v>
      </c>
      <c r="B120" s="79" t="str">
        <f>'Data shares'!C115</f>
        <v>JSWSTEEL</v>
      </c>
      <c r="C120" s="4">
        <f>VLOOKUP($B120,'Data shares'!$C:$FB,7)</f>
        <v>1082.5999999999999</v>
      </c>
      <c r="D120" s="82">
        <f>VLOOKUP($B120,'Data shares'!$C:$FB,98)</f>
        <v>56536650</v>
      </c>
      <c r="E120" s="165">
        <f>VLOOKUP(B120,'Snapshot (Volume)'!$A$7:$G$168,7,0)</f>
        <v>55183275</v>
      </c>
      <c r="F120" s="165">
        <f t="shared" si="40"/>
        <v>1353375</v>
      </c>
      <c r="G120" s="166">
        <f t="shared" si="41"/>
        <v>2.4525093880346897E-2</v>
      </c>
      <c r="H120" s="165">
        <f>VLOOKUP($B120,'Data shares'!$C:$FB,66)</f>
        <v>28533600</v>
      </c>
      <c r="I120" s="165">
        <f>VLOOKUP($B120,'Data shares'!$C:$FB,67)</f>
        <v>26773875</v>
      </c>
      <c r="J120" s="81">
        <f t="shared" si="42"/>
        <v>6.5725450649186943</v>
      </c>
      <c r="K120" s="5">
        <f>VLOOKUP($B120,'Data Vlaue (Cr)'!$C:$FB,99)</f>
        <v>6140</v>
      </c>
      <c r="L120" s="81">
        <f>VLOOKUP(B120,'OI(Value)'!$A$7:$C$209,3,0)</f>
        <v>147</v>
      </c>
      <c r="M120" s="33">
        <f t="shared" si="31"/>
        <v>2.3941368078175898</v>
      </c>
      <c r="N120" s="5">
        <f>VLOOKUP($B120,'Data Vlaue (Cr)'!$C:$FB,67)</f>
        <v>3099</v>
      </c>
      <c r="O120" s="5">
        <f>VLOOKUP($B120,'Data Vlaue (Cr)'!$C:$FB,68)</f>
        <v>2908</v>
      </c>
      <c r="P120" s="5">
        <f t="shared" si="43"/>
        <v>6.1632784769280411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JUBLFOOD</v>
      </c>
      <c r="C121" s="4">
        <f>VLOOKUP($B121,'Data shares'!$C:$FB,7)</f>
        <v>634.20000000000005</v>
      </c>
      <c r="D121" s="82">
        <f>VLOOKUP($B121,'Data shares'!$C:$FB,98)</f>
        <v>37483750</v>
      </c>
      <c r="E121" s="165">
        <f>VLOOKUP(B121,'Snapshot (Volume)'!$A$7:$G$168,7,0)</f>
        <v>37431250</v>
      </c>
      <c r="F121" s="165">
        <f t="shared" si="40"/>
        <v>52500</v>
      </c>
      <c r="G121" s="166">
        <f t="shared" si="41"/>
        <v>1.4025713808649191E-3</v>
      </c>
      <c r="H121" s="165">
        <f>VLOOKUP($B121,'Data shares'!$C:$FB,66)</f>
        <v>9443750</v>
      </c>
      <c r="I121" s="165">
        <f>VLOOKUP($B121,'Data shares'!$C:$FB,67)</f>
        <v>18561250</v>
      </c>
      <c r="J121" s="81">
        <f t="shared" si="42"/>
        <v>-49.121152939591894</v>
      </c>
      <c r="K121" s="5">
        <f>VLOOKUP($B121,'Data Vlaue (Cr)'!$C:$FB,99)</f>
        <v>2384</v>
      </c>
      <c r="L121" s="81">
        <f>VLOOKUP(B121,'OI(Value)'!$A$7:$C$209,3,0)</f>
        <v>3</v>
      </c>
      <c r="M121" s="33">
        <f t="shared" si="31"/>
        <v>0.12583892617449663</v>
      </c>
      <c r="N121" s="5">
        <f>VLOOKUP($B121,'Data Vlaue (Cr)'!$C:$FB,67)</f>
        <v>601</v>
      </c>
      <c r="O121" s="5">
        <f>VLOOKUP($B121,'Data Vlaue (Cr)'!$C:$FB,68)</f>
        <v>1180</v>
      </c>
      <c r="P121" s="5">
        <f t="shared" si="43"/>
        <v>-96.339434276206333</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FMCG</v>
      </c>
      <c r="B122" s="79" t="str">
        <f>'Data shares'!C117</f>
        <v>KALYANKJIL</v>
      </c>
      <c r="C122" s="4">
        <f>VLOOKUP($B122,'Data shares'!$C:$FB,7)</f>
        <v>510.6</v>
      </c>
      <c r="D122" s="82">
        <f>VLOOKUP($B122,'Data shares'!$C:$FB,98)</f>
        <v>72647900</v>
      </c>
      <c r="E122" s="165">
        <f>VLOOKUP(B122,'Snapshot (Volume)'!$A$7:$G$168,7,0)</f>
        <v>70434200</v>
      </c>
      <c r="F122" s="165">
        <f t="shared" si="40"/>
        <v>2213700</v>
      </c>
      <c r="G122" s="166">
        <f t="shared" si="41"/>
        <v>3.1429334045108767E-2</v>
      </c>
      <c r="H122" s="165">
        <f>VLOOKUP($B122,'Data shares'!$C:$FB,66)</f>
        <v>91829775</v>
      </c>
      <c r="I122" s="165">
        <f>VLOOKUP($B122,'Data shares'!$C:$FB,67)</f>
        <v>82488525</v>
      </c>
      <c r="J122" s="81">
        <f t="shared" si="42"/>
        <v>11.324302380240161</v>
      </c>
      <c r="K122" s="5">
        <f>VLOOKUP($B122,'Data Vlaue (Cr)'!$C:$FB,99)</f>
        <v>3714</v>
      </c>
      <c r="L122" s="81">
        <f>VLOOKUP(B122,'OI(Value)'!$A$7:$C$209,3,0)</f>
        <v>113</v>
      </c>
      <c r="M122" s="33">
        <f t="shared" si="31"/>
        <v>3.0425417339795366</v>
      </c>
      <c r="N122" s="5">
        <f>VLOOKUP($B122,'Data Vlaue (Cr)'!$C:$FB,67)</f>
        <v>4695</v>
      </c>
      <c r="O122" s="5">
        <f>VLOOKUP($B122,'Data Vlaue (Cr)'!$C:$FB,68)</f>
        <v>4217</v>
      </c>
      <c r="P122" s="5">
        <f t="shared" si="43"/>
        <v>10.181043663471778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Capital_Goods</v>
      </c>
      <c r="B123" s="79" t="str">
        <f>'Data shares'!C118</f>
        <v>KAYNES</v>
      </c>
      <c r="C123" s="4">
        <f>VLOOKUP($B123,'Data shares'!$C:$FB,7)</f>
        <v>6200.5</v>
      </c>
      <c r="D123" s="82">
        <f>VLOOKUP($B123,'Data shares'!$C:$FB,98)</f>
        <v>2407900</v>
      </c>
      <c r="E123" s="165">
        <f>VLOOKUP(B123,'Snapshot (Volume)'!$A$7:$G$168,7,0)</f>
        <v>2321500</v>
      </c>
      <c r="F123" s="165">
        <f t="shared" si="40"/>
        <v>86400</v>
      </c>
      <c r="G123" s="166">
        <f t="shared" si="41"/>
        <v>3.7217316390264918E-2</v>
      </c>
      <c r="H123" s="165">
        <f>VLOOKUP($B123,'Data shares'!$C:$FB,66)</f>
        <v>1954100</v>
      </c>
      <c r="I123" s="165">
        <f>VLOOKUP($B123,'Data shares'!$C:$FB,67)</f>
        <v>2093500</v>
      </c>
      <c r="J123" s="81">
        <f t="shared" si="42"/>
        <v>-6.6587055170766654</v>
      </c>
      <c r="K123" s="5">
        <f>VLOOKUP($B123,'Data Vlaue (Cr)'!$C:$FB,99)</f>
        <v>1497</v>
      </c>
      <c r="L123" s="81">
        <f>VLOOKUP(B123,'OI(Value)'!$A$7:$C$209,3,0)</f>
        <v>54</v>
      </c>
      <c r="M123" s="33">
        <f t="shared" ref="M123:M144" si="44">L123/K123*100</f>
        <v>3.6072144288577155</v>
      </c>
      <c r="N123" s="5">
        <f>VLOOKUP($B123,'Data Vlaue (Cr)'!$C:$FB,67)</f>
        <v>1215</v>
      </c>
      <c r="O123" s="5">
        <f>VLOOKUP($B123,'Data Vlaue (Cr)'!$C:$FB,68)</f>
        <v>1302</v>
      </c>
      <c r="P123" s="5">
        <f t="shared" si="43"/>
        <v>-7.1604938271604937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Power</v>
      </c>
      <c r="B124" s="79" t="str">
        <f>'Data shares'!C119</f>
        <v>KEI</v>
      </c>
      <c r="C124" s="4">
        <f>VLOOKUP($B124,'Data shares'!$C:$FB,7)</f>
        <v>3986.4</v>
      </c>
      <c r="D124" s="82">
        <f>VLOOKUP($B124,'Data shares'!$C:$FB,98)</f>
        <v>2041200</v>
      </c>
      <c r="E124" s="165">
        <f>VLOOKUP(B124,'Snapshot (Volume)'!$A$7:$G$168,7,0)</f>
        <v>1917125</v>
      </c>
      <c r="F124" s="165">
        <f t="shared" si="40"/>
        <v>124075</v>
      </c>
      <c r="G124" s="166">
        <f t="shared" si="41"/>
        <v>6.4719306252852576E-2</v>
      </c>
      <c r="H124" s="165">
        <f>VLOOKUP($B124,'Data shares'!$C:$FB,66)</f>
        <v>4120725</v>
      </c>
      <c r="I124" s="165">
        <f>VLOOKUP($B124,'Data shares'!$C:$FB,67)</f>
        <v>2007775</v>
      </c>
      <c r="J124" s="81">
        <f t="shared" si="42"/>
        <v>105.23838577529854</v>
      </c>
      <c r="K124" s="5">
        <f>VLOOKUP($B124,'Data Vlaue (Cr)'!$C:$FB,99)</f>
        <v>814</v>
      </c>
      <c r="L124" s="81">
        <f>VLOOKUP(B124,'OI(Value)'!$A$7:$C$209,3,0)</f>
        <v>49</v>
      </c>
      <c r="M124" s="33">
        <f t="shared" si="44"/>
        <v>6.0196560196560194</v>
      </c>
      <c r="N124" s="5">
        <f>VLOOKUP($B124,'Data Vlaue (Cr)'!$C:$FB,67)</f>
        <v>1643</v>
      </c>
      <c r="O124" s="5">
        <f>VLOOKUP($B124,'Data Vlaue (Cr)'!$C:$FB,68)</f>
        <v>801</v>
      </c>
      <c r="P124" s="5">
        <f t="shared" si="43"/>
        <v>51.247717589774801</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KFINTECH</v>
      </c>
      <c r="C125" s="4">
        <f>VLOOKUP($B125,'Data shares'!$C:$FB,7)</f>
        <v>1115.8</v>
      </c>
      <c r="D125" s="82">
        <f>VLOOKUP($B125,'Data shares'!$C:$FB,98)</f>
        <v>3725100</v>
      </c>
      <c r="E125" s="165">
        <f>VLOOKUP(B125,'Snapshot (Volume)'!$A$7:$G$168,7,0)</f>
        <v>3529350</v>
      </c>
      <c r="F125" s="165">
        <f t="shared" si="40"/>
        <v>195750</v>
      </c>
      <c r="G125" s="166">
        <f t="shared" si="41"/>
        <v>5.5463470610735685E-2</v>
      </c>
      <c r="H125" s="165">
        <f>VLOOKUP($B125,'Data shares'!$C:$FB,66)</f>
        <v>2022300</v>
      </c>
      <c r="I125" s="165">
        <f>VLOOKUP($B125,'Data shares'!$C:$FB,67)</f>
        <v>2493450</v>
      </c>
      <c r="J125" s="81">
        <f t="shared" si="42"/>
        <v>-18.895506226312939</v>
      </c>
      <c r="K125" s="5">
        <f>VLOOKUP($B125,'Data Vlaue (Cr)'!$C:$FB,99)</f>
        <v>414</v>
      </c>
      <c r="L125" s="81">
        <f>VLOOKUP(B125,'OI(Value)'!$A$7:$C$209,3,0)</f>
        <v>22</v>
      </c>
      <c r="M125" s="33">
        <f t="shared" si="44"/>
        <v>5.3140096618357484</v>
      </c>
      <c r="N125" s="5">
        <f>VLOOKUP($B125,'Data Vlaue (Cr)'!$C:$FB,67)</f>
        <v>225</v>
      </c>
      <c r="O125" s="5">
        <f>VLOOKUP($B125,'Data Vlaue (Cr)'!$C:$FB,68)</f>
        <v>277</v>
      </c>
      <c r="P125" s="5">
        <f t="shared" si="43"/>
        <v>-23.111111111111111</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Banking</v>
      </c>
      <c r="B126" s="79" t="str">
        <f>'Data shares'!C121</f>
        <v>KOTAKBANK</v>
      </c>
      <c r="C126" s="4">
        <f>VLOOKUP($B126,'Data shares'!$C:$FB,7)</f>
        <v>2017.5</v>
      </c>
      <c r="D126" s="82">
        <f>VLOOKUP($B126,'Data shares'!$C:$FB,98)</f>
        <v>47134400</v>
      </c>
      <c r="E126" s="165">
        <f>VLOOKUP(B126,'Snapshot (Volume)'!$A$7:$G$168,7,0)</f>
        <v>47187600</v>
      </c>
      <c r="F126" s="165">
        <f t="shared" si="40"/>
        <v>-53200</v>
      </c>
      <c r="G126" s="166">
        <f t="shared" si="41"/>
        <v>-1.127414829319567E-3</v>
      </c>
      <c r="H126" s="165">
        <f>VLOOKUP($B126,'Data shares'!$C:$FB,66)</f>
        <v>13440400</v>
      </c>
      <c r="I126" s="165">
        <f>VLOOKUP($B126,'Data shares'!$C:$FB,67)</f>
        <v>22498400</v>
      </c>
      <c r="J126" s="81">
        <f t="shared" si="42"/>
        <v>-40.260640756676032</v>
      </c>
      <c r="K126" s="5">
        <f>VLOOKUP($B126,'Data Vlaue (Cr)'!$C:$FB,99)</f>
        <v>9517</v>
      </c>
      <c r="L126" s="81">
        <f>VLOOKUP(B126,'OI(Value)'!$A$7:$C$209,3,0)</f>
        <v>-11</v>
      </c>
      <c r="M126" s="33">
        <f t="shared" si="44"/>
        <v>-0.11558264158873595</v>
      </c>
      <c r="N126" s="5">
        <f>VLOOKUP($B126,'Data Vlaue (Cr)'!$C:$FB,67)</f>
        <v>2714</v>
      </c>
      <c r="O126" s="5">
        <f>VLOOKUP($B126,'Data Vlaue (Cr)'!$C:$FB,68)</f>
        <v>4543</v>
      </c>
      <c r="P126" s="5">
        <f t="shared" si="43"/>
        <v>-67.391304347826093</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Technology</v>
      </c>
      <c r="B127" s="79" t="str">
        <f>'Data shares'!C122</f>
        <v>KPITTECH</v>
      </c>
      <c r="C127" s="4">
        <f>VLOOKUP($B127,'Data shares'!$C:$FB,7)</f>
        <v>1214.5999999999999</v>
      </c>
      <c r="D127" s="82">
        <f>VLOOKUP($B127,'Data shares'!$C:$FB,98)</f>
        <v>9710000</v>
      </c>
      <c r="E127" s="165">
        <f>VLOOKUP(B127,'Snapshot (Volume)'!$A$7:$G$168,7,0)</f>
        <v>9623200</v>
      </c>
      <c r="F127" s="165">
        <f>D127-E127</f>
        <v>86800</v>
      </c>
      <c r="G127" s="166">
        <f>F127/E127</f>
        <v>9.019868650760661E-3</v>
      </c>
      <c r="H127" s="165">
        <f>VLOOKUP($B127,'Data shares'!$C:$FB,66)</f>
        <v>5985200</v>
      </c>
      <c r="I127" s="165">
        <f>VLOOKUP($B127,'Data shares'!$C:$FB,67)</f>
        <v>5182400</v>
      </c>
      <c r="J127" s="81">
        <f>(H127-I127)/I127*100</f>
        <v>15.49089225069466</v>
      </c>
      <c r="K127" s="5">
        <f>VLOOKUP($B127,'Data Vlaue (Cr)'!$C:$FB,99)</f>
        <v>1182</v>
      </c>
      <c r="L127" s="81">
        <f>VLOOKUP(B127,'OI(Value)'!$A$7:$C$209,3,0)</f>
        <v>11</v>
      </c>
      <c r="M127" s="33">
        <f t="shared" si="44"/>
        <v>0.93062605752961081</v>
      </c>
      <c r="N127" s="5">
        <f>VLOOKUP($B127,'Data Vlaue (Cr)'!$C:$FB,67)</f>
        <v>729</v>
      </c>
      <c r="O127" s="5">
        <f>VLOOKUP($B127,'Data Vlaue (Cr)'!$C:$FB,68)</f>
        <v>631</v>
      </c>
      <c r="P127" s="5">
        <f>(N127-O127)/N127*100</f>
        <v>13.443072702331962</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LAURUSLABS</v>
      </c>
      <c r="C128" s="4">
        <f>VLOOKUP($B128,'Data shares'!$C:$FB,7)</f>
        <v>876.05</v>
      </c>
      <c r="D128" s="82">
        <f>VLOOKUP($B128,'Data shares'!$C:$FB,98)</f>
        <v>39827600</v>
      </c>
      <c r="E128" s="165">
        <f>VLOOKUP(B128,'Snapshot (Volume)'!$A$7:$G$168,7,0)</f>
        <v>39023500</v>
      </c>
      <c r="F128" s="165">
        <f>D128-E128</f>
        <v>804100</v>
      </c>
      <c r="G128" s="166">
        <f>F128/E128</f>
        <v>2.0605532563711608E-2</v>
      </c>
      <c r="H128" s="165">
        <f>VLOOKUP($B128,'Data shares'!$C:$FB,66)</f>
        <v>25726100</v>
      </c>
      <c r="I128" s="165">
        <f>VLOOKUP($B128,'Data shares'!$C:$FB,67)</f>
        <v>33620900</v>
      </c>
      <c r="J128" s="81">
        <f>(H128-I128)/I128*100</f>
        <v>-23.481822318855237</v>
      </c>
      <c r="K128" s="5">
        <f>VLOOKUP($B128,'Data Vlaue (Cr)'!$C:$FB,99)</f>
        <v>3491</v>
      </c>
      <c r="L128" s="81">
        <f>VLOOKUP(B128,'OI(Value)'!$A$7:$C$209,3,0)</f>
        <v>70</v>
      </c>
      <c r="M128" s="33">
        <f t="shared" si="44"/>
        <v>2.005156115726153</v>
      </c>
      <c r="N128" s="5">
        <f>VLOOKUP($B128,'Data Vlaue (Cr)'!$C:$FB,67)</f>
        <v>2255</v>
      </c>
      <c r="O128" s="5">
        <f>VLOOKUP($B128,'Data Vlaue (Cr)'!$C:$FB,68)</f>
        <v>2947</v>
      </c>
      <c r="P128" s="5">
        <f>(N128-O128)/N128*100</f>
        <v>-30.687361419068736</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Finance</v>
      </c>
      <c r="B129" s="79" t="str">
        <f>'Data shares'!C124</f>
        <v>LICHSGFIN</v>
      </c>
      <c r="C129" s="4">
        <f>VLOOKUP($B129,'Data shares'!$C:$FB,7)</f>
        <v>580.1</v>
      </c>
      <c r="D129" s="82">
        <f>VLOOKUP($B129,'Data shares'!$C:$FB,98)</f>
        <v>51902000</v>
      </c>
      <c r="E129" s="165">
        <f>VLOOKUP(B129,'Snapshot (Volume)'!$A$7:$G$168,7,0)</f>
        <v>53517000</v>
      </c>
      <c r="F129" s="165">
        <f>D129-E129</f>
        <v>-1615000</v>
      </c>
      <c r="G129" s="166">
        <f>F129/E129</f>
        <v>-3.0177326830726686E-2</v>
      </c>
      <c r="H129" s="165">
        <f>VLOOKUP($B129,'Data shares'!$C:$FB,66)</f>
        <v>17146000</v>
      </c>
      <c r="I129" s="165">
        <f>VLOOKUP($B129,'Data shares'!$C:$FB,67)</f>
        <v>29222000</v>
      </c>
      <c r="J129" s="81">
        <f>(H129-I129)/I129*100</f>
        <v>-41.32502908767367</v>
      </c>
      <c r="K129" s="5">
        <f>VLOOKUP($B129,'Data Vlaue (Cr)'!$C:$FB,99)</f>
        <v>2970</v>
      </c>
      <c r="L129" s="81">
        <f>VLOOKUP(B129,'OI(Value)'!$A$7:$C$209,3,0)</f>
        <v>-92</v>
      </c>
      <c r="M129" s="33">
        <f t="shared" si="44"/>
        <v>-3.0976430976430978</v>
      </c>
      <c r="N129" s="5">
        <f>VLOOKUP($B129,'Data Vlaue (Cr)'!$C:$FB,67)</f>
        <v>981</v>
      </c>
      <c r="O129" s="5">
        <f>VLOOKUP($B129,'Data Vlaue (Cr)'!$C:$FB,68)</f>
        <v>1672</v>
      </c>
      <c r="P129" s="5">
        <f>(N129-O129)/N129*100</f>
        <v>-70.438328236493376</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Finance</v>
      </c>
      <c r="B130" s="79" t="str">
        <f>'Data shares'!C125</f>
        <v>LICI</v>
      </c>
      <c r="C130" s="4">
        <f>VLOOKUP($B130,'Data shares'!$C:$FB,7)</f>
        <v>899.35</v>
      </c>
      <c r="D130" s="82">
        <f>VLOOKUP($B130,'Data shares'!$C:$FB,98)</f>
        <v>16210600</v>
      </c>
      <c r="E130" s="165">
        <f>VLOOKUP(B130,'Snapshot (Volume)'!$A$7:$G$168,7,0)</f>
        <v>16062200</v>
      </c>
      <c r="F130" s="165">
        <f>D130-E130</f>
        <v>148400</v>
      </c>
      <c r="G130" s="166">
        <f>F130/E130</f>
        <v>9.2390830645864199E-3</v>
      </c>
      <c r="H130" s="165">
        <f>VLOOKUP($B130,'Data shares'!$C:$FB,66)</f>
        <v>7380100</v>
      </c>
      <c r="I130" s="165">
        <f>VLOOKUP($B130,'Data shares'!$C:$FB,67)</f>
        <v>12280800</v>
      </c>
      <c r="J130" s="81">
        <f>(H130-I130)/I130*100</f>
        <v>-39.905380756953946</v>
      </c>
      <c r="K130" s="5">
        <f>VLOOKUP($B130,'Data Vlaue (Cr)'!$C:$FB,99)</f>
        <v>1461</v>
      </c>
      <c r="L130" s="81">
        <f>VLOOKUP(B130,'OI(Value)'!$A$7:$C$209,3,0)</f>
        <v>13</v>
      </c>
      <c r="M130" s="33">
        <f t="shared" si="44"/>
        <v>0.88980150581793294</v>
      </c>
      <c r="N130" s="5">
        <f>VLOOKUP($B130,'Data Vlaue (Cr)'!$C:$FB,67)</f>
        <v>665</v>
      </c>
      <c r="O130" s="5">
        <f>VLOOKUP($B130,'Data Vlaue (Cr)'!$C:$FB,68)</f>
        <v>1107</v>
      </c>
      <c r="P130" s="5">
        <f>(N130-O130)/N130*100</f>
        <v>-66.466165413533844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Realty</v>
      </c>
      <c r="B131" s="79" t="str">
        <f>'Data shares'!C126</f>
        <v>LODHA</v>
      </c>
      <c r="C131" s="4">
        <f>VLOOKUP($B131,'Data shares'!$C:$FB,7)</f>
        <v>1300</v>
      </c>
      <c r="D131" s="82">
        <f>VLOOKUP($B131,'Data shares'!$C:$FB,98)</f>
        <v>12225150</v>
      </c>
      <c r="E131" s="165">
        <f>VLOOKUP(B131,'Snapshot (Volume)'!$A$7:$G$168,7,0)</f>
        <v>12196800</v>
      </c>
      <c r="F131" s="165">
        <f>D131-E131</f>
        <v>28350</v>
      </c>
      <c r="G131" s="166">
        <f>F131/E131</f>
        <v>2.3243801652892563E-3</v>
      </c>
      <c r="H131" s="165">
        <f>VLOOKUP($B131,'Data shares'!$C:$FB,66)</f>
        <v>17132400</v>
      </c>
      <c r="I131" s="165">
        <f>VLOOKUP($B131,'Data shares'!$C:$FB,67)</f>
        <v>4587750</v>
      </c>
      <c r="J131" s="81">
        <f>(H131-I131)/I131*100</f>
        <v>273.43795978420798</v>
      </c>
      <c r="K131" s="5">
        <f>VLOOKUP($B131,'Data Vlaue (Cr)'!$C:$FB,99)</f>
        <v>1584</v>
      </c>
      <c r="L131" s="81">
        <f>VLOOKUP(B131,'OI(Value)'!$A$7:$C$209,3,0)</f>
        <v>4</v>
      </c>
      <c r="M131" s="33">
        <f t="shared" si="44"/>
        <v>0.25252525252525254</v>
      </c>
      <c r="N131" s="5">
        <f>VLOOKUP($B131,'Data Vlaue (Cr)'!$C:$FB,67)</f>
        <v>2220</v>
      </c>
      <c r="O131" s="5">
        <f>VLOOKUP($B131,'Data Vlaue (Cr)'!$C:$FB,68)</f>
        <v>594</v>
      </c>
      <c r="P131" s="5">
        <f>(N131-O131)/N131*100</f>
        <v>73.243243243243242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Capital_Goods</v>
      </c>
      <c r="B132" s="79" t="str">
        <f>'Data shares'!C127</f>
        <v>LT</v>
      </c>
      <c r="C132" s="79">
        <f>VLOOKUP($B132,'Data shares'!$C:$FB,7)</f>
        <v>3592.3</v>
      </c>
      <c r="D132" s="165">
        <f>VLOOKUP($B132,'Data shares'!$C:$FB,98)</f>
        <v>24609725</v>
      </c>
      <c r="E132" s="165">
        <f>VLOOKUP(B132,'Snapshot (Volume)'!$A$7:$G$168,7,0)</f>
        <v>23446500</v>
      </c>
      <c r="F132" s="165">
        <f t="shared" ref="F132:F139" si="45">D132-E132</f>
        <v>1163225</v>
      </c>
      <c r="G132" s="166">
        <f t="shared" ref="G132:G139" si="46">F132/E132</f>
        <v>4.9611882370503062E-2</v>
      </c>
      <c r="H132" s="165">
        <f>VLOOKUP($B132,'Data shares'!$C:$FB,66)</f>
        <v>15168475</v>
      </c>
      <c r="I132" s="165">
        <f>VLOOKUP($B132,'Data shares'!$C:$FB,67)</f>
        <v>9083375</v>
      </c>
      <c r="J132" s="81">
        <f t="shared" ref="J132:J139" si="47">(H132-I132)/I132*100</f>
        <v>66.991619304498613</v>
      </c>
      <c r="K132" s="81">
        <f>VLOOKUP($B132,'Data Vlaue (Cr)'!$C:$FB,99)</f>
        <v>8848</v>
      </c>
      <c r="L132" s="81">
        <f>VLOOKUP(B132,'OI(Value)'!$A$7:$C$209,3,0)</f>
        <v>418</v>
      </c>
      <c r="M132" s="81">
        <f t="shared" si="44"/>
        <v>4.7242314647377937</v>
      </c>
      <c r="N132" s="81">
        <f>VLOOKUP($B132,'Data Vlaue (Cr)'!$C:$FB,67)</f>
        <v>5454</v>
      </c>
      <c r="O132" s="81">
        <f>VLOOKUP($B132,'Data Vlaue (Cr)'!$C:$FB,68)</f>
        <v>3266</v>
      </c>
      <c r="P132" s="81">
        <f t="shared" ref="P132:P139" si="48">(N132-O132)/N132*100</f>
        <v>40.117345067840112</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Finance</v>
      </c>
      <c r="B133" s="79" t="str">
        <f>'Data shares'!C128</f>
        <v>LTF</v>
      </c>
      <c r="C133" s="79">
        <f>VLOOKUP($B133,'Data shares'!$C:$FB,7)</f>
        <v>216.53</v>
      </c>
      <c r="D133" s="165">
        <f>VLOOKUP($B133,'Data shares'!$C:$FB,98)</f>
        <v>105245194</v>
      </c>
      <c r="E133" s="165">
        <f>VLOOKUP(B133,'Snapshot (Volume)'!$A$7:$G$168,7,0)</f>
        <v>106164366</v>
      </c>
      <c r="F133" s="165">
        <f t="shared" si="45"/>
        <v>-919172</v>
      </c>
      <c r="G133" s="166">
        <f t="shared" si="46"/>
        <v>-8.658008658008658E-3</v>
      </c>
      <c r="H133" s="165">
        <f>VLOOKUP($B133,'Data shares'!$C:$FB,66)</f>
        <v>45324996</v>
      </c>
      <c r="I133" s="165">
        <f>VLOOKUP($B133,'Data shares'!$C:$FB,67)</f>
        <v>137786560</v>
      </c>
      <c r="J133" s="81">
        <f t="shared" si="47"/>
        <v>-67.104922279792746</v>
      </c>
      <c r="K133" s="81">
        <f>VLOOKUP($B133,'Data Vlaue (Cr)'!$C:$FB,99)</f>
        <v>2278</v>
      </c>
      <c r="L133" s="81">
        <f>VLOOKUP(B133,'OI(Value)'!$A$7:$C$209,3,0)</f>
        <v>-20</v>
      </c>
      <c r="M133" s="81">
        <f t="shared" si="44"/>
        <v>-0.87796312554872702</v>
      </c>
      <c r="N133" s="81">
        <f>VLOOKUP($B133,'Data Vlaue (Cr)'!$C:$FB,67)</f>
        <v>981</v>
      </c>
      <c r="O133" s="81">
        <f>VLOOKUP($B133,'Data Vlaue (Cr)'!$C:$FB,68)</f>
        <v>2982</v>
      </c>
      <c r="P133" s="81">
        <f t="shared" si="48"/>
        <v>-203.97553516819573</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Technology</v>
      </c>
      <c r="B134" s="79" t="str">
        <f>'Data shares'!C129</f>
        <v>LTIM</v>
      </c>
      <c r="C134" s="4">
        <f>VLOOKUP($B134,'Data shares'!$C:$FB,7)</f>
        <v>5180.5</v>
      </c>
      <c r="D134" s="82">
        <f>VLOOKUP($B134,'Data shares'!$C:$FB,98)</f>
        <v>4228050</v>
      </c>
      <c r="E134" s="165">
        <f>VLOOKUP(B134,'Snapshot (Volume)'!$A$7:$G$168,7,0)</f>
        <v>4302300</v>
      </c>
      <c r="F134" s="165">
        <f t="shared" si="45"/>
        <v>-74250</v>
      </c>
      <c r="G134" s="166">
        <f t="shared" si="46"/>
        <v>-1.7258210724496199E-2</v>
      </c>
      <c r="H134" s="165">
        <f>VLOOKUP($B134,'Data shares'!$C:$FB,66)</f>
        <v>4501350</v>
      </c>
      <c r="I134" s="165">
        <f>VLOOKUP($B134,'Data shares'!$C:$FB,67)</f>
        <v>2177400</v>
      </c>
      <c r="J134" s="81">
        <f t="shared" si="47"/>
        <v>106.73050427114907</v>
      </c>
      <c r="K134" s="5">
        <f>VLOOKUP($B134,'Data Vlaue (Cr)'!$C:$FB,99)</f>
        <v>2196</v>
      </c>
      <c r="L134" s="81">
        <f>VLOOKUP(B134,'OI(Value)'!$A$7:$C$209,3,0)</f>
        <v>-39</v>
      </c>
      <c r="M134" s="33">
        <f t="shared" si="44"/>
        <v>-1.7759562841530054</v>
      </c>
      <c r="N134" s="5">
        <f>VLOOKUP($B134,'Data Vlaue (Cr)'!$C:$FB,67)</f>
        <v>2338</v>
      </c>
      <c r="O134" s="5">
        <f>VLOOKUP($B134,'Data Vlaue (Cr)'!$C:$FB,68)</f>
        <v>1131</v>
      </c>
      <c r="P134" s="5">
        <f t="shared" si="48"/>
        <v>51.625320786997428</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LUPIN</v>
      </c>
      <c r="C135" s="4">
        <f>VLOOKUP($B135,'Data shares'!$C:$FB,7)</f>
        <v>1940.3</v>
      </c>
      <c r="D135" s="82">
        <f>VLOOKUP($B135,'Data shares'!$C:$FB,98)</f>
        <v>17628150</v>
      </c>
      <c r="E135" s="165">
        <f>VLOOKUP(B135,'Snapshot (Volume)'!$A$7:$G$168,7,0)</f>
        <v>17323850</v>
      </c>
      <c r="F135" s="165">
        <f t="shared" si="45"/>
        <v>304300</v>
      </c>
      <c r="G135" s="166">
        <f t="shared" si="46"/>
        <v>1.7565379520141308E-2</v>
      </c>
      <c r="H135" s="165">
        <f>VLOOKUP($B135,'Data shares'!$C:$FB,66)</f>
        <v>6382650</v>
      </c>
      <c r="I135" s="165">
        <f>VLOOKUP($B135,'Data shares'!$C:$FB,67)</f>
        <v>4692425</v>
      </c>
      <c r="J135" s="81">
        <f t="shared" si="47"/>
        <v>36.020288017389731</v>
      </c>
      <c r="K135" s="5">
        <f>VLOOKUP($B135,'Data Vlaue (Cr)'!$C:$FB,99)</f>
        <v>3428</v>
      </c>
      <c r="L135" s="81">
        <f>VLOOKUP(B135,'OI(Value)'!$A$7:$C$209,3,0)</f>
        <v>59</v>
      </c>
      <c r="M135" s="33">
        <f t="shared" si="44"/>
        <v>1.7211201866977828</v>
      </c>
      <c r="N135" s="5">
        <f>VLOOKUP($B135,'Data Vlaue (Cr)'!$C:$FB,67)</f>
        <v>1241</v>
      </c>
      <c r="O135" s="5">
        <f>VLOOKUP($B135,'Data Vlaue (Cr)'!$C:$FB,68)</f>
        <v>912</v>
      </c>
      <c r="P135" s="5">
        <f t="shared" si="48"/>
        <v>26.510878323932314</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Automobile</v>
      </c>
      <c r="B136" s="79" t="str">
        <f>'Data shares'!C131</f>
        <v>M&amp;M</v>
      </c>
      <c r="C136" s="4">
        <f>VLOOKUP($B136,'Data shares'!$C:$FB,7)</f>
        <v>3395.6</v>
      </c>
      <c r="D136" s="82">
        <f>VLOOKUP($B136,'Data shares'!$C:$FB,98)</f>
        <v>32555800</v>
      </c>
      <c r="E136" s="165">
        <f>VLOOKUP(B136,'Snapshot (Volume)'!$A$7:$G$168,7,0)</f>
        <v>32220800</v>
      </c>
      <c r="F136" s="165">
        <f t="shared" si="45"/>
        <v>335000</v>
      </c>
      <c r="G136" s="166">
        <f t="shared" si="46"/>
        <v>1.0397010626675937E-2</v>
      </c>
      <c r="H136" s="165">
        <f>VLOOKUP($B136,'Data shares'!$C:$FB,66)</f>
        <v>18444600</v>
      </c>
      <c r="I136" s="165">
        <f>VLOOKUP($B136,'Data shares'!$C:$FB,67)</f>
        <v>26685400</v>
      </c>
      <c r="J136" s="81">
        <f t="shared" si="47"/>
        <v>-30.881305882617461</v>
      </c>
      <c r="K136" s="5">
        <f>VLOOKUP($B136,'Data Vlaue (Cr)'!$C:$FB,99)</f>
        <v>11057</v>
      </c>
      <c r="L136" s="81">
        <f>VLOOKUP(B136,'OI(Value)'!$A$7:$C$209,3,0)</f>
        <v>114</v>
      </c>
      <c r="M136" s="33">
        <f t="shared" si="44"/>
        <v>1.0310210726236773</v>
      </c>
      <c r="N136" s="5">
        <f>VLOOKUP($B136,'Data Vlaue (Cr)'!$C:$FB,67)</f>
        <v>6264</v>
      </c>
      <c r="O136" s="5">
        <f>VLOOKUP($B136,'Data Vlaue (Cr)'!$C:$FB,68)</f>
        <v>9063</v>
      </c>
      <c r="P136" s="5">
        <f t="shared" si="48"/>
        <v>-44.683908045977013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MANAPPURAM</v>
      </c>
      <c r="C137" s="4">
        <f>VLOOKUP($B137,'Data shares'!$C:$FB,7)</f>
        <v>266.10000000000002</v>
      </c>
      <c r="D137" s="82">
        <f>VLOOKUP($B137,'Data shares'!$C:$FB,98)</f>
        <v>61485000</v>
      </c>
      <c r="E137" s="165">
        <f>VLOOKUP(B137,'Snapshot (Volume)'!$A$7:$G$168,7,0)</f>
        <v>59598000</v>
      </c>
      <c r="F137" s="165">
        <f t="shared" si="45"/>
        <v>1887000</v>
      </c>
      <c r="G137" s="166">
        <f t="shared" si="46"/>
        <v>3.1662136313299102E-2</v>
      </c>
      <c r="H137" s="165">
        <f>VLOOKUP($B137,'Data shares'!$C:$FB,66)</f>
        <v>33003000</v>
      </c>
      <c r="I137" s="165">
        <f>VLOOKUP($B137,'Data shares'!$C:$FB,67)</f>
        <v>40167000</v>
      </c>
      <c r="J137" s="81">
        <f t="shared" si="47"/>
        <v>-17.835536634550749</v>
      </c>
      <c r="K137" s="5">
        <f>VLOOKUP($B137,'Data Vlaue (Cr)'!$C:$FB,99)</f>
        <v>1639</v>
      </c>
      <c r="L137" s="81">
        <f>VLOOKUP(B137,'OI(Value)'!$A$7:$C$209,3,0)</f>
        <v>50</v>
      </c>
      <c r="M137" s="33">
        <f t="shared" si="44"/>
        <v>3.0506406345332517</v>
      </c>
      <c r="N137" s="5">
        <f>VLOOKUP($B137,'Data Vlaue (Cr)'!$C:$FB,67)</f>
        <v>880</v>
      </c>
      <c r="O137" s="5">
        <f>VLOOKUP($B137,'Data Vlaue (Cr)'!$C:$FB,68)</f>
        <v>1071</v>
      </c>
      <c r="P137" s="5">
        <f t="shared" si="48"/>
        <v>-21.704545454545453</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Pharma</v>
      </c>
      <c r="B138" s="79" t="str">
        <f>'Data shares'!C133</f>
        <v>MANKIND</v>
      </c>
      <c r="C138" s="4">
        <f>VLOOKUP($B138,'Data shares'!$C:$FB,7)</f>
        <v>2506.6</v>
      </c>
      <c r="D138" s="82">
        <f>VLOOKUP($B138,'Data shares'!$C:$FB,98)</f>
        <v>3032100</v>
      </c>
      <c r="E138" s="165">
        <f>VLOOKUP(B138,'Snapshot (Volume)'!$A$7:$G$168,7,0)</f>
        <v>3013200</v>
      </c>
      <c r="F138" s="165">
        <f t="shared" si="45"/>
        <v>18900</v>
      </c>
      <c r="G138" s="166">
        <f t="shared" si="46"/>
        <v>6.2724014336917565E-3</v>
      </c>
      <c r="H138" s="165">
        <f>VLOOKUP($B138,'Data shares'!$C:$FB,66)</f>
        <v>1076400</v>
      </c>
      <c r="I138" s="165">
        <f>VLOOKUP($B138,'Data shares'!$C:$FB,67)</f>
        <v>2087100</v>
      </c>
      <c r="J138" s="81">
        <f t="shared" si="47"/>
        <v>-48.426045709357481</v>
      </c>
      <c r="K138" s="5">
        <f>VLOOKUP($B138,'Data Vlaue (Cr)'!$C:$FB,99)</f>
        <v>762</v>
      </c>
      <c r="L138" s="81">
        <f>VLOOKUP(B138,'OI(Value)'!$A$7:$C$209,3,0)</f>
        <v>5</v>
      </c>
      <c r="M138" s="33">
        <f t="shared" si="44"/>
        <v>0.65616797900262469</v>
      </c>
      <c r="N138" s="5">
        <f>VLOOKUP($B138,'Data Vlaue (Cr)'!$C:$FB,67)</f>
        <v>270</v>
      </c>
      <c r="O138" s="5">
        <f>VLOOKUP($B138,'Data Vlaue (Cr)'!$C:$FB,68)</f>
        <v>524</v>
      </c>
      <c r="P138" s="5">
        <f t="shared" si="48"/>
        <v>-94.074074074074076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FMCG</v>
      </c>
      <c r="B139" s="79" t="str">
        <f>'Data shares'!C134</f>
        <v>MARICO</v>
      </c>
      <c r="C139" s="4">
        <f>VLOOKUP($B139,'Data shares'!$C:$FB,7)</f>
        <v>751.85</v>
      </c>
      <c r="D139" s="82">
        <f>VLOOKUP($B139,'Data shares'!$C:$FB,98)</f>
        <v>36283200</v>
      </c>
      <c r="E139" s="165">
        <f>VLOOKUP(B139,'Snapshot (Volume)'!$A$7:$G$168,7,0)</f>
        <v>34473600</v>
      </c>
      <c r="F139" s="165">
        <f t="shared" si="45"/>
        <v>1809600</v>
      </c>
      <c r="G139" s="166">
        <f t="shared" si="46"/>
        <v>5.2492341966026174E-2</v>
      </c>
      <c r="H139" s="165">
        <f>VLOOKUP($B139,'Data shares'!$C:$FB,66)</f>
        <v>66022800</v>
      </c>
      <c r="I139" s="165">
        <f>VLOOKUP($B139,'Data shares'!$C:$FB,67)</f>
        <v>14485200</v>
      </c>
      <c r="J139" s="81">
        <f t="shared" si="47"/>
        <v>355.79488029160802</v>
      </c>
      <c r="K139" s="5">
        <f>VLOOKUP($B139,'Data Vlaue (Cr)'!$C:$FB,99)</f>
        <v>2730</v>
      </c>
      <c r="L139" s="81">
        <f>VLOOKUP(B139,'OI(Value)'!$A$7:$C$209,3,0)</f>
        <v>136</v>
      </c>
      <c r="M139" s="33">
        <f t="shared" si="44"/>
        <v>4.9816849816849818</v>
      </c>
      <c r="N139" s="5">
        <f>VLOOKUP($B139,'Data Vlaue (Cr)'!$C:$FB,67)</f>
        <v>4968</v>
      </c>
      <c r="O139" s="5">
        <f>VLOOKUP($B139,'Data Vlaue (Cr)'!$C:$FB,68)</f>
        <v>1090</v>
      </c>
      <c r="P139" s="5">
        <f t="shared" si="48"/>
        <v>78.059581320450889</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MARUTI</v>
      </c>
      <c r="C140" s="79">
        <f>VLOOKUP($B140,'Data shares'!$C:$FB,7)</f>
        <v>14221</v>
      </c>
      <c r="D140" s="165">
        <f>VLOOKUP($B140,'Data shares'!$C:$FB,98)</f>
        <v>13113950</v>
      </c>
      <c r="E140" s="165">
        <f>VLOOKUP(B140,'Snapshot (Volume)'!$A$7:$G$168,7,0)</f>
        <v>13132750</v>
      </c>
      <c r="F140" s="165">
        <f>D140-E140</f>
        <v>-18800</v>
      </c>
      <c r="G140" s="166">
        <f>F140/E140</f>
        <v>-1.4315356646551561E-3</v>
      </c>
      <c r="H140" s="165">
        <f>VLOOKUP($B140,'Data shares'!$C:$FB,66)</f>
        <v>12857000</v>
      </c>
      <c r="I140" s="165">
        <f>VLOOKUP($B140,'Data shares'!$C:$FB,67)</f>
        <v>30536100</v>
      </c>
      <c r="J140" s="81">
        <f>(H140-I140)/I140*100</f>
        <v>-57.895736521690722</v>
      </c>
      <c r="K140" s="81">
        <f>VLOOKUP($B140,'Data Vlaue (Cr)'!$C:$FB,99)</f>
        <v>18649</v>
      </c>
      <c r="L140" s="81">
        <f>VLOOKUP(B140,'OI(Value)'!$A$7:$C$209,3,0)</f>
        <v>-27</v>
      </c>
      <c r="M140" s="81">
        <f t="shared" si="44"/>
        <v>-0.14477988095876457</v>
      </c>
      <c r="N140" s="81">
        <f>VLOOKUP($B140,'Data Vlaue (Cr)'!$C:$FB,67)</f>
        <v>18284</v>
      </c>
      <c r="O140" s="81">
        <f>VLOOKUP($B140,'Data Vlaue (Cr)'!$C:$FB,68)</f>
        <v>43425</v>
      </c>
      <c r="P140" s="81">
        <f>(N140-O140)/N140*100</f>
        <v>-137.50273463137168</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MAXHEALTH</v>
      </c>
      <c r="C141" s="4">
        <f>VLOOKUP($B141,'Data shares'!$C:$FB,7)</f>
        <v>1225.5999999999999</v>
      </c>
      <c r="D141" s="82">
        <f>VLOOKUP($B141,'Data shares'!$C:$FB,98)</f>
        <v>19491150</v>
      </c>
      <c r="E141" s="165">
        <f>VLOOKUP(B141,'Snapshot (Volume)'!$A$7:$G$168,7,0)</f>
        <v>19005525</v>
      </c>
      <c r="F141" s="165">
        <f>D141-E141</f>
        <v>485625</v>
      </c>
      <c r="G141" s="166">
        <f>F141/E141</f>
        <v>2.5551780337559737E-2</v>
      </c>
      <c r="H141" s="165">
        <f>VLOOKUP($B141,'Data shares'!$C:$FB,66)</f>
        <v>7146300</v>
      </c>
      <c r="I141" s="165">
        <f>VLOOKUP($B141,'Data shares'!$C:$FB,67)</f>
        <v>8234625</v>
      </c>
      <c r="J141" s="81">
        <f>(H141-I141)/I141*100</f>
        <v>-13.216448836467961</v>
      </c>
      <c r="K141" s="5">
        <f>VLOOKUP($B141,'Data Vlaue (Cr)'!$C:$FB,99)</f>
        <v>2397</v>
      </c>
      <c r="L141" s="81">
        <f>VLOOKUP(B141,'OI(Value)'!$A$7:$C$209,3,0)</f>
        <v>60</v>
      </c>
      <c r="M141" s="33">
        <f t="shared" si="44"/>
        <v>2.5031289111389237</v>
      </c>
      <c r="N141" s="5">
        <f>VLOOKUP($B141,'Data Vlaue (Cr)'!$C:$FB,67)</f>
        <v>879</v>
      </c>
      <c r="O141" s="5">
        <f>VLOOKUP($B141,'Data Vlaue (Cr)'!$C:$FB,68)</f>
        <v>1013</v>
      </c>
      <c r="P141" s="5">
        <f>(N141-O141)/N141*100</f>
        <v>-15.244596131968146</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Infrastructure</v>
      </c>
      <c r="B142" s="79" t="str">
        <f>'Data shares'!C137</f>
        <v>MAZDOCK</v>
      </c>
      <c r="C142" s="4">
        <f>VLOOKUP($B142,'Data shares'!$C:$FB,7)</f>
        <v>2772.9</v>
      </c>
      <c r="D142" s="82">
        <f>VLOOKUP($B142,'Data shares'!$C:$FB,98)</f>
        <v>6475875</v>
      </c>
      <c r="E142" s="165">
        <f>VLOOKUP(B142,'Snapshot (Volume)'!$A$7:$G$168,7,0)</f>
        <v>6411650</v>
      </c>
      <c r="F142" s="165">
        <f>D142-E142</f>
        <v>64225</v>
      </c>
      <c r="G142" s="166">
        <f>F142/E142</f>
        <v>1.0016922321087396E-2</v>
      </c>
      <c r="H142" s="165">
        <f>VLOOKUP($B142,'Data shares'!$C:$FB,66)</f>
        <v>6891850</v>
      </c>
      <c r="I142" s="165">
        <f>VLOOKUP($B142,'Data shares'!$C:$FB,67)</f>
        <v>3757775</v>
      </c>
      <c r="J142" s="81">
        <f>(H142-I142)/I142*100</f>
        <v>83.402412331765476</v>
      </c>
      <c r="K142" s="5">
        <f>VLOOKUP($B142,'Data Vlaue (Cr)'!$C:$FB,99)</f>
        <v>1802</v>
      </c>
      <c r="L142" s="81">
        <f>VLOOKUP(B142,'OI(Value)'!$A$7:$C$209,3,0)</f>
        <v>18</v>
      </c>
      <c r="M142" s="33">
        <f t="shared" si="44"/>
        <v>0.99889012208657058</v>
      </c>
      <c r="N142" s="5">
        <f>VLOOKUP($B142,'Data Vlaue (Cr)'!$C:$FB,67)</f>
        <v>1918</v>
      </c>
      <c r="O142" s="5">
        <f>VLOOKUP($B142,'Data Vlaue (Cr)'!$C:$FB,68)</f>
        <v>1046</v>
      </c>
      <c r="P142" s="5">
        <f>(N142-O142)/N142*100</f>
        <v>45.464025026068825</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MCX</v>
      </c>
      <c r="C143" s="4">
        <f>VLOOKUP($B143,'Data shares'!$C:$FB,7)</f>
        <v>8224</v>
      </c>
      <c r="D143" s="82">
        <f>VLOOKUP($B143,'Data shares'!$C:$FB,98)</f>
        <v>5397000</v>
      </c>
      <c r="E143" s="165">
        <f>VLOOKUP(B143,'Snapshot (Volume)'!$A$7:$G$168,7,0)</f>
        <v>5440375</v>
      </c>
      <c r="F143" s="165">
        <f>D143-E143</f>
        <v>-43375</v>
      </c>
      <c r="G143" s="166">
        <f>F143/E143</f>
        <v>-7.9727959929232813E-3</v>
      </c>
      <c r="H143" s="165">
        <f>VLOOKUP($B143,'Data shares'!$C:$FB,66)</f>
        <v>4162375</v>
      </c>
      <c r="I143" s="165">
        <f>VLOOKUP($B143,'Data shares'!$C:$FB,67)</f>
        <v>7975750</v>
      </c>
      <c r="J143" s="81">
        <f>(H143-I143)/I143*100</f>
        <v>-47.812117982634859</v>
      </c>
      <c r="K143" s="5">
        <f>VLOOKUP($B143,'Data Vlaue (Cr)'!$C:$FB,99)</f>
        <v>4451</v>
      </c>
      <c r="L143" s="81">
        <f>VLOOKUP(B143,'OI(Value)'!$A$7:$C$209,3,0)</f>
        <v>-36</v>
      </c>
      <c r="M143" s="33">
        <f t="shared" si="44"/>
        <v>-0.80880700966075048</v>
      </c>
      <c r="N143" s="5">
        <f>VLOOKUP($B143,'Data Vlaue (Cr)'!$C:$FB,67)</f>
        <v>3433</v>
      </c>
      <c r="O143" s="5">
        <f>VLOOKUP($B143,'Data Vlaue (Cr)'!$C:$FB,68)</f>
        <v>6578</v>
      </c>
      <c r="P143" s="5">
        <f>(N143-O143)/N143*100</f>
        <v>-91.610836003495493</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MFSL</v>
      </c>
      <c r="C144" s="4">
        <f>VLOOKUP($B144,'Data shares'!$C:$FB,7)</f>
        <v>1643.6</v>
      </c>
      <c r="D144" s="82">
        <f>VLOOKUP($B144,'Data shares'!$C:$FB,98)</f>
        <v>8100000</v>
      </c>
      <c r="E144" s="165">
        <f>VLOOKUP(B144,'Snapshot (Volume)'!$A$7:$G$168,7,0)</f>
        <v>8163200</v>
      </c>
      <c r="F144" s="165">
        <f>D144-E144</f>
        <v>-63200</v>
      </c>
      <c r="G144" s="166">
        <f>F144/E144</f>
        <v>-7.742061936495492E-3</v>
      </c>
      <c r="H144" s="165">
        <f>VLOOKUP($B144,'Data shares'!$C:$FB,66)</f>
        <v>2124800</v>
      </c>
      <c r="I144" s="165">
        <f>VLOOKUP($B144,'Data shares'!$C:$FB,67)</f>
        <v>6391200</v>
      </c>
      <c r="J144" s="81">
        <f>(H144-I144)/I144*100</f>
        <v>-66.754287144824133</v>
      </c>
      <c r="K144" s="5">
        <f>VLOOKUP($B144,'Data Vlaue (Cr)'!$C:$FB,99)</f>
        <v>1333</v>
      </c>
      <c r="L144" s="81">
        <f>VLOOKUP(B144,'OI(Value)'!$A$7:$C$209,3,0)</f>
        <v>-10</v>
      </c>
      <c r="M144" s="33">
        <f t="shared" si="44"/>
        <v>-0.75018754688672162</v>
      </c>
      <c r="N144" s="5">
        <f>VLOOKUP($B144,'Data Vlaue (Cr)'!$C:$FB,67)</f>
        <v>350</v>
      </c>
      <c r="O144" s="5">
        <f>VLOOKUP($B144,'Data Vlaue (Cr)'!$C:$FB,68)</f>
        <v>1051</v>
      </c>
      <c r="P144" s="5">
        <f>(N144-O144)/N144*100</f>
        <v>-200.28571428571428</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MIDCPNIFTY</v>
      </c>
      <c r="C145" s="4">
        <f>VLOOKUP($B145,'Data shares'!$C:$FB,7)</f>
        <v>12999.8</v>
      </c>
      <c r="D145" s="82">
        <f>VLOOKUP($B145,'Data shares'!$C:$FB,98)</f>
        <v>21169680</v>
      </c>
      <c r="E145" s="165">
        <f>VLOOKUP(B145,'Snapshot (Volume)'!$A$7:$G$168,7,0)</f>
        <v>18416720</v>
      </c>
      <c r="F145" s="165">
        <f t="shared" ref="F145:F152" si="49">D145-E145</f>
        <v>2752960</v>
      </c>
      <c r="G145" s="166">
        <f t="shared" ref="G145:G153" si="50">F145/E145</f>
        <v>0.14948155806245628</v>
      </c>
      <c r="H145" s="165">
        <f>VLOOKUP($B145,'Data shares'!$C:$FB,66)</f>
        <v>70461160</v>
      </c>
      <c r="I145" s="165">
        <f>VLOOKUP($B145,'Data shares'!$C:$FB,67)</f>
        <v>63741580</v>
      </c>
      <c r="J145" s="81">
        <f t="shared" ref="J145:J153" si="51">(H145-I145)/I145*100</f>
        <v>10.541910005996085</v>
      </c>
      <c r="K145" s="5">
        <f>VLOOKUP($B145,'Data Vlaue (Cr)'!$C:$FB,99)</f>
        <v>27571</v>
      </c>
      <c r="L145" s="81">
        <f>VLOOKUP(B145,'OI(Value)'!$A$7:$C$209,3,0)</f>
        <v>3585</v>
      </c>
      <c r="M145" s="33">
        <f t="shared" ref="M145:M153" si="52">L145/K145*100</f>
        <v>13.002792789525225</v>
      </c>
      <c r="N145" s="5">
        <f>VLOOKUP($B145,'Data Vlaue (Cr)'!$C:$FB,67)</f>
        <v>91768</v>
      </c>
      <c r="O145" s="5">
        <f>VLOOKUP($B145,'Data Vlaue (Cr)'!$C:$FB,68)</f>
        <v>83016</v>
      </c>
      <c r="P145" s="5">
        <f t="shared" ref="P145:P152" si="53">(N145-O145)/N145*100</f>
        <v>9.5370935402318899</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Automobile</v>
      </c>
      <c r="B146" s="79" t="str">
        <f>'Data shares'!C141</f>
        <v>MOTHERSON</v>
      </c>
      <c r="C146" s="4">
        <f>VLOOKUP($B146,'Data shares'!$C:$FB,7)</f>
        <v>97.97</v>
      </c>
      <c r="D146" s="82">
        <f>VLOOKUP($B146,'Data shares'!$C:$FB,98)</f>
        <v>245784750</v>
      </c>
      <c r="E146" s="165">
        <f>VLOOKUP(B146,'Snapshot (Volume)'!$A$7:$G$168,7,0)</f>
        <v>245895450</v>
      </c>
      <c r="F146" s="165">
        <f t="shared" si="49"/>
        <v>-110700</v>
      </c>
      <c r="G146" s="166">
        <f t="shared" si="50"/>
        <v>-4.5019133131580922E-4</v>
      </c>
      <c r="H146" s="165">
        <f>VLOOKUP($B146,'Data shares'!$C:$FB,66)</f>
        <v>116241150</v>
      </c>
      <c r="I146" s="165">
        <f>VLOOKUP($B146,'Data shares'!$C:$FB,67)</f>
        <v>262438950</v>
      </c>
      <c r="J146" s="81">
        <f t="shared" si="51"/>
        <v>-55.707355939352752</v>
      </c>
      <c r="K146" s="5">
        <f>VLOOKUP($B146,'Data Vlaue (Cr)'!$C:$FB,99)</f>
        <v>2408</v>
      </c>
      <c r="L146" s="81">
        <f>VLOOKUP(B146,'OI(Value)'!$A$7:$C$209,3,0)</f>
        <v>-1</v>
      </c>
      <c r="M146" s="33">
        <f t="shared" si="52"/>
        <v>-4.1528239202657809E-2</v>
      </c>
      <c r="N146" s="5">
        <f>VLOOKUP($B146,'Data Vlaue (Cr)'!$C:$FB,67)</f>
        <v>1139</v>
      </c>
      <c r="O146" s="5">
        <f>VLOOKUP($B146,'Data Vlaue (Cr)'!$C:$FB,68)</f>
        <v>2572</v>
      </c>
      <c r="P146" s="5">
        <f t="shared" si="53"/>
        <v>-125.81211589113256</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Technology</v>
      </c>
      <c r="B147" s="79" t="str">
        <f>'Data shares'!C142</f>
        <v>MPHASIS</v>
      </c>
      <c r="C147" s="4">
        <f>VLOOKUP($B147,'Data shares'!$C:$FB,7)</f>
        <v>2835.5</v>
      </c>
      <c r="D147" s="82">
        <f>VLOOKUP($B147,'Data shares'!$C:$FB,98)</f>
        <v>5617425</v>
      </c>
      <c r="E147" s="165">
        <f>VLOOKUP(B147,'Snapshot (Volume)'!$A$7:$G$168,7,0)</f>
        <v>5350675</v>
      </c>
      <c r="F147" s="165">
        <f t="shared" si="49"/>
        <v>266750</v>
      </c>
      <c r="G147" s="166">
        <f t="shared" si="50"/>
        <v>4.9853523153620807E-2</v>
      </c>
      <c r="H147" s="165">
        <f>VLOOKUP($B147,'Data shares'!$C:$FB,66)</f>
        <v>9561475</v>
      </c>
      <c r="I147" s="165">
        <f>VLOOKUP($B147,'Data shares'!$C:$FB,67)</f>
        <v>1662100</v>
      </c>
      <c r="J147" s="81">
        <f t="shared" si="51"/>
        <v>475.26472534745199</v>
      </c>
      <c r="K147" s="5">
        <f>VLOOKUP($B147,'Data Vlaue (Cr)'!$C:$FB,99)</f>
        <v>1595</v>
      </c>
      <c r="L147" s="81">
        <f>VLOOKUP(B147,'OI(Value)'!$A$7:$C$209,3,0)</f>
        <v>76</v>
      </c>
      <c r="M147" s="33">
        <f t="shared" si="52"/>
        <v>4.7648902821316614</v>
      </c>
      <c r="N147" s="5">
        <f>VLOOKUP($B147,'Data Vlaue (Cr)'!$C:$FB,67)</f>
        <v>2714</v>
      </c>
      <c r="O147" s="5">
        <f>VLOOKUP($B147,'Data Vlaue (Cr)'!$C:$FB,68)</f>
        <v>472</v>
      </c>
      <c r="P147" s="5">
        <f t="shared" si="53"/>
        <v>82.608695652173907</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Finance</v>
      </c>
      <c r="B148" s="79" t="str">
        <f>'Data shares'!C143</f>
        <v>MUTHOOTFIN</v>
      </c>
      <c r="C148" s="4">
        <f>VLOOKUP($B148,'Data shares'!$C:$FB,7)</f>
        <v>2683.9</v>
      </c>
      <c r="D148" s="82">
        <f>VLOOKUP($B148,'Data shares'!$C:$FB,98)</f>
        <v>13098250</v>
      </c>
      <c r="E148" s="165">
        <f>VLOOKUP(B148,'Snapshot (Volume)'!$A$7:$G$168,7,0)</f>
        <v>12401675</v>
      </c>
      <c r="F148" s="165">
        <f t="shared" si="49"/>
        <v>696575</v>
      </c>
      <c r="G148" s="166">
        <f t="shared" si="50"/>
        <v>5.6167816040978334E-2</v>
      </c>
      <c r="H148" s="165">
        <f>VLOOKUP($B148,'Data shares'!$C:$FB,66)</f>
        <v>21926850</v>
      </c>
      <c r="I148" s="165">
        <f>VLOOKUP($B148,'Data shares'!$C:$FB,67)</f>
        <v>12937925</v>
      </c>
      <c r="J148" s="81">
        <f t="shared" si="51"/>
        <v>69.47733117945883</v>
      </c>
      <c r="K148" s="5">
        <f>VLOOKUP($B148,'Data Vlaue (Cr)'!$C:$FB,99)</f>
        <v>3520</v>
      </c>
      <c r="L148" s="81">
        <f>VLOOKUP(B148,'OI(Value)'!$A$7:$C$209,3,0)</f>
        <v>187</v>
      </c>
      <c r="M148" s="33">
        <f t="shared" si="52"/>
        <v>5.3125</v>
      </c>
      <c r="N148" s="5">
        <f>VLOOKUP($B148,'Data Vlaue (Cr)'!$C:$FB,67)</f>
        <v>5893</v>
      </c>
      <c r="O148" s="5">
        <f>VLOOKUP($B148,'Data Vlaue (Cr)'!$C:$FB,68)</f>
        <v>3477</v>
      </c>
      <c r="P148" s="5">
        <f t="shared" si="53"/>
        <v>40.9977939928729</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Metals</v>
      </c>
      <c r="B149" s="79" t="str">
        <f>'Data shares'!C144</f>
        <v>NATIONALUM</v>
      </c>
      <c r="C149" s="4">
        <f>VLOOKUP($B149,'Data shares'!$C:$FB,7)</f>
        <v>192.22</v>
      </c>
      <c r="D149" s="82">
        <f>VLOOKUP($B149,'Data shares'!$C:$FB,98)</f>
        <v>112890000</v>
      </c>
      <c r="E149" s="165">
        <f>VLOOKUP(B149,'Snapshot (Volume)'!$A$7:$G$168,7,0)</f>
        <v>110137500</v>
      </c>
      <c r="F149" s="165">
        <f t="shared" si="49"/>
        <v>2752500</v>
      </c>
      <c r="G149" s="166">
        <f t="shared" si="50"/>
        <v>2.4991487912836226E-2</v>
      </c>
      <c r="H149" s="165">
        <f>VLOOKUP($B149,'Data shares'!$C:$FB,66)</f>
        <v>53992500</v>
      </c>
      <c r="I149" s="165">
        <f>VLOOKUP($B149,'Data shares'!$C:$FB,67)</f>
        <v>51641250</v>
      </c>
      <c r="J149" s="81">
        <f t="shared" si="51"/>
        <v>4.5530462566262431</v>
      </c>
      <c r="K149" s="5">
        <f>VLOOKUP($B149,'Data Vlaue (Cr)'!$C:$FB,99)</f>
        <v>2171</v>
      </c>
      <c r="L149" s="81">
        <f>VLOOKUP(B149,'OI(Value)'!$A$7:$C$209,3,0)</f>
        <v>53</v>
      </c>
      <c r="M149" s="33">
        <f t="shared" si="52"/>
        <v>2.4412713035467526</v>
      </c>
      <c r="N149" s="5">
        <f>VLOOKUP($B149,'Data Vlaue (Cr)'!$C:$FB,67)</f>
        <v>1038</v>
      </c>
      <c r="O149" s="5">
        <f>VLOOKUP($B149,'Data Vlaue (Cr)'!$C:$FB,68)</f>
        <v>993</v>
      </c>
      <c r="P149" s="5">
        <f t="shared" si="53"/>
        <v>4.3352601156069364</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New_Age</v>
      </c>
      <c r="B150" s="79" t="str">
        <f>'Data shares'!C145</f>
        <v>NAUKRI</v>
      </c>
      <c r="C150" s="4">
        <f>VLOOKUP($B150,'Data shares'!$C:$FB,7)</f>
        <v>1395.5</v>
      </c>
      <c r="D150" s="82">
        <f>VLOOKUP($B150,'Data shares'!$C:$FB,98)</f>
        <v>15476250</v>
      </c>
      <c r="E150" s="165">
        <f>VLOOKUP(B150,'Snapshot (Volume)'!$A$7:$G$168,7,0)</f>
        <v>15576000</v>
      </c>
      <c r="F150" s="165">
        <f t="shared" si="49"/>
        <v>-99750</v>
      </c>
      <c r="G150" s="166">
        <f t="shared" si="50"/>
        <v>-6.4040832049306624E-3</v>
      </c>
      <c r="H150" s="165">
        <f>VLOOKUP($B150,'Data shares'!$C:$FB,66)</f>
        <v>6694125</v>
      </c>
      <c r="I150" s="165">
        <f>VLOOKUP($B150,'Data shares'!$C:$FB,67)</f>
        <v>4419375</v>
      </c>
      <c r="J150" s="81">
        <f t="shared" si="51"/>
        <v>51.472210436996178</v>
      </c>
      <c r="K150" s="5">
        <f>VLOOKUP($B150,'Data Vlaue (Cr)'!$C:$FB,99)</f>
        <v>2167</v>
      </c>
      <c r="L150" s="81">
        <f>VLOOKUP(B150,'OI(Value)'!$A$7:$C$209,3,0)</f>
        <v>-14</v>
      </c>
      <c r="M150" s="33">
        <f t="shared" si="52"/>
        <v>-0.64605445316105214</v>
      </c>
      <c r="N150" s="5">
        <f>VLOOKUP($B150,'Data Vlaue (Cr)'!$C:$FB,67)</f>
        <v>937</v>
      </c>
      <c r="O150" s="5">
        <f>VLOOKUP($B150,'Data Vlaue (Cr)'!$C:$FB,68)</f>
        <v>619</v>
      </c>
      <c r="P150" s="5">
        <f t="shared" si="53"/>
        <v>33.938100320170754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Realty</v>
      </c>
      <c r="B151" s="79" t="str">
        <f>'Data shares'!C146</f>
        <v>NBCC</v>
      </c>
      <c r="C151" s="4">
        <f>VLOOKUP($B151,'Data shares'!$C:$FB,7)</f>
        <v>105.39</v>
      </c>
      <c r="D151" s="82">
        <f>VLOOKUP($B151,'Data shares'!$C:$FB,98)</f>
        <v>77655500</v>
      </c>
      <c r="E151" s="165">
        <f>VLOOKUP(B151,'Snapshot (Volume)'!$A$7:$G$168,7,0)</f>
        <v>75289500</v>
      </c>
      <c r="F151" s="165">
        <f t="shared" si="49"/>
        <v>2366000</v>
      </c>
      <c r="G151" s="166">
        <f t="shared" si="50"/>
        <v>3.1425364758698095E-2</v>
      </c>
      <c r="H151" s="165">
        <f>VLOOKUP($B151,'Data shares'!$C:$FB,66)</f>
        <v>22886500</v>
      </c>
      <c r="I151" s="165">
        <f>VLOOKUP($B151,'Data shares'!$C:$FB,67)</f>
        <v>13474500</v>
      </c>
      <c r="J151" s="81">
        <f t="shared" si="51"/>
        <v>69.850458273034249</v>
      </c>
      <c r="K151" s="5">
        <f>VLOOKUP($B151,'Data Vlaue (Cr)'!$C:$FB,99)</f>
        <v>820</v>
      </c>
      <c r="L151" s="81">
        <f>VLOOKUP(B151,'OI(Value)'!$A$7:$C$209,3,0)</f>
        <v>25</v>
      </c>
      <c r="M151" s="33">
        <f t="shared" si="52"/>
        <v>3.0487804878048781</v>
      </c>
      <c r="N151" s="5">
        <f>VLOOKUP($B151,'Data Vlaue (Cr)'!$C:$FB,67)</f>
        <v>242</v>
      </c>
      <c r="O151" s="5">
        <f>VLOOKUP($B151,'Data Vlaue (Cr)'!$C:$FB,68)</f>
        <v>142</v>
      </c>
      <c r="P151" s="5">
        <f t="shared" si="53"/>
        <v>41.32231404958678</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Infrastructure</v>
      </c>
      <c r="B152" s="79" t="str">
        <f>'Data shares'!C147</f>
        <v>NCC</v>
      </c>
      <c r="C152" s="4">
        <f>VLOOKUP($B152,'Data shares'!$C:$FB,7)</f>
        <v>220.84</v>
      </c>
      <c r="D152" s="82">
        <f>VLOOKUP($B152,'Data shares'!$C:$FB,98)</f>
        <v>28158300</v>
      </c>
      <c r="E152" s="165">
        <f>VLOOKUP(B152,'Snapshot (Volume)'!$A$7:$G$168,7,0)</f>
        <v>27337500</v>
      </c>
      <c r="F152" s="165">
        <f t="shared" si="49"/>
        <v>820800</v>
      </c>
      <c r="G152" s="166">
        <f t="shared" si="50"/>
        <v>3.0024691358024692E-2</v>
      </c>
      <c r="H152" s="165">
        <f>VLOOKUP($B152,'Data shares'!$C:$FB,66)</f>
        <v>8351100</v>
      </c>
      <c r="I152" s="165">
        <f>VLOOKUP($B152,'Data shares'!$C:$FB,67)</f>
        <v>11385900</v>
      </c>
      <c r="J152" s="81">
        <f t="shared" si="51"/>
        <v>-26.654019445103156</v>
      </c>
      <c r="K152" s="5">
        <f>VLOOKUP($B152,'Data Vlaue (Cr)'!$C:$FB,99)</f>
        <v>623</v>
      </c>
      <c r="L152" s="81">
        <f>VLOOKUP(B152,'OI(Value)'!$A$7:$C$209,3,0)</f>
        <v>18</v>
      </c>
      <c r="M152" s="33">
        <f t="shared" si="52"/>
        <v>2.8892455858747992</v>
      </c>
      <c r="N152" s="5">
        <f>VLOOKUP($B152,'Data Vlaue (Cr)'!$C:$FB,67)</f>
        <v>185</v>
      </c>
      <c r="O152" s="5">
        <f>VLOOKUP($B152,'Data Vlaue (Cr)'!$C:$FB,68)</f>
        <v>252</v>
      </c>
      <c r="P152" s="5">
        <f t="shared" si="53"/>
        <v>-36.216216216216218</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FMCG</v>
      </c>
      <c r="B153" s="79" t="str">
        <f>'Data shares'!C148</f>
        <v>NESTLEIND</v>
      </c>
      <c r="C153" s="4">
        <f>VLOOKUP($B153,'Data shares'!$C:$FB,7)</f>
        <v>1190.3</v>
      </c>
      <c r="D153" s="82">
        <f>VLOOKUP($B153,'Data shares'!$C:$FB,98)</f>
        <v>29608000</v>
      </c>
      <c r="E153" s="165">
        <f>VLOOKUP(B153,'Snapshot (Volume)'!$A$7:$G$168,7,0)</f>
        <v>28481000</v>
      </c>
      <c r="F153" s="165">
        <f>D153-E153</f>
        <v>1127000</v>
      </c>
      <c r="G153" s="166">
        <f t="shared" si="50"/>
        <v>3.9570239808995468E-2</v>
      </c>
      <c r="H153" s="165">
        <f>VLOOKUP($B153,'Data shares'!$C:$FB,66)</f>
        <v>22766000</v>
      </c>
      <c r="I153" s="165">
        <f>VLOOKUP($B153,'Data shares'!$C:$FB,67)</f>
        <v>15384000</v>
      </c>
      <c r="J153" s="81">
        <f t="shared" si="51"/>
        <v>47.984919396775872</v>
      </c>
      <c r="K153" s="5">
        <f>VLOOKUP($B153,'Data Vlaue (Cr)'!$C:$FB,99)</f>
        <v>3527</v>
      </c>
      <c r="L153" s="81">
        <f>VLOOKUP(B153,'OI(Value)'!$A$7:$C$209,3,0)</f>
        <v>134</v>
      </c>
      <c r="M153" s="33">
        <f t="shared" si="52"/>
        <v>3.7992628296002264</v>
      </c>
      <c r="N153" s="5">
        <f>VLOOKUP($B153,'Data Vlaue (Cr)'!$C:$FB,67)</f>
        <v>2712</v>
      </c>
      <c r="O153" s="5">
        <f>VLOOKUP($B153,'Data Vlaue (Cr)'!$C:$FB,68)</f>
        <v>1833</v>
      </c>
      <c r="P153" s="5">
        <f>(N153-O153)/N153*100</f>
        <v>32.411504424778755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NHPC</v>
      </c>
      <c r="C154" s="4">
        <f>VLOOKUP($B154,'Data shares'!$C:$FB,7)</f>
        <v>82.76</v>
      </c>
      <c r="D154" s="82">
        <f>VLOOKUP($B154,'Data shares'!$C:$FB,98)</f>
        <v>87366400</v>
      </c>
      <c r="E154" s="165">
        <f>VLOOKUP(B154,'Snapshot (Volume)'!$A$7:$G$168,7,0)</f>
        <v>87488000</v>
      </c>
      <c r="F154" s="165">
        <f t="shared" ref="F154:F166" si="54">D154-E154</f>
        <v>-121600</v>
      </c>
      <c r="G154" s="166">
        <f t="shared" ref="G154:G166" si="55">F154/E154</f>
        <v>-1.389904901243599E-3</v>
      </c>
      <c r="H154" s="165">
        <f>VLOOKUP($B154,'Data shares'!$C:$FB,66)</f>
        <v>31366400</v>
      </c>
      <c r="I154" s="165">
        <f>VLOOKUP($B154,'Data shares'!$C:$FB,67)</f>
        <v>24313600</v>
      </c>
      <c r="J154" s="81">
        <f t="shared" ref="J154:J166" si="56">(H154-I154)/I154*100</f>
        <v>29.007633587786259</v>
      </c>
      <c r="K154" s="5">
        <f>VLOOKUP($B154,'Data Vlaue (Cr)'!$C:$FB,99)</f>
        <v>726</v>
      </c>
      <c r="L154" s="81">
        <f>VLOOKUP(B154,'OI(Value)'!$A$7:$C$209,3,0)</f>
        <v>-1</v>
      </c>
      <c r="M154" s="33">
        <f t="shared" ref="M154:M166" si="57">L154/K154*100</f>
        <v>-0.13774104683195593</v>
      </c>
      <c r="N154" s="5">
        <f>VLOOKUP($B154,'Data Vlaue (Cr)'!$C:$FB,67)</f>
        <v>261</v>
      </c>
      <c r="O154" s="5">
        <f>VLOOKUP($B154,'Data Vlaue (Cr)'!$C:$FB,68)</f>
        <v>202</v>
      </c>
      <c r="P154" s="5">
        <f t="shared" ref="P154:P161" si="58">(N154-O154)/N154*100</f>
        <v>22.60536398467433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Index</v>
      </c>
      <c r="B155" s="79" t="str">
        <f>'Data shares'!C150</f>
        <v>NIFTY</v>
      </c>
      <c r="C155" s="4">
        <f>VLOOKUP($B155,'Data shares'!$C:$FB,7)</f>
        <v>25050.55</v>
      </c>
      <c r="D155" s="82">
        <f>VLOOKUP($B155,'Data shares'!$C:$FB,98)</f>
        <v>559665925</v>
      </c>
      <c r="E155" s="165">
        <f>VLOOKUP(B155,'Snapshot (Volume)'!$A$7:$G$168,7,0)</f>
        <v>483453825</v>
      </c>
      <c r="F155" s="165">
        <f t="shared" si="54"/>
        <v>76212100</v>
      </c>
      <c r="G155" s="166">
        <f t="shared" si="55"/>
        <v>0.15764090810533973</v>
      </c>
      <c r="H155" s="165">
        <f>VLOOKUP($B155,'Data shares'!$C:$FB,66)</f>
        <v>7181374125</v>
      </c>
      <c r="I155" s="165">
        <f>VLOOKUP($B155,'Data shares'!$C:$FB,67)</f>
        <v>4307629875</v>
      </c>
      <c r="J155" s="81">
        <f t="shared" si="56"/>
        <v>66.712886979408836</v>
      </c>
      <c r="K155" s="5">
        <f>VLOOKUP($B155,'Data Vlaue (Cr)'!$C:$FB,99)</f>
        <v>1403827</v>
      </c>
      <c r="L155" s="81">
        <f>VLOOKUP(B155,'OI(Value)'!$A$7:$C$209,3,0)</f>
        <v>191165</v>
      </c>
      <c r="M155" s="33">
        <f t="shared" si="57"/>
        <v>13.617418670534191</v>
      </c>
      <c r="N155" s="5">
        <f>VLOOKUP($B155,'Data Vlaue (Cr)'!$C:$FB,67)</f>
        <v>18013256</v>
      </c>
      <c r="O155" s="5">
        <f>VLOOKUP($B155,'Data Vlaue (Cr)'!$C:$FB,68)</f>
        <v>10804957</v>
      </c>
      <c r="P155" s="5">
        <f t="shared" si="58"/>
        <v>40.016635526636605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Index</v>
      </c>
      <c r="B156" s="79" t="str">
        <f>'Data shares'!C151</f>
        <v>NIFTYNXT50</v>
      </c>
      <c r="C156" s="4">
        <f>VLOOKUP($B156,'Data shares'!$C:$FB,7)</f>
        <v>68164.3</v>
      </c>
      <c r="D156" s="82">
        <f>VLOOKUP($B156,'Data shares'!$C:$FB,98)</f>
        <v>37925</v>
      </c>
      <c r="E156" s="165">
        <f>VLOOKUP(B156,'Snapshot (Volume)'!$A$7:$G$168,7,0)</f>
        <v>36000</v>
      </c>
      <c r="F156" s="165">
        <f t="shared" si="54"/>
        <v>1925</v>
      </c>
      <c r="G156" s="166">
        <f t="shared" si="55"/>
        <v>5.347222222222222E-2</v>
      </c>
      <c r="H156" s="165">
        <f>VLOOKUP($B156,'Data shares'!$C:$FB,66)</f>
        <v>23225</v>
      </c>
      <c r="I156" s="165">
        <f>VLOOKUP($B156,'Data shares'!$C:$FB,67)</f>
        <v>14725</v>
      </c>
      <c r="J156" s="81">
        <f t="shared" si="56"/>
        <v>57.724957555178271</v>
      </c>
      <c r="K156" s="5">
        <f>VLOOKUP($B156,'Data Vlaue (Cr)'!$C:$FB,99)</f>
        <v>259</v>
      </c>
      <c r="L156" s="81">
        <f>VLOOKUP(B156,'OI(Value)'!$A$7:$C$209,3,0)</f>
        <v>13</v>
      </c>
      <c r="M156" s="33">
        <f t="shared" si="57"/>
        <v>5.019305019305019</v>
      </c>
      <c r="N156" s="5">
        <f>VLOOKUP($B156,'Data Vlaue (Cr)'!$C:$FB,67)</f>
        <v>158</v>
      </c>
      <c r="O156" s="5">
        <f>VLOOKUP($B156,'Data Vlaue (Cr)'!$C:$FB,68)</f>
        <v>100</v>
      </c>
      <c r="P156" s="5">
        <f t="shared" si="58"/>
        <v>36.708860759493675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NMDC</v>
      </c>
      <c r="C157" s="4">
        <f>VLOOKUP($B157,'Data shares'!$C:$FB,7)</f>
        <v>71.819999999999993</v>
      </c>
      <c r="D157" s="82">
        <f>VLOOKUP($B157,'Data shares'!$C:$FB,98)</f>
        <v>489510000</v>
      </c>
      <c r="E157" s="165">
        <f>VLOOKUP(B157,'Snapshot (Volume)'!$A$7:$G$168,7,0)</f>
        <v>490468500</v>
      </c>
      <c r="F157" s="165">
        <f t="shared" si="54"/>
        <v>-958500</v>
      </c>
      <c r="G157" s="166">
        <f t="shared" si="55"/>
        <v>-1.9542539429137653E-3</v>
      </c>
      <c r="H157" s="165">
        <f>VLOOKUP($B157,'Data shares'!$C:$FB,66)</f>
        <v>403596000</v>
      </c>
      <c r="I157" s="165">
        <f>VLOOKUP($B157,'Data shares'!$C:$FB,67)</f>
        <v>186759000</v>
      </c>
      <c r="J157" s="81">
        <f t="shared" si="56"/>
        <v>116.10524793985833</v>
      </c>
      <c r="K157" s="5">
        <f>VLOOKUP($B157,'Data Vlaue (Cr)'!$C:$FB,99)</f>
        <v>3530</v>
      </c>
      <c r="L157" s="81">
        <f>VLOOKUP(B157,'OI(Value)'!$A$7:$C$209,3,0)</f>
        <v>-7</v>
      </c>
      <c r="M157" s="33">
        <f t="shared" si="57"/>
        <v>-0.19830028328611898</v>
      </c>
      <c r="N157" s="5">
        <f>VLOOKUP($B157,'Data Vlaue (Cr)'!$C:$FB,67)</f>
        <v>2911</v>
      </c>
      <c r="O157" s="5">
        <f>VLOOKUP($B157,'Data Vlaue (Cr)'!$C:$FB,68)</f>
        <v>1347</v>
      </c>
      <c r="P157" s="5">
        <f t="shared" si="58"/>
        <v>53.727241497767089</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Power</v>
      </c>
      <c r="B158" s="79" t="str">
        <f>'Data shares'!C153</f>
        <v>NTPC</v>
      </c>
      <c r="C158" s="4">
        <f>VLOOKUP($B158,'Data shares'!$C:$FB,7)</f>
        <v>342</v>
      </c>
      <c r="D158" s="82">
        <f>VLOOKUP($B158,'Data shares'!$C:$FB,98)</f>
        <v>173149500</v>
      </c>
      <c r="E158" s="165">
        <f>VLOOKUP(B158,'Snapshot (Volume)'!$A$7:$G$168,7,0)</f>
        <v>162936000</v>
      </c>
      <c r="F158" s="165">
        <f t="shared" si="54"/>
        <v>10213500</v>
      </c>
      <c r="G158" s="166">
        <f t="shared" si="55"/>
        <v>6.268412137280896E-2</v>
      </c>
      <c r="H158" s="165">
        <f>VLOOKUP($B158,'Data shares'!$C:$FB,66)</f>
        <v>158029500</v>
      </c>
      <c r="I158" s="165">
        <f>VLOOKUP($B158,'Data shares'!$C:$FB,67)</f>
        <v>80083500</v>
      </c>
      <c r="J158" s="81">
        <f t="shared" si="56"/>
        <v>97.330910861788013</v>
      </c>
      <c r="K158" s="5">
        <f>VLOOKUP($B158,'Data Vlaue (Cr)'!$C:$FB,99)</f>
        <v>5924</v>
      </c>
      <c r="L158" s="81">
        <f>VLOOKUP(B158,'OI(Value)'!$A$7:$C$209,3,0)</f>
        <v>349</v>
      </c>
      <c r="M158" s="33">
        <f t="shared" si="57"/>
        <v>5.8912896691424717</v>
      </c>
      <c r="N158" s="5">
        <f>VLOOKUP($B158,'Data Vlaue (Cr)'!$C:$FB,67)</f>
        <v>5407</v>
      </c>
      <c r="O158" s="5">
        <f>VLOOKUP($B158,'Data Vlaue (Cr)'!$C:$FB,68)</f>
        <v>2740</v>
      </c>
      <c r="P158" s="5">
        <f t="shared" si="58"/>
        <v>49.324949140003696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Finance</v>
      </c>
      <c r="B159" s="79" t="str">
        <f>'Data shares'!C154</f>
        <v>NUVAMA</v>
      </c>
      <c r="C159" s="4">
        <f>VLOOKUP($B159,'Data shares'!$C:$FB,7)</f>
        <v>6854.5</v>
      </c>
      <c r="D159" s="82">
        <f>VLOOKUP($B159,'Data shares'!$C:$FB,98)</f>
        <v>710475</v>
      </c>
      <c r="E159" s="165">
        <f>VLOOKUP(B159,'Snapshot (Volume)'!$A$7:$G$168,7,0)</f>
        <v>840825</v>
      </c>
      <c r="F159" s="165">
        <f t="shared" si="54"/>
        <v>-130350</v>
      </c>
      <c r="G159" s="166">
        <f t="shared" si="55"/>
        <v>-0.15502631344215503</v>
      </c>
      <c r="H159" s="165">
        <f>VLOOKUP($B159,'Data shares'!$C:$FB,66)</f>
        <v>1665150</v>
      </c>
      <c r="I159" s="165">
        <f>VLOOKUP($B159,'Data shares'!$C:$FB,67)</f>
        <v>1346325</v>
      </c>
      <c r="J159" s="81">
        <f t="shared" si="56"/>
        <v>23.681131970363765</v>
      </c>
      <c r="K159" s="5">
        <f>VLOOKUP($B159,'Data Vlaue (Cr)'!$C:$FB,99)</f>
        <v>487</v>
      </c>
      <c r="L159" s="81">
        <f>VLOOKUP(B159,'OI(Value)'!$A$7:$C$209,3,0)</f>
        <v>-89</v>
      </c>
      <c r="M159" s="33">
        <f t="shared" si="57"/>
        <v>-18.275154004106774</v>
      </c>
      <c r="N159" s="5">
        <f>VLOOKUP($B159,'Data Vlaue (Cr)'!$C:$FB,67)</f>
        <v>1142</v>
      </c>
      <c r="O159" s="5">
        <f>VLOOKUP($B159,'Data Vlaue (Cr)'!$C:$FB,68)</f>
        <v>923</v>
      </c>
      <c r="P159" s="5">
        <f t="shared" si="58"/>
        <v>19.176882661996498</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New_Age</v>
      </c>
      <c r="B160" s="79" t="str">
        <f>'Data shares'!C155</f>
        <v>NYKAA</v>
      </c>
      <c r="C160" s="4">
        <f>VLOOKUP($B160,'Data shares'!$C:$FB,7)</f>
        <v>225.18</v>
      </c>
      <c r="D160" s="82">
        <f>VLOOKUP($B160,'Data shares'!$C:$FB,98)</f>
        <v>81337500</v>
      </c>
      <c r="E160" s="165">
        <f>VLOOKUP(B160,'Snapshot (Volume)'!$A$7:$G$168,7,0)</f>
        <v>80903125</v>
      </c>
      <c r="F160" s="165">
        <f t="shared" si="54"/>
        <v>434375</v>
      </c>
      <c r="G160" s="166">
        <f t="shared" si="55"/>
        <v>5.3690756692031365E-3</v>
      </c>
      <c r="H160" s="165">
        <f>VLOOKUP($B160,'Data shares'!$C:$FB,66)</f>
        <v>54062500</v>
      </c>
      <c r="I160" s="165">
        <f>VLOOKUP($B160,'Data shares'!$C:$FB,67)</f>
        <v>94650000</v>
      </c>
      <c r="J160" s="81">
        <f t="shared" si="56"/>
        <v>-42.881669307976757</v>
      </c>
      <c r="K160" s="5">
        <f>VLOOKUP($B160,'Data Vlaue (Cr)'!$C:$FB,99)</f>
        <v>1826</v>
      </c>
      <c r="L160" s="81">
        <f>VLOOKUP(B160,'OI(Value)'!$A$7:$C$209,3,0)</f>
        <v>10</v>
      </c>
      <c r="M160" s="33">
        <f t="shared" si="57"/>
        <v>0.547645125958379</v>
      </c>
      <c r="N160" s="5">
        <f>VLOOKUP($B160,'Data Vlaue (Cr)'!$C:$FB,67)</f>
        <v>1214</v>
      </c>
      <c r="O160" s="5">
        <f>VLOOKUP($B160,'Data Vlaue (Cr)'!$C:$FB,68)</f>
        <v>2125</v>
      </c>
      <c r="P160" s="5">
        <f t="shared" si="58"/>
        <v>-75.041186161449758</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Realty</v>
      </c>
      <c r="B161" s="79" t="str">
        <f>'Data shares'!C156</f>
        <v>OBEROIRLTY</v>
      </c>
      <c r="C161" s="4">
        <f>VLOOKUP($B161,'Data shares'!$C:$FB,7)</f>
        <v>1656.9</v>
      </c>
      <c r="D161" s="82">
        <f>VLOOKUP($B161,'Data shares'!$C:$FB,98)</f>
        <v>7815500</v>
      </c>
      <c r="E161" s="165">
        <f>VLOOKUP(B161,'Snapshot (Volume)'!$A$7:$G$168,7,0)</f>
        <v>7672350</v>
      </c>
      <c r="F161" s="165">
        <f t="shared" si="54"/>
        <v>143150</v>
      </c>
      <c r="G161" s="166">
        <f t="shared" si="55"/>
        <v>1.8657907942155924E-2</v>
      </c>
      <c r="H161" s="165">
        <f>VLOOKUP($B161,'Data shares'!$C:$FB,66)</f>
        <v>2996350</v>
      </c>
      <c r="I161" s="165">
        <f>VLOOKUP($B161,'Data shares'!$C:$FB,67)</f>
        <v>2295650</v>
      </c>
      <c r="J161" s="81">
        <f t="shared" si="56"/>
        <v>30.522945570971181</v>
      </c>
      <c r="K161" s="5">
        <f>VLOOKUP($B161,'Data Vlaue (Cr)'!$C:$FB,99)</f>
        <v>1298</v>
      </c>
      <c r="L161" s="81">
        <f>VLOOKUP(B161,'OI(Value)'!$A$7:$C$209,3,0)</f>
        <v>24</v>
      </c>
      <c r="M161" s="33">
        <f t="shared" si="57"/>
        <v>1.8489984591679509</v>
      </c>
      <c r="N161" s="5">
        <f>VLOOKUP($B161,'Data Vlaue (Cr)'!$C:$FB,67)</f>
        <v>498</v>
      </c>
      <c r="O161" s="5">
        <f>VLOOKUP($B161,'Data Vlaue (Cr)'!$C:$FB,68)</f>
        <v>381</v>
      </c>
      <c r="P161" s="5">
        <f t="shared" si="58"/>
        <v>23.493975903614459</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OFSS</v>
      </c>
      <c r="C162" s="4">
        <f>VLOOKUP($B162,'Data shares'!$C:$FB,7)</f>
        <v>8763</v>
      </c>
      <c r="D162" s="82">
        <f>VLOOKUP($B162,'Data shares'!$C:$FB,98)</f>
        <v>1551375</v>
      </c>
      <c r="E162" s="165">
        <f>VLOOKUP(B162,'Snapshot (Volume)'!$A$7:$G$168,7,0)</f>
        <v>1466850</v>
      </c>
      <c r="F162" s="165">
        <f t="shared" si="54"/>
        <v>84525</v>
      </c>
      <c r="G162" s="166">
        <f t="shared" si="55"/>
        <v>5.7623478883321401E-2</v>
      </c>
      <c r="H162" s="165">
        <f>VLOOKUP($B162,'Data shares'!$C:$FB,66)</f>
        <v>2551350</v>
      </c>
      <c r="I162" s="165">
        <f>VLOOKUP($B162,'Data shares'!$C:$FB,67)</f>
        <v>782325</v>
      </c>
      <c r="J162" s="81">
        <f t="shared" si="56"/>
        <v>226.12405330265551</v>
      </c>
      <c r="K162" s="5">
        <f>VLOOKUP($B162,'Data Vlaue (Cr)'!$C:$FB,99)</f>
        <v>1364</v>
      </c>
      <c r="L162" s="81">
        <f>VLOOKUP(B162,'OI(Value)'!$A$7:$C$209,3,0)</f>
        <v>74</v>
      </c>
      <c r="M162" s="33">
        <f t="shared" si="57"/>
        <v>5.4252199413489732</v>
      </c>
      <c r="N162" s="5">
        <f>VLOOKUP($B162,'Data Vlaue (Cr)'!$C:$FB,67)</f>
        <v>2243</v>
      </c>
      <c r="O162" s="5">
        <f>VLOOKUP($B162,'Data Vlaue (Cr)'!$C:$FB,68)</f>
        <v>688</v>
      </c>
      <c r="P162" s="5">
        <f>(N162-O162)/N162*100</f>
        <v>69.326794471689695</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OIL</v>
      </c>
      <c r="C163" s="4">
        <f>VLOOKUP($B163,'Data shares'!$C:$FB,7)</f>
        <v>408</v>
      </c>
      <c r="D163" s="82">
        <f>VLOOKUP($B163,'Data shares'!$C:$FB,98)</f>
        <v>21571200</v>
      </c>
      <c r="E163" s="165">
        <f>VLOOKUP(B163,'Snapshot (Volume)'!$A$7:$G$168,7,0)</f>
        <v>20823600</v>
      </c>
      <c r="F163" s="165">
        <f t="shared" si="54"/>
        <v>747600</v>
      </c>
      <c r="G163" s="166">
        <f t="shared" si="55"/>
        <v>3.5901573215006054E-2</v>
      </c>
      <c r="H163" s="165">
        <f>VLOOKUP($B163,'Data shares'!$C:$FB,66)</f>
        <v>8443400</v>
      </c>
      <c r="I163" s="165">
        <f>VLOOKUP($B163,'Data shares'!$C:$FB,67)</f>
        <v>7855400</v>
      </c>
      <c r="J163" s="81">
        <f t="shared" si="56"/>
        <v>7.4852967385492786</v>
      </c>
      <c r="K163" s="5">
        <f>VLOOKUP($B163,'Data Vlaue (Cr)'!$C:$FB,99)</f>
        <v>879</v>
      </c>
      <c r="L163" s="81">
        <f>VLOOKUP(B163,'OI(Value)'!$A$7:$C$209,3,0)</f>
        <v>30</v>
      </c>
      <c r="M163" s="33">
        <f t="shared" si="57"/>
        <v>3.4129692832764507</v>
      </c>
      <c r="N163" s="5">
        <f>VLOOKUP($B163,'Data Vlaue (Cr)'!$C:$FB,67)</f>
        <v>344</v>
      </c>
      <c r="O163" s="5">
        <f>VLOOKUP($B163,'Data Vlaue (Cr)'!$C:$FB,68)</f>
        <v>320</v>
      </c>
      <c r="P163" s="5">
        <f>(N163-O163)/N163*100</f>
        <v>6.9767441860465116</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Oil_Gas</v>
      </c>
      <c r="B164" s="79" t="str">
        <f>'Data shares'!C159</f>
        <v>ONGC</v>
      </c>
      <c r="C164" s="4">
        <f>VLOOKUP($B164,'Data shares'!$C:$FB,7)</f>
        <v>237.93</v>
      </c>
      <c r="D164" s="82">
        <f>VLOOKUP($B164,'Data shares'!$C:$FB,98)</f>
        <v>158827500</v>
      </c>
      <c r="E164" s="165">
        <f>VLOOKUP(B164,'Snapshot (Volume)'!$A$7:$G$168,7,0)</f>
        <v>155526750</v>
      </c>
      <c r="F164" s="165">
        <f t="shared" si="54"/>
        <v>3300750</v>
      </c>
      <c r="G164" s="166">
        <f t="shared" si="55"/>
        <v>2.1223037194566207E-2</v>
      </c>
      <c r="H164" s="165">
        <f>VLOOKUP($B164,'Data shares'!$C:$FB,66)</f>
        <v>63893250</v>
      </c>
      <c r="I164" s="165">
        <f>VLOOKUP($B164,'Data shares'!$C:$FB,67)</f>
        <v>45033750</v>
      </c>
      <c r="J164" s="81">
        <f t="shared" si="56"/>
        <v>41.878591056707471</v>
      </c>
      <c r="K164" s="5">
        <f>VLOOKUP($B164,'Data Vlaue (Cr)'!$C:$FB,99)</f>
        <v>3789</v>
      </c>
      <c r="L164" s="81">
        <f>VLOOKUP(B164,'OI(Value)'!$A$7:$C$209,3,0)</f>
        <v>79</v>
      </c>
      <c r="M164" s="33">
        <f t="shared" si="57"/>
        <v>2.0849828450778567</v>
      </c>
      <c r="N164" s="5">
        <f>VLOOKUP($B164,'Data Vlaue (Cr)'!$C:$FB,67)</f>
        <v>1524</v>
      </c>
      <c r="O164" s="5">
        <f>VLOOKUP($B164,'Data Vlaue (Cr)'!$C:$FB,68)</f>
        <v>1074</v>
      </c>
      <c r="P164" s="5">
        <f>(N164-O164)/N164*100</f>
        <v>29.527559055118108</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shares'!B223</f>
        <v>Pharma</v>
      </c>
      <c r="B166" s="79" t="str">
        <f>'Data shares'!C223</f>
        <v>ZYDUSLIFE</v>
      </c>
      <c r="C166" s="4">
        <f>VLOOKUP($B166,'Data shares'!$C:$FB,7)</f>
        <v>983.3</v>
      </c>
      <c r="D166" s="82">
        <f>VLOOKUP($B166,'Data shares'!$C:$FB,98)</f>
        <v>14229000</v>
      </c>
      <c r="E166" s="165" t="e">
        <f>VLOOKUP(B166,'Snapshot (Volume)'!$A$7:$G$168,7,0)</f>
        <v>#N/A</v>
      </c>
      <c r="F166" s="165" t="e">
        <f t="shared" si="54"/>
        <v>#N/A</v>
      </c>
      <c r="G166" s="166" t="e">
        <f t="shared" si="55"/>
        <v>#N/A</v>
      </c>
      <c r="H166" s="165">
        <f>VLOOKUP($B166,'Data shares'!$C:$FB,66)</f>
        <v>4051800</v>
      </c>
      <c r="I166" s="165">
        <f>VLOOKUP($B166,'Data shares'!$C:$FB,67)</f>
        <v>5055300</v>
      </c>
      <c r="J166" s="81">
        <f t="shared" si="56"/>
        <v>-19.850453978992345</v>
      </c>
      <c r="K166" s="5">
        <f>VLOOKUP($B166,'Data Vlaue (Cr)'!$C:$FB,99)</f>
        <v>1400</v>
      </c>
      <c r="L166" s="81">
        <f>VLOOKUP(B166,'OI(Value)'!$A$7:$C$209,3,0)</f>
        <v>8</v>
      </c>
      <c r="M166" s="33">
        <f t="shared" si="57"/>
        <v>0.5714285714285714</v>
      </c>
      <c r="N166" s="5">
        <f>VLOOKUP($B166,'Data Vlaue (Cr)'!$C:$FB,67)</f>
        <v>399</v>
      </c>
      <c r="O166" s="5">
        <f>VLOOKUP($B166,'Data Vlaue (Cr)'!$C:$FB,68)</f>
        <v>498</v>
      </c>
      <c r="P166" s="5">
        <f>(N166-O166)/N166*100</f>
        <v>-24.81203007518797</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3" activePane="bottomLeft" state="frozen"/>
      <selection pane="bottomLeft" activeCell="A34" sqref="A34"/>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45889</v>
      </c>
      <c r="C6" s="71" t="s">
        <v>333</v>
      </c>
      <c r="D6" s="71" t="s">
        <v>328</v>
      </c>
      <c r="E6" s="66">
        <f>B6</f>
        <v>45889</v>
      </c>
      <c r="F6" s="71" t="s">
        <v>333</v>
      </c>
      <c r="G6" s="71" t="s">
        <v>328</v>
      </c>
      <c r="H6" s="66">
        <f>B6</f>
        <v>45889</v>
      </c>
      <c r="I6" s="71" t="s">
        <v>333</v>
      </c>
      <c r="J6" s="71" t="s">
        <v>328</v>
      </c>
      <c r="K6" s="66">
        <f>B6</f>
        <v>45889</v>
      </c>
      <c r="L6" s="71" t="s">
        <v>333</v>
      </c>
      <c r="M6" s="71" t="s">
        <v>328</v>
      </c>
      <c r="N6" s="71" t="s">
        <v>339</v>
      </c>
      <c r="O6" s="71" t="s">
        <v>328</v>
      </c>
    </row>
    <row r="7" spans="1:15" x14ac:dyDescent="0.25">
      <c r="A7" s="100" t="str">
        <f>'OI(Value)'!A7</f>
        <v>360ONE</v>
      </c>
      <c r="B7" s="82">
        <f>VLOOKUP(A7,'Data shares'!$C$2:$CV$223,98,0)</f>
        <v>7439000</v>
      </c>
      <c r="C7" s="82">
        <f>VLOOKUP(A7,'Data shares'!$C$2:$CX$223,100,0)</f>
        <v>-72000</v>
      </c>
      <c r="D7" s="141">
        <f>VLOOKUP(A7,'Data shares'!$C$2:$CY$546,101,0)</f>
        <v>-9.5999999999999992E-3</v>
      </c>
      <c r="E7" s="86">
        <f>VLOOKUP($A7,'Data shares'!$C:$FA,74)</f>
        <v>5513500</v>
      </c>
      <c r="F7" s="86">
        <f>VLOOKUP($A7,'Data shares'!$C:$FA,76)</f>
        <v>4000</v>
      </c>
      <c r="G7" s="87">
        <f>VLOOKUP(A7,'Data shares'!$C$2:$CA$223,77,0)</f>
        <v>6.9999999999999999E-4</v>
      </c>
      <c r="H7" s="86">
        <f>VLOOKUP($A7,'Data shares'!$C:$FA,90)</f>
        <v>1219500</v>
      </c>
      <c r="I7" s="86">
        <f>VLOOKUP($A7,'Data shares'!$C:$FA,92)</f>
        <v>-500</v>
      </c>
      <c r="J7" s="87">
        <f>VLOOKUP($A7,'Data shares'!$C:$FA,93)</f>
        <v>-4.0000000000000002E-4</v>
      </c>
      <c r="K7" s="86">
        <f>VLOOKUP($A7,'Data shares'!$C:$FA,94)</f>
        <v>706000</v>
      </c>
      <c r="L7" s="86">
        <f>VLOOKUP($A7,'Data shares'!$C:$FA,96)</f>
        <v>-75500</v>
      </c>
      <c r="M7" s="87">
        <f>VLOOKUP($A7,'Data shares'!$C:$FA,97)</f>
        <v>-9.6600000000000005E-2</v>
      </c>
      <c r="N7" s="86">
        <f>VLOOKUP($A7,'Data shares'!$C:$FA,78)</f>
        <v>5343500</v>
      </c>
      <c r="O7" s="87">
        <f>VLOOKUP($A7,'Data shares'!$C:$FA,81)</f>
        <v>-2.7000000000000001E-3</v>
      </c>
    </row>
    <row r="8" spans="1:15" x14ac:dyDescent="0.25">
      <c r="A8" s="100" t="str">
        <f>'OI(Value)'!A8</f>
        <v>ABB</v>
      </c>
      <c r="B8" s="82">
        <f>VLOOKUP(A8,'Data shares'!$C$2:$CV$223,98,0)</f>
        <v>5956625</v>
      </c>
      <c r="C8" s="82">
        <f>VLOOKUP(A8,'Data shares'!$C$2:$CX$223,100,0)</f>
        <v>-80750</v>
      </c>
      <c r="D8" s="141">
        <f>VLOOKUP(A8,'Data shares'!$C$2:$CY$546,101,0)</f>
        <v>-1.34E-2</v>
      </c>
      <c r="E8" s="86">
        <f>VLOOKUP($A8,'Data shares'!$C:$FA,74)</f>
        <v>2973500</v>
      </c>
      <c r="F8" s="86">
        <f>VLOOKUP($A8,'Data shares'!$C:$FA,76)</f>
        <v>10125</v>
      </c>
      <c r="G8" s="87">
        <f>VLOOKUP(A8,'Data shares'!$C$2:$CA$223,77,0)</f>
        <v>3.3999999999999998E-3</v>
      </c>
      <c r="H8" s="86">
        <f>VLOOKUP($A8,'Data shares'!$C:$FA,90)</f>
        <v>1889500</v>
      </c>
      <c r="I8" s="86">
        <f>VLOOKUP($A8,'Data shares'!$C:$FA,92)</f>
        <v>-64375</v>
      </c>
      <c r="J8" s="87">
        <f>VLOOKUP($A8,'Data shares'!$C:$FA,93)</f>
        <v>-3.2899999999999999E-2</v>
      </c>
      <c r="K8" s="86">
        <f>VLOOKUP($A8,'Data shares'!$C:$FA,94)</f>
        <v>1093625</v>
      </c>
      <c r="L8" s="86">
        <f>VLOOKUP($A8,'Data shares'!$C:$FA,96)</f>
        <v>-26500</v>
      </c>
      <c r="M8" s="87">
        <f>VLOOKUP($A8,'Data shares'!$C:$FA,97)</f>
        <v>-2.3699999999999999E-2</v>
      </c>
      <c r="N8" s="86">
        <f>VLOOKUP($A8,'Data shares'!$C:$FA,78)</f>
        <v>2691500</v>
      </c>
      <c r="O8" s="87">
        <f>VLOOKUP($A8,'Data shares'!$C:$FA,81)</f>
        <v>-9.4000000000000004E-3</v>
      </c>
    </row>
    <row r="9" spans="1:15" x14ac:dyDescent="0.25">
      <c r="A9" s="100" t="str">
        <f>'OI(Value)'!A9</f>
        <v>ABCAPITAL</v>
      </c>
      <c r="B9" s="82">
        <f>VLOOKUP(A9,'Data shares'!$C$2:$CV$223,98,0)</f>
        <v>92231200</v>
      </c>
      <c r="C9" s="82">
        <f>VLOOKUP(A9,'Data shares'!$C$2:$CX$223,100,0)</f>
        <v>1745300</v>
      </c>
      <c r="D9" s="141">
        <f>VLOOKUP(A9,'Data shares'!$C$2:$CY$546,101,0)</f>
        <v>1.9300000000000001E-2</v>
      </c>
      <c r="E9" s="86">
        <f>VLOOKUP($A9,'Data shares'!$C:$FA,74)</f>
        <v>48366200</v>
      </c>
      <c r="F9" s="86">
        <f>VLOOKUP($A9,'Data shares'!$C:$FA,76)</f>
        <v>151900</v>
      </c>
      <c r="G9" s="87">
        <f>VLOOKUP(A9,'Data shares'!$C$2:$CA$223,77,0)</f>
        <v>3.2000000000000002E-3</v>
      </c>
      <c r="H9" s="86">
        <f>VLOOKUP($A9,'Data shares'!$C:$FA,90)</f>
        <v>25959400</v>
      </c>
      <c r="I9" s="86">
        <f>VLOOKUP($A9,'Data shares'!$C:$FA,92)</f>
        <v>1943700</v>
      </c>
      <c r="J9" s="87">
        <f>VLOOKUP($A9,'Data shares'!$C:$FA,93)</f>
        <v>8.09E-2</v>
      </c>
      <c r="K9" s="86">
        <f>VLOOKUP($A9,'Data shares'!$C:$FA,94)</f>
        <v>17905600</v>
      </c>
      <c r="L9" s="86">
        <f>VLOOKUP($A9,'Data shares'!$C:$FA,96)</f>
        <v>-350300</v>
      </c>
      <c r="M9" s="87">
        <f>VLOOKUP($A9,'Data shares'!$C:$FA,97)</f>
        <v>-1.9199999999999998E-2</v>
      </c>
      <c r="N9" s="86">
        <f>VLOOKUP($A9,'Data shares'!$C:$FA,78)</f>
        <v>43930100</v>
      </c>
      <c r="O9" s="87">
        <f>VLOOKUP($A9,'Data shares'!$C:$FA,81)</f>
        <v>-1.9E-2</v>
      </c>
    </row>
    <row r="10" spans="1:15" x14ac:dyDescent="0.25">
      <c r="A10" s="100" t="str">
        <f>'OI(Value)'!A10</f>
        <v>ABFRL</v>
      </c>
      <c r="B10" s="82">
        <f>VLOOKUP(A10,'Data shares'!$C$2:$CV$223,98,0)</f>
        <v>76297000</v>
      </c>
      <c r="C10" s="82">
        <f>VLOOKUP(A10,'Data shares'!$C$2:$CX$223,100,0)</f>
        <v>-1536600</v>
      </c>
      <c r="D10" s="141">
        <f>VLOOKUP(A10,'Data shares'!$C$2:$CY$546,101,0)</f>
        <v>-1.9699999999999999E-2</v>
      </c>
      <c r="E10" s="86">
        <f>VLOOKUP($A10,'Data shares'!$C:$FA,74)</f>
        <v>42876600</v>
      </c>
      <c r="F10" s="86">
        <f>VLOOKUP($A10,'Data shares'!$C:$FA,76)</f>
        <v>-145600</v>
      </c>
      <c r="G10" s="87">
        <f>VLOOKUP(A10,'Data shares'!$C$2:$CA$223,77,0)</f>
        <v>-3.3999999999999998E-3</v>
      </c>
      <c r="H10" s="86">
        <f>VLOOKUP($A10,'Data shares'!$C:$FA,90)</f>
        <v>20436000</v>
      </c>
      <c r="I10" s="86">
        <f>VLOOKUP($A10,'Data shares'!$C:$FA,92)</f>
        <v>-1027000</v>
      </c>
      <c r="J10" s="87">
        <f>VLOOKUP($A10,'Data shares'!$C:$FA,93)</f>
        <v>-4.7800000000000002E-2</v>
      </c>
      <c r="K10" s="86">
        <f>VLOOKUP($A10,'Data shares'!$C:$FA,94)</f>
        <v>12984400</v>
      </c>
      <c r="L10" s="86">
        <f>VLOOKUP($A10,'Data shares'!$C:$FA,96)</f>
        <v>-364000</v>
      </c>
      <c r="M10" s="87">
        <f>VLOOKUP($A10,'Data shares'!$C:$FA,97)</f>
        <v>-2.7300000000000001E-2</v>
      </c>
      <c r="N10" s="86">
        <f>VLOOKUP($A10,'Data shares'!$C:$FA,78)</f>
        <v>42876600</v>
      </c>
      <c r="O10" s="87">
        <f>VLOOKUP($A10,'Data shares'!$C:$FA,81)</f>
        <v>-3.3999999999999998E-3</v>
      </c>
    </row>
    <row r="11" spans="1:15" x14ac:dyDescent="0.25">
      <c r="A11" s="100" t="str">
        <f>'OI(Value)'!A11</f>
        <v>ADANIENSOL</v>
      </c>
      <c r="B11" s="82">
        <f>VLOOKUP(A11,'Data shares'!$C$2:$CV$223,98,0)</f>
        <v>25859925</v>
      </c>
      <c r="C11" s="82">
        <f>VLOOKUP(A11,'Data shares'!$C$2:$CX$223,100,0)</f>
        <v>237600</v>
      </c>
      <c r="D11" s="141">
        <f>VLOOKUP(A11,'Data shares'!$C$2:$CY$546,101,0)</f>
        <v>9.2999999999999992E-3</v>
      </c>
      <c r="E11" s="86">
        <f>VLOOKUP($A11,'Data shares'!$C:$FA,74)</f>
        <v>19706625</v>
      </c>
      <c r="F11" s="86">
        <f>VLOOKUP($A11,'Data shares'!$C:$FA,76)</f>
        <v>78300</v>
      </c>
      <c r="G11" s="87">
        <f>VLOOKUP(A11,'Data shares'!$C$2:$CA$223,77,0)</f>
        <v>4.0000000000000001E-3</v>
      </c>
      <c r="H11" s="86">
        <f>VLOOKUP($A11,'Data shares'!$C:$FA,90)</f>
        <v>3582900</v>
      </c>
      <c r="I11" s="86">
        <f>VLOOKUP($A11,'Data shares'!$C:$FA,92)</f>
        <v>93825</v>
      </c>
      <c r="J11" s="87">
        <f>VLOOKUP($A11,'Data shares'!$C:$FA,93)</f>
        <v>2.69E-2</v>
      </c>
      <c r="K11" s="86">
        <f>VLOOKUP($A11,'Data shares'!$C:$FA,94)</f>
        <v>2570400</v>
      </c>
      <c r="L11" s="86">
        <f>VLOOKUP($A11,'Data shares'!$C:$FA,96)</f>
        <v>65475</v>
      </c>
      <c r="M11" s="87">
        <f>VLOOKUP($A11,'Data shares'!$C:$FA,97)</f>
        <v>2.6100000000000002E-2</v>
      </c>
      <c r="N11" s="86">
        <f>VLOOKUP($A11,'Data shares'!$C:$FA,78)</f>
        <v>18885825</v>
      </c>
      <c r="O11" s="87">
        <f>VLOOKUP($A11,'Data shares'!$C:$FA,81)</f>
        <v>-8.3000000000000001E-3</v>
      </c>
    </row>
    <row r="12" spans="1:15" x14ac:dyDescent="0.25">
      <c r="A12" s="100" t="str">
        <f>'OI(Value)'!A12</f>
        <v>ADANIENT</v>
      </c>
      <c r="B12" s="82">
        <f>VLOOKUP(A12,'Data shares'!$C$2:$CV$223,98,0)</f>
        <v>35054100</v>
      </c>
      <c r="C12" s="82">
        <f>VLOOKUP(A12,'Data shares'!$C$2:$CX$223,100,0)</f>
        <v>-40800</v>
      </c>
      <c r="D12" s="141">
        <f>VLOOKUP(A12,'Data shares'!$C$2:$CY$546,101,0)</f>
        <v>-1.1999999999999999E-3</v>
      </c>
      <c r="E12" s="86">
        <f>VLOOKUP($A12,'Data shares'!$C:$FA,74)</f>
        <v>17055000</v>
      </c>
      <c r="F12" s="86">
        <f>VLOOKUP($A12,'Data shares'!$C:$FA,76)</f>
        <v>-197700</v>
      </c>
      <c r="G12" s="87">
        <f>VLOOKUP(A12,'Data shares'!$C$2:$CA$223,77,0)</f>
        <v>-1.15E-2</v>
      </c>
      <c r="H12" s="86">
        <f>VLOOKUP($A12,'Data shares'!$C:$FA,90)</f>
        <v>9311100</v>
      </c>
      <c r="I12" s="86">
        <f>VLOOKUP($A12,'Data shares'!$C:$FA,92)</f>
        <v>242700</v>
      </c>
      <c r="J12" s="87">
        <f>VLOOKUP($A12,'Data shares'!$C:$FA,93)</f>
        <v>2.6800000000000001E-2</v>
      </c>
      <c r="K12" s="86">
        <f>VLOOKUP($A12,'Data shares'!$C:$FA,94)</f>
        <v>8688000</v>
      </c>
      <c r="L12" s="86">
        <f>VLOOKUP($A12,'Data shares'!$C:$FA,96)</f>
        <v>-85800</v>
      </c>
      <c r="M12" s="87">
        <f>VLOOKUP($A12,'Data shares'!$C:$FA,97)</f>
        <v>-9.7999999999999997E-3</v>
      </c>
      <c r="N12" s="86">
        <f>VLOOKUP($A12,'Data shares'!$C:$FA,78)</f>
        <v>15794700</v>
      </c>
      <c r="O12" s="87">
        <f>VLOOKUP($A12,'Data shares'!$C:$FA,81)</f>
        <v>-2.5100000000000001E-2</v>
      </c>
    </row>
    <row r="13" spans="1:15" x14ac:dyDescent="0.25">
      <c r="A13" s="100" t="str">
        <f>'OI(Value)'!A13</f>
        <v>ADANIGREEN</v>
      </c>
      <c r="B13" s="82">
        <f>VLOOKUP(A13,'Data shares'!$C$2:$CV$223,98,0)</f>
        <v>28680600</v>
      </c>
      <c r="C13" s="82">
        <f>VLOOKUP(A13,'Data shares'!$C$2:$CX$223,100,0)</f>
        <v>-395400</v>
      </c>
      <c r="D13" s="141">
        <f>VLOOKUP(A13,'Data shares'!$C$2:$CY$546,101,0)</f>
        <v>-1.3599999999999999E-2</v>
      </c>
      <c r="E13" s="86">
        <f>VLOOKUP($A13,'Data shares'!$C:$FA,74)</f>
        <v>19405800</v>
      </c>
      <c r="F13" s="86">
        <f>VLOOKUP($A13,'Data shares'!$C:$FA,76)</f>
        <v>-310200</v>
      </c>
      <c r="G13" s="87">
        <f>VLOOKUP(A13,'Data shares'!$C$2:$CA$223,77,0)</f>
        <v>-1.5699999999999999E-2</v>
      </c>
      <c r="H13" s="86">
        <f>VLOOKUP($A13,'Data shares'!$C:$FA,90)</f>
        <v>5215200</v>
      </c>
      <c r="I13" s="86">
        <f>VLOOKUP($A13,'Data shares'!$C:$FA,92)</f>
        <v>-91200</v>
      </c>
      <c r="J13" s="87">
        <f>VLOOKUP($A13,'Data shares'!$C:$FA,93)</f>
        <v>-1.72E-2</v>
      </c>
      <c r="K13" s="86">
        <f>VLOOKUP($A13,'Data shares'!$C:$FA,94)</f>
        <v>4059600</v>
      </c>
      <c r="L13" s="86">
        <f>VLOOKUP($A13,'Data shares'!$C:$FA,96)</f>
        <v>6000</v>
      </c>
      <c r="M13" s="87">
        <f>VLOOKUP($A13,'Data shares'!$C:$FA,97)</f>
        <v>1.5E-3</v>
      </c>
      <c r="N13" s="86">
        <f>VLOOKUP($A13,'Data shares'!$C:$FA,78)</f>
        <v>18511800</v>
      </c>
      <c r="O13" s="87">
        <f>VLOOKUP($A13,'Data shares'!$C:$FA,81)</f>
        <v>-2.07E-2</v>
      </c>
    </row>
    <row r="14" spans="1:15" x14ac:dyDescent="0.25">
      <c r="A14" s="100" t="str">
        <f>'OI(Value)'!A14</f>
        <v>ADANIPORTS</v>
      </c>
      <c r="B14" s="82">
        <f>VLOOKUP(A14,'Data shares'!$C$2:$CV$223,98,0)</f>
        <v>40978250</v>
      </c>
      <c r="C14" s="82">
        <f>VLOOKUP(A14,'Data shares'!$C$2:$CX$223,100,0)</f>
        <v>-596600</v>
      </c>
      <c r="D14" s="141">
        <f>VLOOKUP(A14,'Data shares'!$C$2:$CY$546,101,0)</f>
        <v>-1.44E-2</v>
      </c>
      <c r="E14" s="86">
        <f>VLOOKUP($A14,'Data shares'!$C:$FA,74)</f>
        <v>25108025</v>
      </c>
      <c r="F14" s="86">
        <f>VLOOKUP($A14,'Data shares'!$C:$FA,76)</f>
        <v>-236550</v>
      </c>
      <c r="G14" s="87">
        <f>VLOOKUP(A14,'Data shares'!$C$2:$CA$223,77,0)</f>
        <v>-9.2999999999999992E-3</v>
      </c>
      <c r="H14" s="86">
        <f>VLOOKUP($A14,'Data shares'!$C:$FA,90)</f>
        <v>9014550</v>
      </c>
      <c r="I14" s="86">
        <f>VLOOKUP($A14,'Data shares'!$C:$FA,92)</f>
        <v>-147250</v>
      </c>
      <c r="J14" s="87">
        <f>VLOOKUP($A14,'Data shares'!$C:$FA,93)</f>
        <v>-1.61E-2</v>
      </c>
      <c r="K14" s="86">
        <f>VLOOKUP($A14,'Data shares'!$C:$FA,94)</f>
        <v>6855675</v>
      </c>
      <c r="L14" s="86">
        <f>VLOOKUP($A14,'Data shares'!$C:$FA,96)</f>
        <v>-212800</v>
      </c>
      <c r="M14" s="87">
        <f>VLOOKUP($A14,'Data shares'!$C:$FA,97)</f>
        <v>-3.0099999999999998E-2</v>
      </c>
      <c r="N14" s="86">
        <f>VLOOKUP($A14,'Data shares'!$C:$FA,78)</f>
        <v>22980975</v>
      </c>
      <c r="O14" s="87">
        <f>VLOOKUP($A14,'Data shares'!$C:$FA,81)</f>
        <v>-1.9199999999999998E-2</v>
      </c>
    </row>
    <row r="15" spans="1:15" x14ac:dyDescent="0.25">
      <c r="A15" s="100" t="str">
        <f>'OI(Value)'!A15</f>
        <v>ALKEM</v>
      </c>
      <c r="B15" s="82">
        <f>VLOOKUP(A15,'Data shares'!$C$2:$CV$223,98,0)</f>
        <v>2752375</v>
      </c>
      <c r="C15" s="82">
        <f>VLOOKUP(A15,'Data shares'!$C$2:$CX$223,100,0)</f>
        <v>65750</v>
      </c>
      <c r="D15" s="141">
        <f>VLOOKUP(A15,'Data shares'!$C$2:$CY$546,101,0)</f>
        <v>2.4500000000000001E-2</v>
      </c>
      <c r="E15" s="86">
        <f>VLOOKUP($A15,'Data shares'!$C:$FA,74)</f>
        <v>1643125</v>
      </c>
      <c r="F15" s="86">
        <f>VLOOKUP($A15,'Data shares'!$C:$FA,76)</f>
        <v>5375</v>
      </c>
      <c r="G15" s="87">
        <f>VLOOKUP(A15,'Data shares'!$C$2:$CA$223,77,0)</f>
        <v>3.3E-3</v>
      </c>
      <c r="H15" s="86">
        <f>VLOOKUP($A15,'Data shares'!$C:$FA,90)</f>
        <v>626750</v>
      </c>
      <c r="I15" s="86">
        <f>VLOOKUP($A15,'Data shares'!$C:$FA,92)</f>
        <v>82625</v>
      </c>
      <c r="J15" s="87">
        <f>VLOOKUP($A15,'Data shares'!$C:$FA,93)</f>
        <v>0.15179999999999999</v>
      </c>
      <c r="K15" s="86">
        <f>VLOOKUP($A15,'Data shares'!$C:$FA,94)</f>
        <v>482500</v>
      </c>
      <c r="L15" s="86">
        <f>VLOOKUP($A15,'Data shares'!$C:$FA,96)</f>
        <v>-22250</v>
      </c>
      <c r="M15" s="87">
        <f>VLOOKUP($A15,'Data shares'!$C:$FA,97)</f>
        <v>-4.41E-2</v>
      </c>
      <c r="N15" s="86">
        <f>VLOOKUP($A15,'Data shares'!$C:$FA,78)</f>
        <v>1440750</v>
      </c>
      <c r="O15" s="87">
        <f>VLOOKUP($A15,'Data shares'!$C:$FA,81)</f>
        <v>-2.7000000000000001E-3</v>
      </c>
    </row>
    <row r="16" spans="1:15" x14ac:dyDescent="0.25">
      <c r="A16" s="100" t="str">
        <f>'OI(Value)'!A16</f>
        <v>AMBER</v>
      </c>
      <c r="B16" s="82">
        <f>VLOOKUP(A16,'Data shares'!$C$2:$CV$223,98,0)</f>
        <v>2233600</v>
      </c>
      <c r="C16" s="82">
        <f>VLOOKUP(A16,'Data shares'!$C$2:$CX$223,100,0)</f>
        <v>-66700</v>
      </c>
      <c r="D16" s="141">
        <f>VLOOKUP(A16,'Data shares'!$C$2:$CY$546,101,0)</f>
        <v>-2.9000000000000001E-2</v>
      </c>
      <c r="E16" s="86">
        <f>VLOOKUP($A16,'Data shares'!$C:$FA,74)</f>
        <v>721100</v>
      </c>
      <c r="F16" s="86">
        <f>VLOOKUP($A16,'Data shares'!$C:$FA,76)</f>
        <v>10800</v>
      </c>
      <c r="G16" s="87">
        <f>VLOOKUP(A16,'Data shares'!$C$2:$CA$223,77,0)</f>
        <v>1.52E-2</v>
      </c>
      <c r="H16" s="86">
        <f>VLOOKUP($A16,'Data shares'!$C:$FA,90)</f>
        <v>1011600</v>
      </c>
      <c r="I16" s="86">
        <f>VLOOKUP($A16,'Data shares'!$C:$FA,92)</f>
        <v>-13100</v>
      </c>
      <c r="J16" s="87">
        <f>VLOOKUP($A16,'Data shares'!$C:$FA,93)</f>
        <v>-1.2800000000000001E-2</v>
      </c>
      <c r="K16" s="86">
        <f>VLOOKUP($A16,'Data shares'!$C:$FA,94)</f>
        <v>500900</v>
      </c>
      <c r="L16" s="86">
        <f>VLOOKUP($A16,'Data shares'!$C:$FA,96)</f>
        <v>-64400</v>
      </c>
      <c r="M16" s="87">
        <f>VLOOKUP($A16,'Data shares'!$C:$FA,97)</f>
        <v>-0.1139</v>
      </c>
      <c r="N16" s="86">
        <f>VLOOKUP($A16,'Data shares'!$C:$FA,78)</f>
        <v>678900</v>
      </c>
      <c r="O16" s="87">
        <f>VLOOKUP($A16,'Data shares'!$C:$FA,81)</f>
        <v>-2.0999999999999999E-3</v>
      </c>
    </row>
    <row r="17" spans="1:15" x14ac:dyDescent="0.25">
      <c r="A17" s="100" t="str">
        <f>'OI(Value)'!A17</f>
        <v>AMBUJACEM</v>
      </c>
      <c r="B17" s="82">
        <f>VLOOKUP(A17,'Data shares'!$C$2:$CV$223,98,0)</f>
        <v>47377050</v>
      </c>
      <c r="C17" s="82">
        <f>VLOOKUP(A17,'Data shares'!$C$2:$CX$223,100,0)</f>
        <v>1021650</v>
      </c>
      <c r="D17" s="141">
        <f>VLOOKUP(A17,'Data shares'!$C$2:$CY$546,101,0)</f>
        <v>2.1999999999999999E-2</v>
      </c>
      <c r="E17" s="86">
        <f>VLOOKUP($A17,'Data shares'!$C:$FA,74)</f>
        <v>29981700</v>
      </c>
      <c r="F17" s="86">
        <f>VLOOKUP($A17,'Data shares'!$C:$FA,76)</f>
        <v>474600</v>
      </c>
      <c r="G17" s="87">
        <f>VLOOKUP(A17,'Data shares'!$C$2:$CA$223,77,0)</f>
        <v>1.61E-2</v>
      </c>
      <c r="H17" s="86">
        <f>VLOOKUP($A17,'Data shares'!$C:$FA,90)</f>
        <v>11236050</v>
      </c>
      <c r="I17" s="86">
        <f>VLOOKUP($A17,'Data shares'!$C:$FA,92)</f>
        <v>282450</v>
      </c>
      <c r="J17" s="87">
        <f>VLOOKUP($A17,'Data shares'!$C:$FA,93)</f>
        <v>2.58E-2</v>
      </c>
      <c r="K17" s="86">
        <f>VLOOKUP($A17,'Data shares'!$C:$FA,94)</f>
        <v>6159300</v>
      </c>
      <c r="L17" s="86">
        <f>VLOOKUP($A17,'Data shares'!$C:$FA,96)</f>
        <v>264600</v>
      </c>
      <c r="M17" s="87">
        <f>VLOOKUP($A17,'Data shares'!$C:$FA,97)</f>
        <v>4.4900000000000002E-2</v>
      </c>
      <c r="N17" s="86">
        <f>VLOOKUP($A17,'Data shares'!$C:$FA,78)</f>
        <v>27599250</v>
      </c>
      <c r="O17" s="87">
        <f>VLOOKUP($A17,'Data shares'!$C:$FA,81)</f>
        <v>-1.95E-2</v>
      </c>
    </row>
    <row r="18" spans="1:15" x14ac:dyDescent="0.25">
      <c r="A18" s="100" t="str">
        <f>'OI(Value)'!A18</f>
        <v>ANGELONE</v>
      </c>
      <c r="B18" s="82">
        <f>VLOOKUP(A18,'Data shares'!$C$2:$CV$223,98,0)</f>
        <v>5611500</v>
      </c>
      <c r="C18" s="82">
        <f>VLOOKUP(A18,'Data shares'!$C$2:$CX$223,100,0)</f>
        <v>-41750</v>
      </c>
      <c r="D18" s="141">
        <f>VLOOKUP(A18,'Data shares'!$C$2:$CY$546,101,0)</f>
        <v>-7.4000000000000003E-3</v>
      </c>
      <c r="E18" s="86">
        <f>VLOOKUP($A18,'Data shares'!$C:$FA,74)</f>
        <v>2583500</v>
      </c>
      <c r="F18" s="86">
        <f>VLOOKUP($A18,'Data shares'!$C:$FA,76)</f>
        <v>20000</v>
      </c>
      <c r="G18" s="87">
        <f>VLOOKUP(A18,'Data shares'!$C$2:$CA$223,77,0)</f>
        <v>7.7999999999999996E-3</v>
      </c>
      <c r="H18" s="86">
        <f>VLOOKUP($A18,'Data shares'!$C:$FA,90)</f>
        <v>1589750</v>
      </c>
      <c r="I18" s="86">
        <f>VLOOKUP($A18,'Data shares'!$C:$FA,92)</f>
        <v>-65500</v>
      </c>
      <c r="J18" s="87">
        <f>VLOOKUP($A18,'Data shares'!$C:$FA,93)</f>
        <v>-3.9600000000000003E-2</v>
      </c>
      <c r="K18" s="86">
        <f>VLOOKUP($A18,'Data shares'!$C:$FA,94)</f>
        <v>1438250</v>
      </c>
      <c r="L18" s="86">
        <f>VLOOKUP($A18,'Data shares'!$C:$FA,96)</f>
        <v>3750</v>
      </c>
      <c r="M18" s="87">
        <f>VLOOKUP($A18,'Data shares'!$C:$FA,97)</f>
        <v>2.5999999999999999E-3</v>
      </c>
      <c r="N18" s="86">
        <f>VLOOKUP($A18,'Data shares'!$C:$FA,78)</f>
        <v>2363500</v>
      </c>
      <c r="O18" s="87">
        <f>VLOOKUP($A18,'Data shares'!$C:$FA,81)</f>
        <v>3.7000000000000002E-3</v>
      </c>
    </row>
    <row r="19" spans="1:15" x14ac:dyDescent="0.25">
      <c r="A19" s="100" t="str">
        <f>'OI(Value)'!A19</f>
        <v>APLAPOLLO</v>
      </c>
      <c r="B19" s="82">
        <f>VLOOKUP(A19,'Data shares'!$C$2:$CV$223,98,0)</f>
        <v>10179050</v>
      </c>
      <c r="C19" s="82">
        <f>VLOOKUP(A19,'Data shares'!$C$2:$CX$223,100,0)</f>
        <v>149800</v>
      </c>
      <c r="D19" s="141">
        <f>VLOOKUP(A19,'Data shares'!$C$2:$CY$546,101,0)</f>
        <v>1.49E-2</v>
      </c>
      <c r="E19" s="86">
        <f>VLOOKUP($A19,'Data shares'!$C:$FA,74)</f>
        <v>6697950</v>
      </c>
      <c r="F19" s="86">
        <f>VLOOKUP($A19,'Data shares'!$C:$FA,76)</f>
        <v>126000</v>
      </c>
      <c r="G19" s="87">
        <f>VLOOKUP(A19,'Data shares'!$C$2:$CA$223,77,0)</f>
        <v>1.9199999999999998E-2</v>
      </c>
      <c r="H19" s="86">
        <f>VLOOKUP($A19,'Data shares'!$C:$FA,90)</f>
        <v>1663200</v>
      </c>
      <c r="I19" s="86">
        <f>VLOOKUP($A19,'Data shares'!$C:$FA,92)</f>
        <v>-23100</v>
      </c>
      <c r="J19" s="87">
        <f>VLOOKUP($A19,'Data shares'!$C:$FA,93)</f>
        <v>-1.37E-2</v>
      </c>
      <c r="K19" s="86">
        <f>VLOOKUP($A19,'Data shares'!$C:$FA,94)</f>
        <v>1817900</v>
      </c>
      <c r="L19" s="86">
        <f>VLOOKUP($A19,'Data shares'!$C:$FA,96)</f>
        <v>46900</v>
      </c>
      <c r="M19" s="87">
        <f>VLOOKUP($A19,'Data shares'!$C:$FA,97)</f>
        <v>2.6499999999999999E-2</v>
      </c>
      <c r="N19" s="86">
        <f>VLOOKUP($A19,'Data shares'!$C:$FA,78)</f>
        <v>6320300</v>
      </c>
      <c r="O19" s="87">
        <f>VLOOKUP($A19,'Data shares'!$C:$FA,81)</f>
        <v>-8.0000000000000004E-4</v>
      </c>
    </row>
    <row r="20" spans="1:15" x14ac:dyDescent="0.25">
      <c r="A20" s="100" t="str">
        <f>'OI(Value)'!A20</f>
        <v>APOLLOHOSP</v>
      </c>
      <c r="B20" s="82">
        <f>VLOOKUP(A20,'Data shares'!$C$2:$CV$223,98,0)</f>
        <v>7883250</v>
      </c>
      <c r="C20" s="82">
        <f>VLOOKUP(A20,'Data shares'!$C$2:$CX$223,100,0)</f>
        <v>39375</v>
      </c>
      <c r="D20" s="141">
        <f>VLOOKUP(A20,'Data shares'!$C$2:$CY$546,101,0)</f>
        <v>5.0000000000000001E-3</v>
      </c>
      <c r="E20" s="86">
        <f>VLOOKUP($A20,'Data shares'!$C:$FA,74)</f>
        <v>3423625</v>
      </c>
      <c r="F20" s="86">
        <f>VLOOKUP($A20,'Data shares'!$C:$FA,76)</f>
        <v>-113875</v>
      </c>
      <c r="G20" s="87">
        <f>VLOOKUP(A20,'Data shares'!$C$2:$CA$223,77,0)</f>
        <v>-3.2199999999999999E-2</v>
      </c>
      <c r="H20" s="86">
        <f>VLOOKUP($A20,'Data shares'!$C:$FA,90)</f>
        <v>2044000</v>
      </c>
      <c r="I20" s="86">
        <f>VLOOKUP($A20,'Data shares'!$C:$FA,92)</f>
        <v>18750</v>
      </c>
      <c r="J20" s="87">
        <f>VLOOKUP($A20,'Data shares'!$C:$FA,93)</f>
        <v>9.2999999999999992E-3</v>
      </c>
      <c r="K20" s="86">
        <f>VLOOKUP($A20,'Data shares'!$C:$FA,94)</f>
        <v>2415625</v>
      </c>
      <c r="L20" s="86">
        <f>VLOOKUP($A20,'Data shares'!$C:$FA,96)</f>
        <v>134500</v>
      </c>
      <c r="M20" s="87">
        <f>VLOOKUP($A20,'Data shares'!$C:$FA,97)</f>
        <v>5.8999999999999997E-2</v>
      </c>
      <c r="N20" s="86">
        <f>VLOOKUP($A20,'Data shares'!$C:$FA,78)</f>
        <v>3119625</v>
      </c>
      <c r="O20" s="87">
        <f>VLOOKUP($A20,'Data shares'!$C:$FA,81)</f>
        <v>-4.0500000000000001E-2</v>
      </c>
    </row>
    <row r="21" spans="1:15" x14ac:dyDescent="0.25">
      <c r="A21" s="100" t="str">
        <f>'OI(Value)'!A21</f>
        <v>ASHOKLEY</v>
      </c>
      <c r="B21" s="82">
        <f>VLOOKUP(A21,'Data shares'!$C$2:$CV$223,98,0)</f>
        <v>215825000</v>
      </c>
      <c r="C21" s="82">
        <f>VLOOKUP(A21,'Data shares'!$C$2:$CX$223,100,0)</f>
        <v>550000</v>
      </c>
      <c r="D21" s="141">
        <f>VLOOKUP(A21,'Data shares'!$C$2:$CY$546,101,0)</f>
        <v>2.5999999999999999E-3</v>
      </c>
      <c r="E21" s="86">
        <f>VLOOKUP($A21,'Data shares'!$C:$FA,74)</f>
        <v>107130000</v>
      </c>
      <c r="F21" s="86">
        <f>VLOOKUP($A21,'Data shares'!$C:$FA,76)</f>
        <v>505000</v>
      </c>
      <c r="G21" s="87">
        <f>VLOOKUP(A21,'Data shares'!$C$2:$CA$223,77,0)</f>
        <v>4.7000000000000002E-3</v>
      </c>
      <c r="H21" s="86">
        <f>VLOOKUP($A21,'Data shares'!$C:$FA,90)</f>
        <v>51740000</v>
      </c>
      <c r="I21" s="86">
        <f>VLOOKUP($A21,'Data shares'!$C:$FA,92)</f>
        <v>-415000</v>
      </c>
      <c r="J21" s="87">
        <f>VLOOKUP($A21,'Data shares'!$C:$FA,93)</f>
        <v>-8.0000000000000002E-3</v>
      </c>
      <c r="K21" s="86">
        <f>VLOOKUP($A21,'Data shares'!$C:$FA,94)</f>
        <v>56955000</v>
      </c>
      <c r="L21" s="86">
        <f>VLOOKUP($A21,'Data shares'!$C:$FA,96)</f>
        <v>460000</v>
      </c>
      <c r="M21" s="87">
        <f>VLOOKUP($A21,'Data shares'!$C:$FA,97)</f>
        <v>8.0999999999999996E-3</v>
      </c>
      <c r="N21" s="86">
        <f>VLOOKUP($A21,'Data shares'!$C:$FA,78)</f>
        <v>98160000</v>
      </c>
      <c r="O21" s="87">
        <f>VLOOKUP($A21,'Data shares'!$C:$FA,81)</f>
        <v>-1.7299999999999999E-2</v>
      </c>
    </row>
    <row r="22" spans="1:15" x14ac:dyDescent="0.25">
      <c r="A22" s="100" t="str">
        <f>'OI(Value)'!A22</f>
        <v>ASIANPAINT</v>
      </c>
      <c r="B22" s="82">
        <f>VLOOKUP(A22,'Data shares'!$C$2:$CV$223,98,0)</f>
        <v>24986750</v>
      </c>
      <c r="C22" s="82">
        <f>VLOOKUP(A22,'Data shares'!$C$2:$CX$223,100,0)</f>
        <v>293250</v>
      </c>
      <c r="D22" s="141">
        <f>VLOOKUP(A22,'Data shares'!$C$2:$CY$546,101,0)</f>
        <v>1.1900000000000001E-2</v>
      </c>
      <c r="E22" s="86">
        <f>VLOOKUP($A22,'Data shares'!$C:$FA,74)</f>
        <v>14227750</v>
      </c>
      <c r="F22" s="86">
        <f>VLOOKUP($A22,'Data shares'!$C:$FA,76)</f>
        <v>361000</v>
      </c>
      <c r="G22" s="87">
        <f>VLOOKUP(A22,'Data shares'!$C$2:$CA$223,77,0)</f>
        <v>2.5999999999999999E-2</v>
      </c>
      <c r="H22" s="86">
        <f>VLOOKUP($A22,'Data shares'!$C:$FA,90)</f>
        <v>6602500</v>
      </c>
      <c r="I22" s="86">
        <f>VLOOKUP($A22,'Data shares'!$C:$FA,92)</f>
        <v>-139000</v>
      </c>
      <c r="J22" s="87">
        <f>VLOOKUP($A22,'Data shares'!$C:$FA,93)</f>
        <v>-2.06E-2</v>
      </c>
      <c r="K22" s="86">
        <f>VLOOKUP($A22,'Data shares'!$C:$FA,94)</f>
        <v>4156500</v>
      </c>
      <c r="L22" s="86">
        <f>VLOOKUP($A22,'Data shares'!$C:$FA,96)</f>
        <v>71250</v>
      </c>
      <c r="M22" s="87">
        <f>VLOOKUP($A22,'Data shares'!$C:$FA,97)</f>
        <v>1.7399999999999999E-2</v>
      </c>
      <c r="N22" s="86">
        <f>VLOOKUP($A22,'Data shares'!$C:$FA,78)</f>
        <v>13286250</v>
      </c>
      <c r="O22" s="87">
        <f>VLOOKUP($A22,'Data shares'!$C:$FA,81)</f>
        <v>1.6799999999999999E-2</v>
      </c>
    </row>
    <row r="23" spans="1:15" x14ac:dyDescent="0.25">
      <c r="A23" s="100" t="str">
        <f>'OI(Value)'!A23</f>
        <v>ASTRAL</v>
      </c>
      <c r="B23" s="82">
        <f>VLOOKUP(A23,'Data shares'!$C$2:$CV$223,98,0)</f>
        <v>14440650</v>
      </c>
      <c r="C23" s="82">
        <f>VLOOKUP(A23,'Data shares'!$C$2:$CX$223,100,0)</f>
        <v>-231625</v>
      </c>
      <c r="D23" s="141">
        <f>VLOOKUP(A23,'Data shares'!$C$2:$CY$546,101,0)</f>
        <v>-1.5800000000000002E-2</v>
      </c>
      <c r="E23" s="86">
        <f>VLOOKUP($A23,'Data shares'!$C:$FA,74)</f>
        <v>7637675</v>
      </c>
      <c r="F23" s="86">
        <f>VLOOKUP($A23,'Data shares'!$C:$FA,76)</f>
        <v>-241825</v>
      </c>
      <c r="G23" s="87">
        <f>VLOOKUP(A23,'Data shares'!$C$2:$CA$223,77,0)</f>
        <v>-3.0700000000000002E-2</v>
      </c>
      <c r="H23" s="86">
        <f>VLOOKUP($A23,'Data shares'!$C:$FA,90)</f>
        <v>3594225</v>
      </c>
      <c r="I23" s="86">
        <f>VLOOKUP($A23,'Data shares'!$C:$FA,92)</f>
        <v>6375</v>
      </c>
      <c r="J23" s="87">
        <f>VLOOKUP($A23,'Data shares'!$C:$FA,93)</f>
        <v>1.8E-3</v>
      </c>
      <c r="K23" s="86">
        <f>VLOOKUP($A23,'Data shares'!$C:$FA,94)</f>
        <v>3208750</v>
      </c>
      <c r="L23" s="86">
        <f>VLOOKUP($A23,'Data shares'!$C:$FA,96)</f>
        <v>3825</v>
      </c>
      <c r="M23" s="87">
        <f>VLOOKUP($A23,'Data shares'!$C:$FA,97)</f>
        <v>1.1999999999999999E-3</v>
      </c>
      <c r="N23" s="86">
        <f>VLOOKUP($A23,'Data shares'!$C:$FA,78)</f>
        <v>6799575</v>
      </c>
      <c r="O23" s="87">
        <f>VLOOKUP($A23,'Data shares'!$C:$FA,81)</f>
        <v>-3.6999999999999998E-2</v>
      </c>
    </row>
    <row r="24" spans="1:15" x14ac:dyDescent="0.25">
      <c r="A24" s="100" t="str">
        <f>'OI(Value)'!A24</f>
        <v>ATGL</v>
      </c>
      <c r="B24" s="82">
        <f>VLOOKUP(A24,'Data shares'!$C$2:$CV$223,98,0)</f>
        <v>5320875</v>
      </c>
      <c r="C24" s="82">
        <f>VLOOKUP(A24,'Data shares'!$C$2:$CX$223,100,0)</f>
        <v>-335125</v>
      </c>
      <c r="D24" s="141">
        <f>VLOOKUP(A24,'Data shares'!$C$2:$CY$546,101,0)</f>
        <v>-5.9299999999999999E-2</v>
      </c>
      <c r="E24" s="86">
        <f>VLOOKUP($A24,'Data shares'!$C:$FA,74)</f>
        <v>2530500</v>
      </c>
      <c r="F24" s="86">
        <f>VLOOKUP($A24,'Data shares'!$C:$FA,76)</f>
        <v>-153125</v>
      </c>
      <c r="G24" s="87">
        <f>VLOOKUP(A24,'Data shares'!$C$2:$CA$223,77,0)</f>
        <v>-5.7099999999999998E-2</v>
      </c>
      <c r="H24" s="86">
        <f>VLOOKUP($A24,'Data shares'!$C:$FA,90)</f>
        <v>1484875</v>
      </c>
      <c r="I24" s="86">
        <f>VLOOKUP($A24,'Data shares'!$C:$FA,92)</f>
        <v>-147875</v>
      </c>
      <c r="J24" s="87">
        <f>VLOOKUP($A24,'Data shares'!$C:$FA,93)</f>
        <v>-9.06E-2</v>
      </c>
      <c r="K24" s="86">
        <f>VLOOKUP($A24,'Data shares'!$C:$FA,94)</f>
        <v>1305500</v>
      </c>
      <c r="L24" s="86">
        <f>VLOOKUP($A24,'Data shares'!$C:$FA,96)</f>
        <v>-34125</v>
      </c>
      <c r="M24" s="87">
        <f>VLOOKUP($A24,'Data shares'!$C:$FA,97)</f>
        <v>-2.5499999999999998E-2</v>
      </c>
      <c r="N24" s="86">
        <f>VLOOKUP($A24,'Data shares'!$C:$FA,78)</f>
        <v>2530500</v>
      </c>
      <c r="O24" s="87">
        <f>VLOOKUP($A24,'Data shares'!$C:$FA,81)</f>
        <v>-5.7099999999999998E-2</v>
      </c>
    </row>
    <row r="25" spans="1:15" x14ac:dyDescent="0.25">
      <c r="A25" s="100" t="str">
        <f>'OI(Value)'!A25</f>
        <v>AUBANK</v>
      </c>
      <c r="B25" s="82">
        <f>VLOOKUP(A25,'Data shares'!$C$2:$CV$223,98,0)</f>
        <v>35374000</v>
      </c>
      <c r="C25" s="82">
        <f>VLOOKUP(A25,'Data shares'!$C$2:$CX$223,100,0)</f>
        <v>253000</v>
      </c>
      <c r="D25" s="141">
        <f>VLOOKUP(A25,'Data shares'!$C$2:$CY$546,101,0)</f>
        <v>7.1999999999999998E-3</v>
      </c>
      <c r="E25" s="86">
        <f>VLOOKUP($A25,'Data shares'!$C:$FA,74)</f>
        <v>20631000</v>
      </c>
      <c r="F25" s="86">
        <f>VLOOKUP($A25,'Data shares'!$C:$FA,76)</f>
        <v>69000</v>
      </c>
      <c r="G25" s="87">
        <f>VLOOKUP(A25,'Data shares'!$C$2:$CA$223,77,0)</f>
        <v>3.3999999999999998E-3</v>
      </c>
      <c r="H25" s="86">
        <f>VLOOKUP($A25,'Data shares'!$C:$FA,90)</f>
        <v>9251000</v>
      </c>
      <c r="I25" s="86">
        <f>VLOOKUP($A25,'Data shares'!$C:$FA,92)</f>
        <v>38000</v>
      </c>
      <c r="J25" s="87">
        <f>VLOOKUP($A25,'Data shares'!$C:$FA,93)</f>
        <v>4.1000000000000003E-3</v>
      </c>
      <c r="K25" s="86">
        <f>VLOOKUP($A25,'Data shares'!$C:$FA,94)</f>
        <v>5492000</v>
      </c>
      <c r="L25" s="86">
        <f>VLOOKUP($A25,'Data shares'!$C:$FA,96)</f>
        <v>146000</v>
      </c>
      <c r="M25" s="87">
        <f>VLOOKUP($A25,'Data shares'!$C:$FA,97)</f>
        <v>2.7300000000000001E-2</v>
      </c>
      <c r="N25" s="86">
        <f>VLOOKUP($A25,'Data shares'!$C:$FA,78)</f>
        <v>18206000</v>
      </c>
      <c r="O25" s="87">
        <f>VLOOKUP($A25,'Data shares'!$C:$FA,81)</f>
        <v>-1.8200000000000001E-2</v>
      </c>
    </row>
    <row r="26" spans="1:15" x14ac:dyDescent="0.25">
      <c r="A26" s="100" t="str">
        <f>'OI(Value)'!A26</f>
        <v>AUROPHARMA</v>
      </c>
      <c r="B26" s="82">
        <f>VLOOKUP(A26,'Data shares'!$C$2:$CV$223,98,0)</f>
        <v>31391250</v>
      </c>
      <c r="C26" s="82">
        <f>VLOOKUP(A26,'Data shares'!$C$2:$CX$223,100,0)</f>
        <v>6271650</v>
      </c>
      <c r="D26" s="141">
        <f>VLOOKUP(A26,'Data shares'!$C$2:$CY$546,101,0)</f>
        <v>0.24970000000000001</v>
      </c>
      <c r="E26" s="86">
        <f>VLOOKUP($A26,'Data shares'!$C:$FA,74)</f>
        <v>19478800</v>
      </c>
      <c r="F26" s="86">
        <f>VLOOKUP($A26,'Data shares'!$C:$FA,76)</f>
        <v>1718750</v>
      </c>
      <c r="G26" s="87">
        <f>VLOOKUP(A26,'Data shares'!$C$2:$CA$223,77,0)</f>
        <v>9.6799999999999997E-2</v>
      </c>
      <c r="H26" s="86">
        <f>VLOOKUP($A26,'Data shares'!$C:$FA,90)</f>
        <v>7649400</v>
      </c>
      <c r="I26" s="86">
        <f>VLOOKUP($A26,'Data shares'!$C:$FA,92)</f>
        <v>3437500</v>
      </c>
      <c r="J26" s="87">
        <f>VLOOKUP($A26,'Data shares'!$C:$FA,93)</f>
        <v>0.81610000000000005</v>
      </c>
      <c r="K26" s="86">
        <f>VLOOKUP($A26,'Data shares'!$C:$FA,94)</f>
        <v>4263050</v>
      </c>
      <c r="L26" s="86">
        <f>VLOOKUP($A26,'Data shares'!$C:$FA,96)</f>
        <v>1115400</v>
      </c>
      <c r="M26" s="87">
        <f>VLOOKUP($A26,'Data shares'!$C:$FA,97)</f>
        <v>0.35439999999999999</v>
      </c>
      <c r="N26" s="86">
        <f>VLOOKUP($A26,'Data shares'!$C:$FA,78)</f>
        <v>17183650</v>
      </c>
      <c r="O26" s="87">
        <f>VLOOKUP($A26,'Data shares'!$C:$FA,81)</f>
        <v>8.8000000000000005E-3</v>
      </c>
    </row>
    <row r="27" spans="1:15" x14ac:dyDescent="0.25">
      <c r="A27" s="100" t="str">
        <f>'OI(Value)'!A27</f>
        <v>AXISBANK</v>
      </c>
      <c r="B27" s="82">
        <f>VLOOKUP(A27,'Data shares'!$C$2:$CV$223,98,0)</f>
        <v>137405000</v>
      </c>
      <c r="C27" s="82">
        <f>VLOOKUP(A27,'Data shares'!$C$2:$CX$223,100,0)</f>
        <v>1877500</v>
      </c>
      <c r="D27" s="141">
        <f>VLOOKUP(A27,'Data shares'!$C$2:$CY$546,101,0)</f>
        <v>1.3899999999999999E-2</v>
      </c>
      <c r="E27" s="86">
        <f>VLOOKUP($A27,'Data shares'!$C:$FA,74)</f>
        <v>104709375</v>
      </c>
      <c r="F27" s="86">
        <f>VLOOKUP($A27,'Data shares'!$C:$FA,76)</f>
        <v>552500</v>
      </c>
      <c r="G27" s="87">
        <f>VLOOKUP(A27,'Data shares'!$C$2:$CA$223,77,0)</f>
        <v>5.3E-3</v>
      </c>
      <c r="H27" s="86">
        <f>VLOOKUP($A27,'Data shares'!$C:$FA,90)</f>
        <v>21047500</v>
      </c>
      <c r="I27" s="86">
        <f>VLOOKUP($A27,'Data shares'!$C:$FA,92)</f>
        <v>969375</v>
      </c>
      <c r="J27" s="87">
        <f>VLOOKUP($A27,'Data shares'!$C:$FA,93)</f>
        <v>4.8300000000000003E-2</v>
      </c>
      <c r="K27" s="86">
        <f>VLOOKUP($A27,'Data shares'!$C:$FA,94)</f>
        <v>11648125</v>
      </c>
      <c r="L27" s="86">
        <f>VLOOKUP($A27,'Data shares'!$C:$FA,96)</f>
        <v>355625</v>
      </c>
      <c r="M27" s="87">
        <f>VLOOKUP($A27,'Data shares'!$C:$FA,97)</f>
        <v>3.15E-2</v>
      </c>
      <c r="N27" s="86">
        <f>VLOOKUP($A27,'Data shares'!$C:$FA,78)</f>
        <v>95144375</v>
      </c>
      <c r="O27" s="87">
        <f>VLOOKUP($A27,'Data shares'!$C:$FA,81)</f>
        <v>-1.77E-2</v>
      </c>
    </row>
    <row r="28" spans="1:15" x14ac:dyDescent="0.25">
      <c r="A28" s="100" t="str">
        <f>'OI(Value)'!A28</f>
        <v>BAJAJ-AUTO</v>
      </c>
      <c r="B28" s="82">
        <f>VLOOKUP(A28,'Data shares'!$C$2:$CV$223,98,0)</f>
        <v>5593275</v>
      </c>
      <c r="C28" s="82">
        <f>VLOOKUP(A28,'Data shares'!$C$2:$CX$223,100,0)</f>
        <v>-45225</v>
      </c>
      <c r="D28" s="141">
        <f>VLOOKUP(A28,'Data shares'!$C$2:$CY$546,101,0)</f>
        <v>-8.0000000000000002E-3</v>
      </c>
      <c r="E28" s="86">
        <f>VLOOKUP($A28,'Data shares'!$C:$FA,74)</f>
        <v>2877825</v>
      </c>
      <c r="F28" s="86">
        <f>VLOOKUP($A28,'Data shares'!$C:$FA,76)</f>
        <v>600</v>
      </c>
      <c r="G28" s="87">
        <f>VLOOKUP(A28,'Data shares'!$C$2:$CA$223,77,0)</f>
        <v>2.0000000000000001E-4</v>
      </c>
      <c r="H28" s="86">
        <f>VLOOKUP($A28,'Data shares'!$C:$FA,90)</f>
        <v>1481475</v>
      </c>
      <c r="I28" s="86">
        <f>VLOOKUP($A28,'Data shares'!$C:$FA,92)</f>
        <v>-76725</v>
      </c>
      <c r="J28" s="87">
        <f>VLOOKUP($A28,'Data shares'!$C:$FA,93)</f>
        <v>-4.9200000000000001E-2</v>
      </c>
      <c r="K28" s="86">
        <f>VLOOKUP($A28,'Data shares'!$C:$FA,94)</f>
        <v>1233975</v>
      </c>
      <c r="L28" s="86">
        <f>VLOOKUP($A28,'Data shares'!$C:$FA,96)</f>
        <v>30900</v>
      </c>
      <c r="M28" s="87">
        <f>VLOOKUP($A28,'Data shares'!$C:$FA,97)</f>
        <v>2.5700000000000001E-2</v>
      </c>
      <c r="N28" s="86">
        <f>VLOOKUP($A28,'Data shares'!$C:$FA,78)</f>
        <v>2699850</v>
      </c>
      <c r="O28" s="87">
        <f>VLOOKUP($A28,'Data shares'!$C:$FA,81)</f>
        <v>-1.78E-2</v>
      </c>
    </row>
    <row r="29" spans="1:15" x14ac:dyDescent="0.25">
      <c r="A29" s="100" t="str">
        <f>'OI(Value)'!A29</f>
        <v>BAJAJFINSV</v>
      </c>
      <c r="B29" s="82">
        <f>VLOOKUP(A29,'Data shares'!$C$2:$CV$223,98,0)</f>
        <v>28045500</v>
      </c>
      <c r="C29" s="82">
        <f>VLOOKUP(A29,'Data shares'!$C$2:$CX$223,100,0)</f>
        <v>624000</v>
      </c>
      <c r="D29" s="141">
        <f>VLOOKUP(A29,'Data shares'!$C$2:$CY$546,101,0)</f>
        <v>2.2800000000000001E-2</v>
      </c>
      <c r="E29" s="86">
        <f>VLOOKUP($A29,'Data shares'!$C:$FA,74)</f>
        <v>17114500</v>
      </c>
      <c r="F29" s="86">
        <f>VLOOKUP($A29,'Data shares'!$C:$FA,76)</f>
        <v>129500</v>
      </c>
      <c r="G29" s="87">
        <f>VLOOKUP(A29,'Data shares'!$C$2:$CA$223,77,0)</f>
        <v>7.6E-3</v>
      </c>
      <c r="H29" s="86">
        <f>VLOOKUP($A29,'Data shares'!$C:$FA,90)</f>
        <v>6388500</v>
      </c>
      <c r="I29" s="86">
        <f>VLOOKUP($A29,'Data shares'!$C:$FA,92)</f>
        <v>573500</v>
      </c>
      <c r="J29" s="87">
        <f>VLOOKUP($A29,'Data shares'!$C:$FA,93)</f>
        <v>9.8599999999999993E-2</v>
      </c>
      <c r="K29" s="86">
        <f>VLOOKUP($A29,'Data shares'!$C:$FA,94)</f>
        <v>4542500</v>
      </c>
      <c r="L29" s="86">
        <f>VLOOKUP($A29,'Data shares'!$C:$FA,96)</f>
        <v>-79000</v>
      </c>
      <c r="M29" s="87">
        <f>VLOOKUP($A29,'Data shares'!$C:$FA,97)</f>
        <v>-1.7100000000000001E-2</v>
      </c>
      <c r="N29" s="86">
        <f>VLOOKUP($A29,'Data shares'!$C:$FA,78)</f>
        <v>16301500</v>
      </c>
      <c r="O29" s="87">
        <f>VLOOKUP($A29,'Data shares'!$C:$FA,81)</f>
        <v>-6.4999999999999997E-3</v>
      </c>
    </row>
    <row r="30" spans="1:15" x14ac:dyDescent="0.25">
      <c r="A30" s="100" t="str">
        <f>'OI(Value)'!A30</f>
        <v>BAJFINANCE</v>
      </c>
      <c r="B30" s="82">
        <f>VLOOKUP(A30,'Data shares'!$C$2:$CV$223,98,0)</f>
        <v>144300000</v>
      </c>
      <c r="C30" s="82">
        <f>VLOOKUP(A30,'Data shares'!$C$2:$CX$223,100,0)</f>
        <v>4335000</v>
      </c>
      <c r="D30" s="141">
        <f>VLOOKUP(A30,'Data shares'!$C$2:$CY$546,101,0)</f>
        <v>3.1E-2</v>
      </c>
      <c r="E30" s="86">
        <f>VLOOKUP($A30,'Data shares'!$C:$FA,74)</f>
        <v>98822250</v>
      </c>
      <c r="F30" s="86">
        <f>VLOOKUP($A30,'Data shares'!$C:$FA,76)</f>
        <v>430500</v>
      </c>
      <c r="G30" s="87">
        <f>VLOOKUP(A30,'Data shares'!$C$2:$CA$223,77,0)</f>
        <v>4.4000000000000003E-3</v>
      </c>
      <c r="H30" s="86">
        <f>VLOOKUP($A30,'Data shares'!$C:$FA,90)</f>
        <v>29713500</v>
      </c>
      <c r="I30" s="86">
        <f>VLOOKUP($A30,'Data shares'!$C:$FA,92)</f>
        <v>3462750</v>
      </c>
      <c r="J30" s="87">
        <f>VLOOKUP($A30,'Data shares'!$C:$FA,93)</f>
        <v>0.13189999999999999</v>
      </c>
      <c r="K30" s="86">
        <f>VLOOKUP($A30,'Data shares'!$C:$FA,94)</f>
        <v>15764250</v>
      </c>
      <c r="L30" s="86">
        <f>VLOOKUP($A30,'Data shares'!$C:$FA,96)</f>
        <v>441750</v>
      </c>
      <c r="M30" s="87">
        <f>VLOOKUP($A30,'Data shares'!$C:$FA,97)</f>
        <v>2.8799999999999999E-2</v>
      </c>
      <c r="N30" s="86">
        <f>VLOOKUP($A30,'Data shares'!$C:$FA,78)</f>
        <v>84292500</v>
      </c>
      <c r="O30" s="87">
        <f>VLOOKUP($A30,'Data shares'!$C:$FA,81)</f>
        <v>-1.7500000000000002E-2</v>
      </c>
    </row>
    <row r="31" spans="1:15" x14ac:dyDescent="0.25">
      <c r="A31" s="100" t="str">
        <f>'OI(Value)'!A31</f>
        <v>BANDHANBNK</v>
      </c>
      <c r="B31" s="82">
        <f>VLOOKUP(A31,'Data shares'!$C$2:$CV$223,98,0)</f>
        <v>122670000</v>
      </c>
      <c r="C31" s="82">
        <f>VLOOKUP(A31,'Data shares'!$C$2:$CX$223,100,0)</f>
        <v>806400</v>
      </c>
      <c r="D31" s="141">
        <f>VLOOKUP(A31,'Data shares'!$C$2:$CY$546,101,0)</f>
        <v>6.6E-3</v>
      </c>
      <c r="E31" s="86">
        <f>VLOOKUP($A31,'Data shares'!$C:$FA,74)</f>
        <v>82375200</v>
      </c>
      <c r="F31" s="86">
        <f>VLOOKUP($A31,'Data shares'!$C:$FA,76)</f>
        <v>1123200</v>
      </c>
      <c r="G31" s="87">
        <f>VLOOKUP(A31,'Data shares'!$C$2:$CA$223,77,0)</f>
        <v>1.38E-2</v>
      </c>
      <c r="H31" s="86">
        <f>VLOOKUP($A31,'Data shares'!$C:$FA,90)</f>
        <v>23137200</v>
      </c>
      <c r="I31" s="86">
        <f>VLOOKUP($A31,'Data shares'!$C:$FA,92)</f>
        <v>86400</v>
      </c>
      <c r="J31" s="87">
        <f>VLOOKUP($A31,'Data shares'!$C:$FA,93)</f>
        <v>3.7000000000000002E-3</v>
      </c>
      <c r="K31" s="86">
        <f>VLOOKUP($A31,'Data shares'!$C:$FA,94)</f>
        <v>17157600</v>
      </c>
      <c r="L31" s="86">
        <f>VLOOKUP($A31,'Data shares'!$C:$FA,96)</f>
        <v>-403200</v>
      </c>
      <c r="M31" s="87">
        <f>VLOOKUP($A31,'Data shares'!$C:$FA,97)</f>
        <v>-2.3E-2</v>
      </c>
      <c r="N31" s="86">
        <f>VLOOKUP($A31,'Data shares'!$C:$FA,78)</f>
        <v>72226800</v>
      </c>
      <c r="O31" s="87">
        <f>VLOOKUP($A31,'Data shares'!$C:$FA,81)</f>
        <v>-1.12E-2</v>
      </c>
    </row>
    <row r="32" spans="1:15" x14ac:dyDescent="0.25">
      <c r="A32" s="100" t="str">
        <f>'OI(Value)'!A32</f>
        <v>BANKBARODA</v>
      </c>
      <c r="B32" s="82">
        <f>VLOOKUP(A32,'Data shares'!$C$2:$CV$223,98,0)</f>
        <v>188355375</v>
      </c>
      <c r="C32" s="82">
        <f>VLOOKUP(A32,'Data shares'!$C$2:$CX$223,100,0)</f>
        <v>8690175</v>
      </c>
      <c r="D32" s="141">
        <f>VLOOKUP(A32,'Data shares'!$C$2:$CY$546,101,0)</f>
        <v>4.8399999999999999E-2</v>
      </c>
      <c r="E32" s="86">
        <f>VLOOKUP($A32,'Data shares'!$C:$FA,74)</f>
        <v>108833400</v>
      </c>
      <c r="F32" s="86">
        <f>VLOOKUP($A32,'Data shares'!$C:$FA,76)</f>
        <v>3138525</v>
      </c>
      <c r="G32" s="87">
        <f>VLOOKUP(A32,'Data shares'!$C$2:$CA$223,77,0)</f>
        <v>2.9700000000000001E-2</v>
      </c>
      <c r="H32" s="86">
        <f>VLOOKUP($A32,'Data shares'!$C:$FA,90)</f>
        <v>41303925</v>
      </c>
      <c r="I32" s="86">
        <f>VLOOKUP($A32,'Data shares'!$C:$FA,92)</f>
        <v>4013100</v>
      </c>
      <c r="J32" s="87">
        <f>VLOOKUP($A32,'Data shares'!$C:$FA,93)</f>
        <v>0.1076</v>
      </c>
      <c r="K32" s="86">
        <f>VLOOKUP($A32,'Data shares'!$C:$FA,94)</f>
        <v>38218050</v>
      </c>
      <c r="L32" s="86">
        <f>VLOOKUP($A32,'Data shares'!$C:$FA,96)</f>
        <v>1538550</v>
      </c>
      <c r="M32" s="87">
        <f>VLOOKUP($A32,'Data shares'!$C:$FA,97)</f>
        <v>4.19E-2</v>
      </c>
      <c r="N32" s="86">
        <f>VLOOKUP($A32,'Data shares'!$C:$FA,78)</f>
        <v>93406950</v>
      </c>
      <c r="O32" s="87">
        <f>VLOOKUP($A32,'Data shares'!$C:$FA,81)</f>
        <v>-6.1499999999999999E-2</v>
      </c>
    </row>
    <row r="33" spans="1:15" x14ac:dyDescent="0.25">
      <c r="A33" s="100" t="str">
        <f>'OI(Value)'!A33</f>
        <v>BANKINDIA</v>
      </c>
      <c r="B33" s="82">
        <f>VLOOKUP(A33,'Data shares'!$C$2:$CV$223,98,0)</f>
        <v>95529200</v>
      </c>
      <c r="C33" s="82">
        <f>VLOOKUP(A33,'Data shares'!$C$2:$CX$223,100,0)</f>
        <v>1185600</v>
      </c>
      <c r="D33" s="141">
        <f>VLOOKUP(A33,'Data shares'!$C$2:$CY$546,101,0)</f>
        <v>1.26E-2</v>
      </c>
      <c r="E33" s="86">
        <f>VLOOKUP($A33,'Data shares'!$C:$FA,74)</f>
        <v>63778000</v>
      </c>
      <c r="F33" s="86">
        <f>VLOOKUP($A33,'Data shares'!$C:$FA,76)</f>
        <v>884000</v>
      </c>
      <c r="G33" s="87">
        <f>VLOOKUP(A33,'Data shares'!$C$2:$CA$223,77,0)</f>
        <v>1.41E-2</v>
      </c>
      <c r="H33" s="86">
        <f>VLOOKUP($A33,'Data shares'!$C:$FA,90)</f>
        <v>16504800</v>
      </c>
      <c r="I33" s="86">
        <f>VLOOKUP($A33,'Data shares'!$C:$FA,92)</f>
        <v>-442000</v>
      </c>
      <c r="J33" s="87">
        <f>VLOOKUP($A33,'Data shares'!$C:$FA,93)</f>
        <v>-2.6100000000000002E-2</v>
      </c>
      <c r="K33" s="86">
        <f>VLOOKUP($A33,'Data shares'!$C:$FA,94)</f>
        <v>15246400</v>
      </c>
      <c r="L33" s="86">
        <f>VLOOKUP($A33,'Data shares'!$C:$FA,96)</f>
        <v>743600</v>
      </c>
      <c r="M33" s="87">
        <f>VLOOKUP($A33,'Data shares'!$C:$FA,97)</f>
        <v>5.1299999999999998E-2</v>
      </c>
      <c r="N33" s="86">
        <f>VLOOKUP($A33,'Data shares'!$C:$FA,78)</f>
        <v>57720000</v>
      </c>
      <c r="O33" s="87">
        <f>VLOOKUP($A33,'Data shares'!$C:$FA,81)</f>
        <v>-8.0000000000000002E-3</v>
      </c>
    </row>
    <row r="34" spans="1:15" x14ac:dyDescent="0.25">
      <c r="A34" s="100" t="str">
        <f>'OI(Value)'!A34</f>
        <v>BANKNIFTY</v>
      </c>
      <c r="B34" s="82">
        <f>VLOOKUP(A34,'Data shares'!$C$2:$CV$223,98,0)</f>
        <v>43638415</v>
      </c>
      <c r="C34" s="82">
        <f>VLOOKUP(A34,'Data shares'!$C$2:$CX$223,100,0)</f>
        <v>1597945</v>
      </c>
      <c r="D34" s="141">
        <f>VLOOKUP(A34,'Data shares'!$C$2:$CY$546,101,0)</f>
        <v>3.7999999999999999E-2</v>
      </c>
      <c r="E34" s="86">
        <f>VLOOKUP($A34,'Data shares'!$C:$FA,74)</f>
        <v>2955050</v>
      </c>
      <c r="F34" s="86">
        <f>VLOOKUP($A34,'Data shares'!$C:$FA,76)</f>
        <v>73745</v>
      </c>
      <c r="G34" s="87">
        <f>VLOOKUP(A34,'Data shares'!$C$2:$CA$223,77,0)</f>
        <v>2.5600000000000001E-2</v>
      </c>
      <c r="H34" s="86">
        <f>VLOOKUP($A34,'Data shares'!$C:$FA,90)</f>
        <v>23096320</v>
      </c>
      <c r="I34" s="86">
        <f>VLOOKUP($A34,'Data shares'!$C:$FA,92)</f>
        <v>1607805</v>
      </c>
      <c r="J34" s="87">
        <f>VLOOKUP($A34,'Data shares'!$C:$FA,93)</f>
        <v>7.4800000000000005E-2</v>
      </c>
      <c r="K34" s="86">
        <f>VLOOKUP($A34,'Data shares'!$C:$FA,94)</f>
        <v>17587045</v>
      </c>
      <c r="L34" s="86">
        <f>VLOOKUP($A34,'Data shares'!$C:$FA,96)</f>
        <v>-83605</v>
      </c>
      <c r="M34" s="87">
        <f>VLOOKUP($A34,'Data shares'!$C:$FA,97)</f>
        <v>-4.7000000000000002E-3</v>
      </c>
      <c r="N34" s="86">
        <f>VLOOKUP($A34,'Data shares'!$C:$FA,78)</f>
        <v>2608025</v>
      </c>
      <c r="O34" s="87">
        <f>VLOOKUP($A34,'Data shares'!$C:$FA,81)</f>
        <v>1.6400000000000001E-2</v>
      </c>
    </row>
    <row r="35" spans="1:15" x14ac:dyDescent="0.25">
      <c r="A35" s="100" t="str">
        <f>'OI(Value)'!A35</f>
        <v>BDL</v>
      </c>
      <c r="B35" s="82">
        <f>VLOOKUP(A35,'Data shares'!$C$2:$CV$223,98,0)</f>
        <v>10447450</v>
      </c>
      <c r="C35" s="82">
        <f>VLOOKUP(A35,'Data shares'!$C$2:$CX$223,100,0)</f>
        <v>531050</v>
      </c>
      <c r="D35" s="141">
        <f>VLOOKUP(A35,'Data shares'!$C$2:$CY$546,101,0)</f>
        <v>5.3600000000000002E-2</v>
      </c>
      <c r="E35" s="86">
        <f>VLOOKUP($A35,'Data shares'!$C:$FA,74)</f>
        <v>4996225</v>
      </c>
      <c r="F35" s="86">
        <f>VLOOKUP($A35,'Data shares'!$C:$FA,76)</f>
        <v>158600</v>
      </c>
      <c r="G35" s="87">
        <f>VLOOKUP(A35,'Data shares'!$C$2:$CA$223,77,0)</f>
        <v>3.2800000000000003E-2</v>
      </c>
      <c r="H35" s="86">
        <f>VLOOKUP($A35,'Data shares'!$C:$FA,90)</f>
        <v>3361475</v>
      </c>
      <c r="I35" s="86">
        <f>VLOOKUP($A35,'Data shares'!$C:$FA,92)</f>
        <v>364650</v>
      </c>
      <c r="J35" s="87">
        <f>VLOOKUP($A35,'Data shares'!$C:$FA,93)</f>
        <v>0.1217</v>
      </c>
      <c r="K35" s="86">
        <f>VLOOKUP($A35,'Data shares'!$C:$FA,94)</f>
        <v>2089750</v>
      </c>
      <c r="L35" s="86">
        <f>VLOOKUP($A35,'Data shares'!$C:$FA,96)</f>
        <v>7800</v>
      </c>
      <c r="M35" s="87">
        <f>VLOOKUP($A35,'Data shares'!$C:$FA,97)</f>
        <v>3.7000000000000002E-3</v>
      </c>
      <c r="N35" s="86">
        <f>VLOOKUP($A35,'Data shares'!$C:$FA,78)</f>
        <v>4369625</v>
      </c>
      <c r="O35" s="87">
        <f>VLOOKUP($A35,'Data shares'!$C:$FA,81)</f>
        <v>1.43E-2</v>
      </c>
    </row>
    <row r="36" spans="1:15" x14ac:dyDescent="0.25">
      <c r="A36" s="100" t="str">
        <f>'OI(Value)'!A36</f>
        <v>BEL</v>
      </c>
      <c r="B36" s="82">
        <f>VLOOKUP(A36,'Data shares'!$C$2:$CV$223,98,0)</f>
        <v>268803450</v>
      </c>
      <c r="C36" s="82">
        <f>VLOOKUP(A36,'Data shares'!$C$2:$CX$223,100,0)</f>
        <v>29528850</v>
      </c>
      <c r="D36" s="141">
        <f>VLOOKUP(A36,'Data shares'!$C$2:$CY$546,101,0)</f>
        <v>0.1234</v>
      </c>
      <c r="E36" s="86">
        <f>VLOOKUP($A36,'Data shares'!$C:$FA,74)</f>
        <v>131137050</v>
      </c>
      <c r="F36" s="86">
        <f>VLOOKUP($A36,'Data shares'!$C:$FA,76)</f>
        <v>6127500</v>
      </c>
      <c r="G36" s="87">
        <f>VLOOKUP(A36,'Data shares'!$C$2:$CA$223,77,0)</f>
        <v>4.9000000000000002E-2</v>
      </c>
      <c r="H36" s="86">
        <f>VLOOKUP($A36,'Data shares'!$C:$FA,90)</f>
        <v>91872600</v>
      </c>
      <c r="I36" s="86">
        <f>VLOOKUP($A36,'Data shares'!$C:$FA,92)</f>
        <v>17561700</v>
      </c>
      <c r="J36" s="87">
        <f>VLOOKUP($A36,'Data shares'!$C:$FA,93)</f>
        <v>0.23630000000000001</v>
      </c>
      <c r="K36" s="86">
        <f>VLOOKUP($A36,'Data shares'!$C:$FA,94)</f>
        <v>45793800</v>
      </c>
      <c r="L36" s="86">
        <f>VLOOKUP($A36,'Data shares'!$C:$FA,96)</f>
        <v>5839650</v>
      </c>
      <c r="M36" s="87">
        <f>VLOOKUP($A36,'Data shares'!$C:$FA,97)</f>
        <v>0.1462</v>
      </c>
      <c r="N36" s="86">
        <f>VLOOKUP($A36,'Data shares'!$C:$FA,78)</f>
        <v>111728550</v>
      </c>
      <c r="O36" s="87">
        <f>VLOOKUP($A36,'Data shares'!$C:$FA,81)</f>
        <v>-8.3999999999999995E-3</v>
      </c>
    </row>
    <row r="37" spans="1:15" x14ac:dyDescent="0.25">
      <c r="A37" s="100" t="str">
        <f>'OI(Value)'!A37</f>
        <v>BHARATFORG</v>
      </c>
      <c r="B37" s="82">
        <f>VLOOKUP(A37,'Data shares'!$C$2:$CV$223,98,0)</f>
        <v>18638500</v>
      </c>
      <c r="C37" s="82">
        <f>VLOOKUP(A37,'Data shares'!$C$2:$CX$223,100,0)</f>
        <v>1094500</v>
      </c>
      <c r="D37" s="141">
        <f>VLOOKUP(A37,'Data shares'!$C$2:$CY$546,101,0)</f>
        <v>6.2399999999999997E-2</v>
      </c>
      <c r="E37" s="86">
        <f>VLOOKUP($A37,'Data shares'!$C:$FA,74)</f>
        <v>12357500</v>
      </c>
      <c r="F37" s="86">
        <f>VLOOKUP($A37,'Data shares'!$C:$FA,76)</f>
        <v>678000</v>
      </c>
      <c r="G37" s="87">
        <f>VLOOKUP(A37,'Data shares'!$C$2:$CA$223,77,0)</f>
        <v>5.8099999999999999E-2</v>
      </c>
      <c r="H37" s="86">
        <f>VLOOKUP($A37,'Data shares'!$C:$FA,90)</f>
        <v>3746500</v>
      </c>
      <c r="I37" s="86">
        <f>VLOOKUP($A37,'Data shares'!$C:$FA,92)</f>
        <v>341500</v>
      </c>
      <c r="J37" s="87">
        <f>VLOOKUP($A37,'Data shares'!$C:$FA,93)</f>
        <v>0.1003</v>
      </c>
      <c r="K37" s="86">
        <f>VLOOKUP($A37,'Data shares'!$C:$FA,94)</f>
        <v>2534500</v>
      </c>
      <c r="L37" s="86">
        <f>VLOOKUP($A37,'Data shares'!$C:$FA,96)</f>
        <v>75000</v>
      </c>
      <c r="M37" s="87">
        <f>VLOOKUP($A37,'Data shares'!$C:$FA,97)</f>
        <v>3.0499999999999999E-2</v>
      </c>
      <c r="N37" s="86">
        <f>VLOOKUP($A37,'Data shares'!$C:$FA,78)</f>
        <v>11386500</v>
      </c>
      <c r="O37" s="87">
        <f>VLOOKUP($A37,'Data shares'!$C:$FA,81)</f>
        <v>2.9600000000000001E-2</v>
      </c>
    </row>
    <row r="38" spans="1:15" x14ac:dyDescent="0.25">
      <c r="A38" s="100" t="str">
        <f>'OI(Value)'!A38</f>
        <v>BHARTIARTL</v>
      </c>
      <c r="B38" s="82">
        <f>VLOOKUP(A38,'Data shares'!$C$2:$CV$223,98,0)</f>
        <v>73496275</v>
      </c>
      <c r="C38" s="82">
        <f>VLOOKUP(A38,'Data shares'!$C$2:$CX$223,100,0)</f>
        <v>-946675</v>
      </c>
      <c r="D38" s="141">
        <f>VLOOKUP(A38,'Data shares'!$C$2:$CY$546,101,0)</f>
        <v>-1.2699999999999999E-2</v>
      </c>
      <c r="E38" s="86">
        <f>VLOOKUP($A38,'Data shares'!$C:$FA,74)</f>
        <v>46707225</v>
      </c>
      <c r="F38" s="86">
        <f>VLOOKUP($A38,'Data shares'!$C:$FA,76)</f>
        <v>-1035500</v>
      </c>
      <c r="G38" s="87">
        <f>VLOOKUP(A38,'Data shares'!$C$2:$CA$223,77,0)</f>
        <v>-2.1700000000000001E-2</v>
      </c>
      <c r="H38" s="86">
        <f>VLOOKUP($A38,'Data shares'!$C:$FA,90)</f>
        <v>18500300</v>
      </c>
      <c r="I38" s="86">
        <f>VLOOKUP($A38,'Data shares'!$C:$FA,92)</f>
        <v>-193325</v>
      </c>
      <c r="J38" s="87">
        <f>VLOOKUP($A38,'Data shares'!$C:$FA,93)</f>
        <v>-1.03E-2</v>
      </c>
      <c r="K38" s="86">
        <f>VLOOKUP($A38,'Data shares'!$C:$FA,94)</f>
        <v>8288750</v>
      </c>
      <c r="L38" s="86">
        <f>VLOOKUP($A38,'Data shares'!$C:$FA,96)</f>
        <v>282150</v>
      </c>
      <c r="M38" s="87">
        <f>VLOOKUP($A38,'Data shares'!$C:$FA,97)</f>
        <v>3.5200000000000002E-2</v>
      </c>
      <c r="N38" s="86">
        <f>VLOOKUP($A38,'Data shares'!$C:$FA,78)</f>
        <v>39167550</v>
      </c>
      <c r="O38" s="87">
        <f>VLOOKUP($A38,'Data shares'!$C:$FA,81)</f>
        <v>-3.6799999999999999E-2</v>
      </c>
    </row>
    <row r="39" spans="1:15" x14ac:dyDescent="0.25">
      <c r="A39" s="100" t="str">
        <f>'OI(Value)'!A39</f>
        <v>BHEL</v>
      </c>
      <c r="B39" s="82">
        <f>VLOOKUP(A39,'Data shares'!$C$2:$CV$223,98,0)</f>
        <v>129346875</v>
      </c>
      <c r="C39" s="82">
        <f>VLOOKUP(A39,'Data shares'!$C$2:$CX$223,100,0)</f>
        <v>-94500</v>
      </c>
      <c r="D39" s="141">
        <f>VLOOKUP(A39,'Data shares'!$C$2:$CY$546,101,0)</f>
        <v>-6.9999999999999999E-4</v>
      </c>
      <c r="E39" s="86">
        <f>VLOOKUP($A39,'Data shares'!$C:$FA,74)</f>
        <v>65312625</v>
      </c>
      <c r="F39" s="86">
        <f>VLOOKUP($A39,'Data shares'!$C:$FA,76)</f>
        <v>926625</v>
      </c>
      <c r="G39" s="87">
        <f>VLOOKUP(A39,'Data shares'!$C$2:$CA$223,77,0)</f>
        <v>1.44E-2</v>
      </c>
      <c r="H39" s="86">
        <f>VLOOKUP($A39,'Data shares'!$C:$FA,90)</f>
        <v>41514375</v>
      </c>
      <c r="I39" s="86">
        <f>VLOOKUP($A39,'Data shares'!$C:$FA,92)</f>
        <v>-658875</v>
      </c>
      <c r="J39" s="87">
        <f>VLOOKUP($A39,'Data shares'!$C:$FA,93)</f>
        <v>-1.5599999999999999E-2</v>
      </c>
      <c r="K39" s="86">
        <f>VLOOKUP($A39,'Data shares'!$C:$FA,94)</f>
        <v>22519875</v>
      </c>
      <c r="L39" s="86">
        <f>VLOOKUP($A39,'Data shares'!$C:$FA,96)</f>
        <v>-362250</v>
      </c>
      <c r="M39" s="87">
        <f>VLOOKUP($A39,'Data shares'!$C:$FA,97)</f>
        <v>-1.5800000000000002E-2</v>
      </c>
      <c r="N39" s="86">
        <f>VLOOKUP($A39,'Data shares'!$C:$FA,78)</f>
        <v>58542750</v>
      </c>
      <c r="O39" s="87">
        <f>VLOOKUP($A39,'Data shares'!$C:$FA,81)</f>
        <v>1.4E-3</v>
      </c>
    </row>
    <row r="40" spans="1:15" x14ac:dyDescent="0.25">
      <c r="A40" s="100" t="str">
        <f>'OI(Value)'!A40</f>
        <v>BIOCON</v>
      </c>
      <c r="B40" s="82">
        <f>VLOOKUP(A40,'Data shares'!$C$2:$CV$223,98,0)</f>
        <v>80035000</v>
      </c>
      <c r="C40" s="82">
        <f>VLOOKUP(A40,'Data shares'!$C$2:$CX$223,100,0)</f>
        <v>72500</v>
      </c>
      <c r="D40" s="141">
        <f>VLOOKUP(A40,'Data shares'!$C$2:$CY$546,101,0)</f>
        <v>8.9999999999999998E-4</v>
      </c>
      <c r="E40" s="86">
        <f>VLOOKUP($A40,'Data shares'!$C:$FA,74)</f>
        <v>43612500</v>
      </c>
      <c r="F40" s="86">
        <f>VLOOKUP($A40,'Data shares'!$C:$FA,76)</f>
        <v>20000</v>
      </c>
      <c r="G40" s="87">
        <f>VLOOKUP(A40,'Data shares'!$C$2:$CA$223,77,0)</f>
        <v>5.0000000000000001E-4</v>
      </c>
      <c r="H40" s="86">
        <f>VLOOKUP($A40,'Data shares'!$C:$FA,90)</f>
        <v>22590000</v>
      </c>
      <c r="I40" s="86">
        <f>VLOOKUP($A40,'Data shares'!$C:$FA,92)</f>
        <v>340000</v>
      </c>
      <c r="J40" s="87">
        <f>VLOOKUP($A40,'Data shares'!$C:$FA,93)</f>
        <v>1.5299999999999999E-2</v>
      </c>
      <c r="K40" s="86">
        <f>VLOOKUP($A40,'Data shares'!$C:$FA,94)</f>
        <v>13832500</v>
      </c>
      <c r="L40" s="86">
        <f>VLOOKUP($A40,'Data shares'!$C:$FA,96)</f>
        <v>-287500</v>
      </c>
      <c r="M40" s="87">
        <f>VLOOKUP($A40,'Data shares'!$C:$FA,97)</f>
        <v>-2.0400000000000001E-2</v>
      </c>
      <c r="N40" s="86">
        <f>VLOOKUP($A40,'Data shares'!$C:$FA,78)</f>
        <v>39902500</v>
      </c>
      <c r="O40" s="87">
        <f>VLOOKUP($A40,'Data shares'!$C:$FA,81)</f>
        <v>-7.6E-3</v>
      </c>
    </row>
    <row r="41" spans="1:15" x14ac:dyDescent="0.25">
      <c r="A41" s="100" t="str">
        <f>'OI(Value)'!A41</f>
        <v>BLUESTARCO</v>
      </c>
      <c r="B41" s="82">
        <f>VLOOKUP(A41,'Data shares'!$C$2:$CV$223,98,0)</f>
        <v>3741725</v>
      </c>
      <c r="C41" s="82">
        <f>VLOOKUP(A41,'Data shares'!$C$2:$CX$223,100,0)</f>
        <v>475150</v>
      </c>
      <c r="D41" s="141">
        <f>VLOOKUP(A41,'Data shares'!$C$2:$CY$546,101,0)</f>
        <v>0.14549999999999999</v>
      </c>
      <c r="E41" s="86">
        <f>VLOOKUP($A41,'Data shares'!$C:$FA,74)</f>
        <v>2022150</v>
      </c>
      <c r="F41" s="86">
        <f>VLOOKUP($A41,'Data shares'!$C:$FA,76)</f>
        <v>123500</v>
      </c>
      <c r="G41" s="87">
        <f>VLOOKUP(A41,'Data shares'!$C$2:$CA$223,77,0)</f>
        <v>6.5000000000000002E-2</v>
      </c>
      <c r="H41" s="86">
        <f>VLOOKUP($A41,'Data shares'!$C:$FA,90)</f>
        <v>1037400</v>
      </c>
      <c r="I41" s="86">
        <f>VLOOKUP($A41,'Data shares'!$C:$FA,92)</f>
        <v>315250</v>
      </c>
      <c r="J41" s="87">
        <f>VLOOKUP($A41,'Data shares'!$C:$FA,93)</f>
        <v>0.4365</v>
      </c>
      <c r="K41" s="86">
        <f>VLOOKUP($A41,'Data shares'!$C:$FA,94)</f>
        <v>682175</v>
      </c>
      <c r="L41" s="86">
        <f>VLOOKUP($A41,'Data shares'!$C:$FA,96)</f>
        <v>36400</v>
      </c>
      <c r="M41" s="87">
        <f>VLOOKUP($A41,'Data shares'!$C:$FA,97)</f>
        <v>5.6399999999999999E-2</v>
      </c>
      <c r="N41" s="86">
        <f>VLOOKUP($A41,'Data shares'!$C:$FA,78)</f>
        <v>1354600</v>
      </c>
      <c r="O41" s="87">
        <f>VLOOKUP($A41,'Data shares'!$C:$FA,81)</f>
        <v>4.8300000000000003E-2</v>
      </c>
    </row>
    <row r="42" spans="1:15" x14ac:dyDescent="0.25">
      <c r="A42" s="100" t="str">
        <f>'OI(Value)'!A42</f>
        <v>BOSCHLTD</v>
      </c>
      <c r="B42" s="82">
        <f>VLOOKUP(A42,'Data shares'!$C$2:$CV$223,98,0)</f>
        <v>795600</v>
      </c>
      <c r="C42" s="82">
        <f>VLOOKUP(A42,'Data shares'!$C$2:$CX$223,100,0)</f>
        <v>9775</v>
      </c>
      <c r="D42" s="141">
        <f>VLOOKUP(A42,'Data shares'!$C$2:$CY$546,101,0)</f>
        <v>1.24E-2</v>
      </c>
      <c r="E42" s="86">
        <f>VLOOKUP($A42,'Data shares'!$C:$FA,74)</f>
        <v>300250</v>
      </c>
      <c r="F42" s="86">
        <f>VLOOKUP($A42,'Data shares'!$C:$FA,76)</f>
        <v>-675</v>
      </c>
      <c r="G42" s="87">
        <f>VLOOKUP(A42,'Data shares'!$C$2:$CA$223,77,0)</f>
        <v>-2.2000000000000001E-3</v>
      </c>
      <c r="H42" s="86">
        <f>VLOOKUP($A42,'Data shares'!$C:$FA,90)</f>
        <v>367475</v>
      </c>
      <c r="I42" s="86">
        <f>VLOOKUP($A42,'Data shares'!$C:$FA,92)</f>
        <v>7825</v>
      </c>
      <c r="J42" s="87">
        <f>VLOOKUP($A42,'Data shares'!$C:$FA,93)</f>
        <v>2.18E-2</v>
      </c>
      <c r="K42" s="86">
        <f>VLOOKUP($A42,'Data shares'!$C:$FA,94)</f>
        <v>127875</v>
      </c>
      <c r="L42" s="86">
        <f>VLOOKUP($A42,'Data shares'!$C:$FA,96)</f>
        <v>2625</v>
      </c>
      <c r="M42" s="87">
        <f>VLOOKUP($A42,'Data shares'!$C:$FA,97)</f>
        <v>2.1000000000000001E-2</v>
      </c>
      <c r="N42" s="86">
        <f>VLOOKUP($A42,'Data shares'!$C:$FA,78)</f>
        <v>282500</v>
      </c>
      <c r="O42" s="87">
        <f>VLOOKUP($A42,'Data shares'!$C:$FA,81)</f>
        <v>-1.2500000000000001E-2</v>
      </c>
    </row>
    <row r="43" spans="1:15" x14ac:dyDescent="0.25">
      <c r="A43" s="100" t="str">
        <f>'OI(Value)'!A43</f>
        <v>BPCL</v>
      </c>
      <c r="B43" s="82">
        <f>VLOOKUP(A43,'Data shares'!$C$2:$CV$223,98,0)</f>
        <v>71058525</v>
      </c>
      <c r="C43" s="82">
        <f>VLOOKUP(A43,'Data shares'!$C$2:$CX$223,100,0)</f>
        <v>-1655050</v>
      </c>
      <c r="D43" s="141">
        <f>VLOOKUP(A43,'Data shares'!$C$2:$CY$546,101,0)</f>
        <v>-2.2800000000000001E-2</v>
      </c>
      <c r="E43" s="86">
        <f>VLOOKUP($A43,'Data shares'!$C:$FA,74)</f>
        <v>35729725</v>
      </c>
      <c r="F43" s="86">
        <f>VLOOKUP($A43,'Data shares'!$C:$FA,76)</f>
        <v>-361425</v>
      </c>
      <c r="G43" s="87">
        <f>VLOOKUP(A43,'Data shares'!$C$2:$CA$223,77,0)</f>
        <v>-0.01</v>
      </c>
      <c r="H43" s="86">
        <f>VLOOKUP($A43,'Data shares'!$C:$FA,90)</f>
        <v>22570300</v>
      </c>
      <c r="I43" s="86">
        <f>VLOOKUP($A43,'Data shares'!$C:$FA,92)</f>
        <v>-946025</v>
      </c>
      <c r="J43" s="87">
        <f>VLOOKUP($A43,'Data shares'!$C:$FA,93)</f>
        <v>-4.02E-2</v>
      </c>
      <c r="K43" s="86">
        <f>VLOOKUP($A43,'Data shares'!$C:$FA,94)</f>
        <v>12758500</v>
      </c>
      <c r="L43" s="86">
        <f>VLOOKUP($A43,'Data shares'!$C:$FA,96)</f>
        <v>-347600</v>
      </c>
      <c r="M43" s="87">
        <f>VLOOKUP($A43,'Data shares'!$C:$FA,97)</f>
        <v>-2.6499999999999999E-2</v>
      </c>
      <c r="N43" s="86">
        <f>VLOOKUP($A43,'Data shares'!$C:$FA,78)</f>
        <v>33920625</v>
      </c>
      <c r="O43" s="87">
        <f>VLOOKUP($A43,'Data shares'!$C:$FA,81)</f>
        <v>-1.29E-2</v>
      </c>
    </row>
    <row r="44" spans="1:15" x14ac:dyDescent="0.25">
      <c r="A44" s="100" t="str">
        <f>'OI(Value)'!A44</f>
        <v>BRITANNIA</v>
      </c>
      <c r="B44" s="82">
        <f>VLOOKUP(A44,'Data shares'!$C$2:$CV$223,98,0)</f>
        <v>5697125</v>
      </c>
      <c r="C44" s="82">
        <f>VLOOKUP(A44,'Data shares'!$C$2:$CX$223,100,0)</f>
        <v>85750</v>
      </c>
      <c r="D44" s="141">
        <f>VLOOKUP(A44,'Data shares'!$C$2:$CY$546,101,0)</f>
        <v>1.5299999999999999E-2</v>
      </c>
      <c r="E44" s="86">
        <f>VLOOKUP($A44,'Data shares'!$C:$FA,74)</f>
        <v>3480000</v>
      </c>
      <c r="F44" s="86">
        <f>VLOOKUP($A44,'Data shares'!$C:$FA,76)</f>
        <v>9500</v>
      </c>
      <c r="G44" s="87">
        <f>VLOOKUP(A44,'Data shares'!$C$2:$CA$223,77,0)</f>
        <v>2.7000000000000001E-3</v>
      </c>
      <c r="H44" s="86">
        <f>VLOOKUP($A44,'Data shares'!$C:$FA,90)</f>
        <v>1280625</v>
      </c>
      <c r="I44" s="86">
        <f>VLOOKUP($A44,'Data shares'!$C:$FA,92)</f>
        <v>-71000</v>
      </c>
      <c r="J44" s="87">
        <f>VLOOKUP($A44,'Data shares'!$C:$FA,93)</f>
        <v>-5.2499999999999998E-2</v>
      </c>
      <c r="K44" s="86">
        <f>VLOOKUP($A44,'Data shares'!$C:$FA,94)</f>
        <v>936500</v>
      </c>
      <c r="L44" s="86">
        <f>VLOOKUP($A44,'Data shares'!$C:$FA,96)</f>
        <v>147250</v>
      </c>
      <c r="M44" s="87">
        <f>VLOOKUP($A44,'Data shares'!$C:$FA,97)</f>
        <v>0.18659999999999999</v>
      </c>
      <c r="N44" s="86">
        <f>VLOOKUP($A44,'Data shares'!$C:$FA,78)</f>
        <v>3344250</v>
      </c>
      <c r="O44" s="87">
        <f>VLOOKUP($A44,'Data shares'!$C:$FA,81)</f>
        <v>-7.6E-3</v>
      </c>
    </row>
    <row r="45" spans="1:15" x14ac:dyDescent="0.25">
      <c r="A45" s="100" t="str">
        <f>'OI(Value)'!A45</f>
        <v>BSE</v>
      </c>
      <c r="B45" s="82">
        <f>VLOOKUP(A45,'Data shares'!$C$2:$CV$223,98,0)</f>
        <v>25928250</v>
      </c>
      <c r="C45" s="82">
        <f>VLOOKUP(A45,'Data shares'!$C$2:$CX$223,100,0)</f>
        <v>-668250</v>
      </c>
      <c r="D45" s="141">
        <f>VLOOKUP(A45,'Data shares'!$C$2:$CY$546,101,0)</f>
        <v>-2.5100000000000001E-2</v>
      </c>
      <c r="E45" s="86">
        <f>VLOOKUP($A45,'Data shares'!$C:$FA,74)</f>
        <v>10640625</v>
      </c>
      <c r="F45" s="86">
        <f>VLOOKUP($A45,'Data shares'!$C:$FA,76)</f>
        <v>-291750</v>
      </c>
      <c r="G45" s="87">
        <f>VLOOKUP(A45,'Data shares'!$C$2:$CA$223,77,0)</f>
        <v>-2.6700000000000002E-2</v>
      </c>
      <c r="H45" s="86">
        <f>VLOOKUP($A45,'Data shares'!$C:$FA,90)</f>
        <v>8709750</v>
      </c>
      <c r="I45" s="86">
        <f>VLOOKUP($A45,'Data shares'!$C:$FA,92)</f>
        <v>-415500</v>
      </c>
      <c r="J45" s="87">
        <f>VLOOKUP($A45,'Data shares'!$C:$FA,93)</f>
        <v>-4.5499999999999999E-2</v>
      </c>
      <c r="K45" s="86">
        <f>VLOOKUP($A45,'Data shares'!$C:$FA,94)</f>
        <v>6577875</v>
      </c>
      <c r="L45" s="86">
        <f>VLOOKUP($A45,'Data shares'!$C:$FA,96)</f>
        <v>39000</v>
      </c>
      <c r="M45" s="87">
        <f>VLOOKUP($A45,'Data shares'!$C:$FA,97)</f>
        <v>6.0000000000000001E-3</v>
      </c>
      <c r="N45" s="86">
        <f>VLOOKUP($A45,'Data shares'!$C:$FA,78)</f>
        <v>9420750</v>
      </c>
      <c r="O45" s="87">
        <f>VLOOKUP($A45,'Data shares'!$C:$FA,81)</f>
        <v>-3.7199999999999997E-2</v>
      </c>
    </row>
    <row r="46" spans="1:15" x14ac:dyDescent="0.25">
      <c r="A46" s="100" t="str">
        <f>'OI(Value)'!A46</f>
        <v>CAMS</v>
      </c>
      <c r="B46" s="82">
        <f>VLOOKUP(A46,'Data shares'!$C$2:$CV$223,98,0)</f>
        <v>3945450</v>
      </c>
      <c r="C46" s="82">
        <f>VLOOKUP(A46,'Data shares'!$C$2:$CX$223,100,0)</f>
        <v>-152250</v>
      </c>
      <c r="D46" s="141">
        <f>VLOOKUP(A46,'Data shares'!$C$2:$CY$546,101,0)</f>
        <v>-3.7199999999999997E-2</v>
      </c>
      <c r="E46" s="86">
        <f>VLOOKUP($A46,'Data shares'!$C:$FA,74)</f>
        <v>2378100</v>
      </c>
      <c r="F46" s="86">
        <f>VLOOKUP($A46,'Data shares'!$C:$FA,76)</f>
        <v>-33600</v>
      </c>
      <c r="G46" s="87">
        <f>VLOOKUP(A46,'Data shares'!$C$2:$CA$223,77,0)</f>
        <v>-1.3899999999999999E-2</v>
      </c>
      <c r="H46" s="86">
        <f>VLOOKUP($A46,'Data shares'!$C:$FA,90)</f>
        <v>942150</v>
      </c>
      <c r="I46" s="86">
        <f>VLOOKUP($A46,'Data shares'!$C:$FA,92)</f>
        <v>-127500</v>
      </c>
      <c r="J46" s="87">
        <f>VLOOKUP($A46,'Data shares'!$C:$FA,93)</f>
        <v>-0.1192</v>
      </c>
      <c r="K46" s="86">
        <f>VLOOKUP($A46,'Data shares'!$C:$FA,94)</f>
        <v>625200</v>
      </c>
      <c r="L46" s="86">
        <f>VLOOKUP($A46,'Data shares'!$C:$FA,96)</f>
        <v>8850</v>
      </c>
      <c r="M46" s="87">
        <f>VLOOKUP($A46,'Data shares'!$C:$FA,97)</f>
        <v>1.44E-2</v>
      </c>
      <c r="N46" s="86">
        <f>VLOOKUP($A46,'Data shares'!$C:$FA,78)</f>
        <v>2150100</v>
      </c>
      <c r="O46" s="87">
        <f>VLOOKUP($A46,'Data shares'!$C:$FA,81)</f>
        <v>-2.5600000000000001E-2</v>
      </c>
    </row>
    <row r="47" spans="1:15" x14ac:dyDescent="0.25">
      <c r="A47" s="100" t="str">
        <f>'OI(Value)'!A47</f>
        <v>CANBK</v>
      </c>
      <c r="B47" s="82">
        <f>VLOOKUP(A47,'Data shares'!$C$2:$CV$223,98,0)</f>
        <v>391992750</v>
      </c>
      <c r="C47" s="82">
        <f>VLOOKUP(A47,'Data shares'!$C$2:$CX$223,100,0)</f>
        <v>-4468500</v>
      </c>
      <c r="D47" s="141">
        <f>VLOOKUP(A47,'Data shares'!$C$2:$CY$546,101,0)</f>
        <v>-1.1299999999999999E-2</v>
      </c>
      <c r="E47" s="86">
        <f>VLOOKUP($A47,'Data shares'!$C:$FA,74)</f>
        <v>230262750</v>
      </c>
      <c r="F47" s="86">
        <f>VLOOKUP($A47,'Data shares'!$C:$FA,76)</f>
        <v>-3071250</v>
      </c>
      <c r="G47" s="87">
        <f>VLOOKUP(A47,'Data shares'!$C$2:$CA$223,77,0)</f>
        <v>-1.32E-2</v>
      </c>
      <c r="H47" s="86">
        <f>VLOOKUP($A47,'Data shares'!$C:$FA,90)</f>
        <v>89295750</v>
      </c>
      <c r="I47" s="86">
        <f>VLOOKUP($A47,'Data shares'!$C:$FA,92)</f>
        <v>-2767500</v>
      </c>
      <c r="J47" s="87">
        <f>VLOOKUP($A47,'Data shares'!$C:$FA,93)</f>
        <v>-3.0099999999999998E-2</v>
      </c>
      <c r="K47" s="86">
        <f>VLOOKUP($A47,'Data shares'!$C:$FA,94)</f>
        <v>72434250</v>
      </c>
      <c r="L47" s="86">
        <f>VLOOKUP($A47,'Data shares'!$C:$FA,96)</f>
        <v>1370250</v>
      </c>
      <c r="M47" s="87">
        <f>VLOOKUP($A47,'Data shares'!$C:$FA,97)</f>
        <v>1.9300000000000001E-2</v>
      </c>
      <c r="N47" s="86">
        <f>VLOOKUP($A47,'Data shares'!$C:$FA,78)</f>
        <v>211565250</v>
      </c>
      <c r="O47" s="87">
        <f>VLOOKUP($A47,'Data shares'!$C:$FA,81)</f>
        <v>-3.04E-2</v>
      </c>
    </row>
    <row r="48" spans="1:15" x14ac:dyDescent="0.25">
      <c r="A48" s="100" t="str">
        <f>'OI(Value)'!A48</f>
        <v>CDSL</v>
      </c>
      <c r="B48" s="82">
        <f>VLOOKUP(A48,'Data shares'!$C$2:$CV$223,98,0)</f>
        <v>21769725</v>
      </c>
      <c r="C48" s="82">
        <f>VLOOKUP(A48,'Data shares'!$C$2:$CX$223,100,0)</f>
        <v>656450</v>
      </c>
      <c r="D48" s="141">
        <f>VLOOKUP(A48,'Data shares'!$C$2:$CY$546,101,0)</f>
        <v>3.1099999999999999E-2</v>
      </c>
      <c r="E48" s="86">
        <f>VLOOKUP($A48,'Data shares'!$C:$FA,74)</f>
        <v>9436350</v>
      </c>
      <c r="F48" s="86">
        <f>VLOOKUP($A48,'Data shares'!$C:$FA,76)</f>
        <v>147250</v>
      </c>
      <c r="G48" s="87">
        <f>VLOOKUP(A48,'Data shares'!$C$2:$CA$223,77,0)</f>
        <v>1.5900000000000001E-2</v>
      </c>
      <c r="H48" s="86">
        <f>VLOOKUP($A48,'Data shares'!$C:$FA,90)</f>
        <v>7495500</v>
      </c>
      <c r="I48" s="86">
        <f>VLOOKUP($A48,'Data shares'!$C:$FA,92)</f>
        <v>412300</v>
      </c>
      <c r="J48" s="87">
        <f>VLOOKUP($A48,'Data shares'!$C:$FA,93)</f>
        <v>5.8200000000000002E-2</v>
      </c>
      <c r="K48" s="86">
        <f>VLOOKUP($A48,'Data shares'!$C:$FA,94)</f>
        <v>4837875</v>
      </c>
      <c r="L48" s="86">
        <f>VLOOKUP($A48,'Data shares'!$C:$FA,96)</f>
        <v>96900</v>
      </c>
      <c r="M48" s="87">
        <f>VLOOKUP($A48,'Data shares'!$C:$FA,97)</f>
        <v>2.0400000000000001E-2</v>
      </c>
      <c r="N48" s="86">
        <f>VLOOKUP($A48,'Data shares'!$C:$FA,78)</f>
        <v>8070725</v>
      </c>
      <c r="O48" s="87">
        <f>VLOOKUP($A48,'Data shares'!$C:$FA,81)</f>
        <v>1.4E-3</v>
      </c>
    </row>
    <row r="49" spans="1:15" x14ac:dyDescent="0.25">
      <c r="A49" s="100" t="str">
        <f>'OI(Value)'!A49</f>
        <v>CESC</v>
      </c>
      <c r="B49" s="82">
        <f>VLOOKUP(A49,'Data shares'!$C$2:$CV$223,98,0)</f>
        <v>26538625</v>
      </c>
      <c r="C49" s="82">
        <f>VLOOKUP(A49,'Data shares'!$C$2:$CX$223,100,0)</f>
        <v>137750</v>
      </c>
      <c r="D49" s="141">
        <f>VLOOKUP(A49,'Data shares'!$C$2:$CY$546,101,0)</f>
        <v>5.1999999999999998E-3</v>
      </c>
      <c r="E49" s="86">
        <f>VLOOKUP($A49,'Data shares'!$C:$FA,74)</f>
        <v>10824250</v>
      </c>
      <c r="F49" s="86">
        <f>VLOOKUP($A49,'Data shares'!$C:$FA,76)</f>
        <v>90625</v>
      </c>
      <c r="G49" s="87">
        <f>VLOOKUP(A49,'Data shares'!$C$2:$CA$223,77,0)</f>
        <v>8.3999999999999995E-3</v>
      </c>
      <c r="H49" s="86">
        <f>VLOOKUP($A49,'Data shares'!$C:$FA,90)</f>
        <v>10846000</v>
      </c>
      <c r="I49" s="86">
        <f>VLOOKUP($A49,'Data shares'!$C:$FA,92)</f>
        <v>-7250</v>
      </c>
      <c r="J49" s="87">
        <f>VLOOKUP($A49,'Data shares'!$C:$FA,93)</f>
        <v>-6.9999999999999999E-4</v>
      </c>
      <c r="K49" s="86">
        <f>VLOOKUP($A49,'Data shares'!$C:$FA,94)</f>
        <v>4868375</v>
      </c>
      <c r="L49" s="86">
        <f>VLOOKUP($A49,'Data shares'!$C:$FA,96)</f>
        <v>54375</v>
      </c>
      <c r="M49" s="87">
        <f>VLOOKUP($A49,'Data shares'!$C:$FA,97)</f>
        <v>1.1299999999999999E-2</v>
      </c>
      <c r="N49" s="86">
        <f>VLOOKUP($A49,'Data shares'!$C:$FA,78)</f>
        <v>10824250</v>
      </c>
      <c r="O49" s="87">
        <f>VLOOKUP($A49,'Data shares'!$C:$FA,81)</f>
        <v>8.3999999999999995E-3</v>
      </c>
    </row>
    <row r="50" spans="1:15" x14ac:dyDescent="0.25">
      <c r="A50" s="100" t="str">
        <f>'OI(Value)'!A50</f>
        <v>CGPOWER</v>
      </c>
      <c r="B50" s="82">
        <f>VLOOKUP(A50,'Data shares'!$C$2:$CV$223,98,0)</f>
        <v>23410700</v>
      </c>
      <c r="C50" s="82">
        <f>VLOOKUP(A50,'Data shares'!$C$2:$CX$223,100,0)</f>
        <v>178500</v>
      </c>
      <c r="D50" s="141">
        <f>VLOOKUP(A50,'Data shares'!$C$2:$CY$546,101,0)</f>
        <v>7.7000000000000002E-3</v>
      </c>
      <c r="E50" s="86">
        <f>VLOOKUP($A50,'Data shares'!$C:$FA,74)</f>
        <v>16909900</v>
      </c>
      <c r="F50" s="86">
        <f>VLOOKUP($A50,'Data shares'!$C:$FA,76)</f>
        <v>97750</v>
      </c>
      <c r="G50" s="87">
        <f>VLOOKUP(A50,'Data shares'!$C$2:$CA$223,77,0)</f>
        <v>5.7999999999999996E-3</v>
      </c>
      <c r="H50" s="86">
        <f>VLOOKUP($A50,'Data shares'!$C:$FA,90)</f>
        <v>4144600</v>
      </c>
      <c r="I50" s="86">
        <f>VLOOKUP($A50,'Data shares'!$C:$FA,92)</f>
        <v>81600</v>
      </c>
      <c r="J50" s="87">
        <f>VLOOKUP($A50,'Data shares'!$C:$FA,93)</f>
        <v>2.01E-2</v>
      </c>
      <c r="K50" s="86">
        <f>VLOOKUP($A50,'Data shares'!$C:$FA,94)</f>
        <v>2356200</v>
      </c>
      <c r="L50" s="86">
        <f>VLOOKUP($A50,'Data shares'!$C:$FA,96)</f>
        <v>-850</v>
      </c>
      <c r="M50" s="87">
        <f>VLOOKUP($A50,'Data shares'!$C:$FA,97)</f>
        <v>-4.0000000000000002E-4</v>
      </c>
      <c r="N50" s="86">
        <f>VLOOKUP($A50,'Data shares'!$C:$FA,78)</f>
        <v>16342100</v>
      </c>
      <c r="O50" s="87">
        <f>VLOOKUP($A50,'Data shares'!$C:$FA,81)</f>
        <v>-6.7000000000000002E-3</v>
      </c>
    </row>
    <row r="51" spans="1:15" x14ac:dyDescent="0.25">
      <c r="A51" s="100" t="str">
        <f>'OI(Value)'!A51</f>
        <v>CHOLAFIN</v>
      </c>
      <c r="B51" s="82">
        <f>VLOOKUP(A51,'Data shares'!$C$2:$CV$223,98,0)</f>
        <v>16791875</v>
      </c>
      <c r="C51" s="82">
        <f>VLOOKUP(A51,'Data shares'!$C$2:$CX$223,100,0)</f>
        <v>159375</v>
      </c>
      <c r="D51" s="141">
        <f>VLOOKUP(A51,'Data shares'!$C$2:$CY$546,101,0)</f>
        <v>9.5999999999999992E-3</v>
      </c>
      <c r="E51" s="86">
        <f>VLOOKUP($A51,'Data shares'!$C:$FA,74)</f>
        <v>11583125</v>
      </c>
      <c r="F51" s="86">
        <f>VLOOKUP($A51,'Data shares'!$C:$FA,76)</f>
        <v>73125</v>
      </c>
      <c r="G51" s="87">
        <f>VLOOKUP(A51,'Data shares'!$C$2:$CA$223,77,0)</f>
        <v>6.4000000000000003E-3</v>
      </c>
      <c r="H51" s="86">
        <f>VLOOKUP($A51,'Data shares'!$C:$FA,90)</f>
        <v>2602500</v>
      </c>
      <c r="I51" s="86">
        <f>VLOOKUP($A51,'Data shares'!$C:$FA,92)</f>
        <v>36250</v>
      </c>
      <c r="J51" s="87">
        <f>VLOOKUP($A51,'Data shares'!$C:$FA,93)</f>
        <v>1.41E-2</v>
      </c>
      <c r="K51" s="86">
        <f>VLOOKUP($A51,'Data shares'!$C:$FA,94)</f>
        <v>2606250</v>
      </c>
      <c r="L51" s="86">
        <f>VLOOKUP($A51,'Data shares'!$C:$FA,96)</f>
        <v>50000</v>
      </c>
      <c r="M51" s="87">
        <f>VLOOKUP($A51,'Data shares'!$C:$FA,97)</f>
        <v>1.9599999999999999E-2</v>
      </c>
      <c r="N51" s="86">
        <f>VLOOKUP($A51,'Data shares'!$C:$FA,78)</f>
        <v>10823750</v>
      </c>
      <c r="O51" s="87">
        <f>VLOOKUP($A51,'Data shares'!$C:$FA,81)</f>
        <v>-1.2E-2</v>
      </c>
    </row>
    <row r="52" spans="1:15" x14ac:dyDescent="0.25">
      <c r="A52" s="100" t="str">
        <f>'OI(Value)'!A52</f>
        <v>CIPLA</v>
      </c>
      <c r="B52" s="82">
        <f>VLOOKUP(A52,'Data shares'!$C$2:$CV$223,98,0)</f>
        <v>18316500</v>
      </c>
      <c r="C52" s="82">
        <f>VLOOKUP(A52,'Data shares'!$C$2:$CX$223,100,0)</f>
        <v>-9375</v>
      </c>
      <c r="D52" s="141">
        <f>VLOOKUP(A52,'Data shares'!$C$2:$CY$546,101,0)</f>
        <v>-5.0000000000000001E-4</v>
      </c>
      <c r="E52" s="86">
        <f>VLOOKUP($A52,'Data shares'!$C:$FA,74)</f>
        <v>10809750</v>
      </c>
      <c r="F52" s="86">
        <f>VLOOKUP($A52,'Data shares'!$C:$FA,76)</f>
        <v>33375</v>
      </c>
      <c r="G52" s="87">
        <f>VLOOKUP(A52,'Data shares'!$C$2:$CA$223,77,0)</f>
        <v>3.0999999999999999E-3</v>
      </c>
      <c r="H52" s="86">
        <f>VLOOKUP($A52,'Data shares'!$C:$FA,90)</f>
        <v>4220625</v>
      </c>
      <c r="I52" s="86">
        <f>VLOOKUP($A52,'Data shares'!$C:$FA,92)</f>
        <v>-59250</v>
      </c>
      <c r="J52" s="87">
        <f>VLOOKUP($A52,'Data shares'!$C:$FA,93)</f>
        <v>-1.38E-2</v>
      </c>
      <c r="K52" s="86">
        <f>VLOOKUP($A52,'Data shares'!$C:$FA,94)</f>
        <v>3286125</v>
      </c>
      <c r="L52" s="86">
        <f>VLOOKUP($A52,'Data shares'!$C:$FA,96)</f>
        <v>16500</v>
      </c>
      <c r="M52" s="87">
        <f>VLOOKUP($A52,'Data shares'!$C:$FA,97)</f>
        <v>5.0000000000000001E-3</v>
      </c>
      <c r="N52" s="86">
        <f>VLOOKUP($A52,'Data shares'!$C:$FA,78)</f>
        <v>10316250</v>
      </c>
      <c r="O52" s="87">
        <f>VLOOKUP($A52,'Data shares'!$C:$FA,81)</f>
        <v>-9.1000000000000004E-3</v>
      </c>
    </row>
    <row r="53" spans="1:15" x14ac:dyDescent="0.25">
      <c r="A53" s="100" t="str">
        <f>'OI(Value)'!A53</f>
        <v>COALINDIA</v>
      </c>
      <c r="B53" s="82">
        <f>VLOOKUP(A53,'Data shares'!$C$2:$CV$223,98,0)</f>
        <v>132271650</v>
      </c>
      <c r="C53" s="82">
        <f>VLOOKUP(A53,'Data shares'!$C$2:$CX$223,100,0)</f>
        <v>2301750</v>
      </c>
      <c r="D53" s="141">
        <f>VLOOKUP(A53,'Data shares'!$C$2:$CY$546,101,0)</f>
        <v>1.77E-2</v>
      </c>
      <c r="E53" s="86">
        <f>VLOOKUP($A53,'Data shares'!$C:$FA,74)</f>
        <v>76693500</v>
      </c>
      <c r="F53" s="86">
        <f>VLOOKUP($A53,'Data shares'!$C:$FA,76)</f>
        <v>1057050</v>
      </c>
      <c r="G53" s="87">
        <f>VLOOKUP(A53,'Data shares'!$C$2:$CA$223,77,0)</f>
        <v>1.4E-2</v>
      </c>
      <c r="H53" s="86">
        <f>VLOOKUP($A53,'Data shares'!$C:$FA,90)</f>
        <v>32540400</v>
      </c>
      <c r="I53" s="86">
        <f>VLOOKUP($A53,'Data shares'!$C:$FA,92)</f>
        <v>583200</v>
      </c>
      <c r="J53" s="87">
        <f>VLOOKUP($A53,'Data shares'!$C:$FA,93)</f>
        <v>1.8200000000000001E-2</v>
      </c>
      <c r="K53" s="86">
        <f>VLOOKUP($A53,'Data shares'!$C:$FA,94)</f>
        <v>23037750</v>
      </c>
      <c r="L53" s="86">
        <f>VLOOKUP($A53,'Data shares'!$C:$FA,96)</f>
        <v>661500</v>
      </c>
      <c r="M53" s="87">
        <f>VLOOKUP($A53,'Data shares'!$C:$FA,97)</f>
        <v>2.9600000000000001E-2</v>
      </c>
      <c r="N53" s="86">
        <f>VLOOKUP($A53,'Data shares'!$C:$FA,78)</f>
        <v>71329950</v>
      </c>
      <c r="O53" s="87">
        <f>VLOOKUP($A53,'Data shares'!$C:$FA,81)</f>
        <v>3.3E-3</v>
      </c>
    </row>
    <row r="54" spans="1:15" x14ac:dyDescent="0.25">
      <c r="A54" s="100" t="str">
        <f>'OI(Value)'!A54</f>
        <v>COFORGE</v>
      </c>
      <c r="B54" s="82">
        <f>VLOOKUP(A54,'Data shares'!$C$2:$CV$223,98,0)</f>
        <v>21126375</v>
      </c>
      <c r="C54" s="82">
        <f>VLOOKUP(A54,'Data shares'!$C$2:$CX$223,100,0)</f>
        <v>-875250</v>
      </c>
      <c r="D54" s="141">
        <f>VLOOKUP(A54,'Data shares'!$C$2:$CY$546,101,0)</f>
        <v>-3.9800000000000002E-2</v>
      </c>
      <c r="E54" s="86">
        <f>VLOOKUP($A54,'Data shares'!$C:$FA,74)</f>
        <v>13129500</v>
      </c>
      <c r="F54" s="86">
        <f>VLOOKUP($A54,'Data shares'!$C:$FA,76)</f>
        <v>-160875</v>
      </c>
      <c r="G54" s="87">
        <f>VLOOKUP(A54,'Data shares'!$C$2:$CA$223,77,0)</f>
        <v>-1.21E-2</v>
      </c>
      <c r="H54" s="86">
        <f>VLOOKUP($A54,'Data shares'!$C:$FA,90)</f>
        <v>4759875</v>
      </c>
      <c r="I54" s="86">
        <f>VLOOKUP($A54,'Data shares'!$C:$FA,92)</f>
        <v>-779250</v>
      </c>
      <c r="J54" s="87">
        <f>VLOOKUP($A54,'Data shares'!$C:$FA,93)</f>
        <v>-0.14069999999999999</v>
      </c>
      <c r="K54" s="86">
        <f>VLOOKUP($A54,'Data shares'!$C:$FA,94)</f>
        <v>3237000</v>
      </c>
      <c r="L54" s="86">
        <f>VLOOKUP($A54,'Data shares'!$C:$FA,96)</f>
        <v>64875</v>
      </c>
      <c r="M54" s="87">
        <f>VLOOKUP($A54,'Data shares'!$C:$FA,97)</f>
        <v>2.0500000000000001E-2</v>
      </c>
      <c r="N54" s="86">
        <f>VLOOKUP($A54,'Data shares'!$C:$FA,78)</f>
        <v>12646875</v>
      </c>
      <c r="O54" s="87">
        <f>VLOOKUP($A54,'Data shares'!$C:$FA,81)</f>
        <v>-1.6199999999999999E-2</v>
      </c>
    </row>
    <row r="55" spans="1:15" x14ac:dyDescent="0.25">
      <c r="A55" s="100" t="str">
        <f>'OI(Value)'!A55</f>
        <v>COLPAL</v>
      </c>
      <c r="B55" s="82">
        <f>VLOOKUP(A55,'Data shares'!$C$2:$CV$223,98,0)</f>
        <v>8530200</v>
      </c>
      <c r="C55" s="82">
        <f>VLOOKUP(A55,'Data shares'!$C$2:$CX$223,100,0)</f>
        <v>-140625</v>
      </c>
      <c r="D55" s="141">
        <f>VLOOKUP(A55,'Data shares'!$C$2:$CY$546,101,0)</f>
        <v>-1.6199999999999999E-2</v>
      </c>
      <c r="E55" s="86">
        <f>VLOOKUP($A55,'Data shares'!$C:$FA,74)</f>
        <v>5473350</v>
      </c>
      <c r="F55" s="86">
        <f>VLOOKUP($A55,'Data shares'!$C:$FA,76)</f>
        <v>-385200</v>
      </c>
      <c r="G55" s="87">
        <f>VLOOKUP(A55,'Data shares'!$C$2:$CA$223,77,0)</f>
        <v>-6.5799999999999997E-2</v>
      </c>
      <c r="H55" s="86">
        <f>VLOOKUP($A55,'Data shares'!$C:$FA,90)</f>
        <v>1655325</v>
      </c>
      <c r="I55" s="86">
        <f>VLOOKUP($A55,'Data shares'!$C:$FA,92)</f>
        <v>-20925</v>
      </c>
      <c r="J55" s="87">
        <f>VLOOKUP($A55,'Data shares'!$C:$FA,93)</f>
        <v>-1.2500000000000001E-2</v>
      </c>
      <c r="K55" s="86">
        <f>VLOOKUP($A55,'Data shares'!$C:$FA,94)</f>
        <v>1401525</v>
      </c>
      <c r="L55" s="86">
        <f>VLOOKUP($A55,'Data shares'!$C:$FA,96)</f>
        <v>265500</v>
      </c>
      <c r="M55" s="87">
        <f>VLOOKUP($A55,'Data shares'!$C:$FA,97)</f>
        <v>0.23369999999999999</v>
      </c>
      <c r="N55" s="86">
        <f>VLOOKUP($A55,'Data shares'!$C:$FA,78)</f>
        <v>4931325</v>
      </c>
      <c r="O55" s="87">
        <f>VLOOKUP($A55,'Data shares'!$C:$FA,81)</f>
        <v>-8.9099999999999999E-2</v>
      </c>
    </row>
    <row r="56" spans="1:15" x14ac:dyDescent="0.25">
      <c r="A56" s="100" t="str">
        <f>'OI(Value)'!A56</f>
        <v>CONCOR</v>
      </c>
      <c r="B56" s="82">
        <f>VLOOKUP(A56,'Data shares'!$C$2:$CV$223,98,0)</f>
        <v>37932500</v>
      </c>
      <c r="C56" s="82">
        <f>VLOOKUP(A56,'Data shares'!$C$2:$CX$223,100,0)</f>
        <v>-133750</v>
      </c>
      <c r="D56" s="141">
        <f>VLOOKUP(A56,'Data shares'!$C$2:$CY$546,101,0)</f>
        <v>-3.5000000000000001E-3</v>
      </c>
      <c r="E56" s="86">
        <f>VLOOKUP($A56,'Data shares'!$C:$FA,74)</f>
        <v>22447500</v>
      </c>
      <c r="F56" s="86">
        <f>VLOOKUP($A56,'Data shares'!$C:$FA,76)</f>
        <v>343750</v>
      </c>
      <c r="G56" s="87">
        <f>VLOOKUP(A56,'Data shares'!$C$2:$CA$223,77,0)</f>
        <v>1.5599999999999999E-2</v>
      </c>
      <c r="H56" s="86">
        <f>VLOOKUP($A56,'Data shares'!$C:$FA,90)</f>
        <v>9051250</v>
      </c>
      <c r="I56" s="86">
        <f>VLOOKUP($A56,'Data shares'!$C:$FA,92)</f>
        <v>-461250</v>
      </c>
      <c r="J56" s="87">
        <f>VLOOKUP($A56,'Data shares'!$C:$FA,93)</f>
        <v>-4.8500000000000001E-2</v>
      </c>
      <c r="K56" s="86">
        <f>VLOOKUP($A56,'Data shares'!$C:$FA,94)</f>
        <v>6433750</v>
      </c>
      <c r="L56" s="86">
        <f>VLOOKUP($A56,'Data shares'!$C:$FA,96)</f>
        <v>-16250</v>
      </c>
      <c r="M56" s="87">
        <f>VLOOKUP($A56,'Data shares'!$C:$FA,97)</f>
        <v>-2.5000000000000001E-3</v>
      </c>
      <c r="N56" s="86">
        <f>VLOOKUP($A56,'Data shares'!$C:$FA,78)</f>
        <v>19442500</v>
      </c>
      <c r="O56" s="87">
        <f>VLOOKUP($A56,'Data shares'!$C:$FA,81)</f>
        <v>1.1999999999999999E-3</v>
      </c>
    </row>
    <row r="57" spans="1:15" x14ac:dyDescent="0.25">
      <c r="A57" s="100" t="str">
        <f>'OI(Value)'!A57</f>
        <v>CROMPTON</v>
      </c>
      <c r="B57" s="82">
        <f>VLOOKUP(A57,'Data shares'!$C$2:$CV$223,98,0)</f>
        <v>50252400</v>
      </c>
      <c r="C57" s="82">
        <f>VLOOKUP(A57,'Data shares'!$C$2:$CX$223,100,0)</f>
        <v>955800</v>
      </c>
      <c r="D57" s="141">
        <f>VLOOKUP(A57,'Data shares'!$C$2:$CY$546,101,0)</f>
        <v>1.9400000000000001E-2</v>
      </c>
      <c r="E57" s="86">
        <f>VLOOKUP($A57,'Data shares'!$C:$FA,74)</f>
        <v>40797000</v>
      </c>
      <c r="F57" s="86">
        <f>VLOOKUP($A57,'Data shares'!$C:$FA,76)</f>
        <v>790200</v>
      </c>
      <c r="G57" s="87">
        <f>VLOOKUP(A57,'Data shares'!$C$2:$CA$223,77,0)</f>
        <v>1.9800000000000002E-2</v>
      </c>
      <c r="H57" s="86">
        <f>VLOOKUP($A57,'Data shares'!$C:$FA,90)</f>
        <v>5115600</v>
      </c>
      <c r="I57" s="86">
        <f>VLOOKUP($A57,'Data shares'!$C:$FA,92)</f>
        <v>210600</v>
      </c>
      <c r="J57" s="87">
        <f>VLOOKUP($A57,'Data shares'!$C:$FA,93)</f>
        <v>4.2900000000000001E-2</v>
      </c>
      <c r="K57" s="86">
        <f>VLOOKUP($A57,'Data shares'!$C:$FA,94)</f>
        <v>4339800</v>
      </c>
      <c r="L57" s="86">
        <f>VLOOKUP($A57,'Data shares'!$C:$FA,96)</f>
        <v>-45000</v>
      </c>
      <c r="M57" s="87">
        <f>VLOOKUP($A57,'Data shares'!$C:$FA,97)</f>
        <v>-1.03E-2</v>
      </c>
      <c r="N57" s="86">
        <f>VLOOKUP($A57,'Data shares'!$C:$FA,78)</f>
        <v>38856600</v>
      </c>
      <c r="O57" s="87">
        <f>VLOOKUP($A57,'Data shares'!$C:$FA,81)</f>
        <v>1.1299999999999999E-2</v>
      </c>
    </row>
    <row r="58" spans="1:15" x14ac:dyDescent="0.25">
      <c r="A58" s="100" t="str">
        <f>'OI(Value)'!A58</f>
        <v>CUMMINSIND</v>
      </c>
      <c r="B58" s="82">
        <f>VLOOKUP(A58,'Data shares'!$C$2:$CV$223,98,0)</f>
        <v>5395800</v>
      </c>
      <c r="C58" s="82">
        <f>VLOOKUP(A58,'Data shares'!$C$2:$CX$223,100,0)</f>
        <v>97600</v>
      </c>
      <c r="D58" s="141">
        <f>VLOOKUP(A58,'Data shares'!$C$2:$CY$546,101,0)</f>
        <v>1.84E-2</v>
      </c>
      <c r="E58" s="86">
        <f>VLOOKUP($A58,'Data shares'!$C:$FA,74)</f>
        <v>3510600</v>
      </c>
      <c r="F58" s="86">
        <f>VLOOKUP($A58,'Data shares'!$C:$FA,76)</f>
        <v>38800</v>
      </c>
      <c r="G58" s="87">
        <f>VLOOKUP(A58,'Data shares'!$C$2:$CA$223,77,0)</f>
        <v>1.12E-2</v>
      </c>
      <c r="H58" s="86">
        <f>VLOOKUP($A58,'Data shares'!$C:$FA,90)</f>
        <v>1029200</v>
      </c>
      <c r="I58" s="86">
        <f>VLOOKUP($A58,'Data shares'!$C:$FA,92)</f>
        <v>54400</v>
      </c>
      <c r="J58" s="87">
        <f>VLOOKUP($A58,'Data shares'!$C:$FA,93)</f>
        <v>5.5800000000000002E-2</v>
      </c>
      <c r="K58" s="86">
        <f>VLOOKUP($A58,'Data shares'!$C:$FA,94)</f>
        <v>856000</v>
      </c>
      <c r="L58" s="86">
        <f>VLOOKUP($A58,'Data shares'!$C:$FA,96)</f>
        <v>4400</v>
      </c>
      <c r="M58" s="87">
        <f>VLOOKUP($A58,'Data shares'!$C:$FA,97)</f>
        <v>5.1999999999999998E-3</v>
      </c>
      <c r="N58" s="86">
        <f>VLOOKUP($A58,'Data shares'!$C:$FA,78)</f>
        <v>3364000</v>
      </c>
      <c r="O58" s="87">
        <f>VLOOKUP($A58,'Data shares'!$C:$FA,81)</f>
        <v>7.1000000000000004E-3</v>
      </c>
    </row>
    <row r="59" spans="1:15" x14ac:dyDescent="0.25">
      <c r="A59" s="100" t="str">
        <f>'OI(Value)'!A59</f>
        <v>CYIENT</v>
      </c>
      <c r="B59" s="82">
        <f>VLOOKUP(A59,'Data shares'!$C$2:$CV$223,98,0)</f>
        <v>4806325</v>
      </c>
      <c r="C59" s="82">
        <f>VLOOKUP(A59,'Data shares'!$C$2:$CX$223,100,0)</f>
        <v>465375</v>
      </c>
      <c r="D59" s="141">
        <f>VLOOKUP(A59,'Data shares'!$C$2:$CY$546,101,0)</f>
        <v>0.1072</v>
      </c>
      <c r="E59" s="86">
        <f>VLOOKUP($A59,'Data shares'!$C:$FA,74)</f>
        <v>2762075</v>
      </c>
      <c r="F59" s="86">
        <f>VLOOKUP($A59,'Data shares'!$C:$FA,76)</f>
        <v>-21675</v>
      </c>
      <c r="G59" s="87">
        <f>VLOOKUP(A59,'Data shares'!$C$2:$CA$223,77,0)</f>
        <v>-7.7999999999999996E-3</v>
      </c>
      <c r="H59" s="86">
        <f>VLOOKUP($A59,'Data shares'!$C:$FA,90)</f>
        <v>1422475</v>
      </c>
      <c r="I59" s="86">
        <f>VLOOKUP($A59,'Data shares'!$C:$FA,92)</f>
        <v>413950</v>
      </c>
      <c r="J59" s="87">
        <f>VLOOKUP($A59,'Data shares'!$C:$FA,93)</f>
        <v>0.41049999999999998</v>
      </c>
      <c r="K59" s="86">
        <f>VLOOKUP($A59,'Data shares'!$C:$FA,94)</f>
        <v>621775</v>
      </c>
      <c r="L59" s="86">
        <f>VLOOKUP($A59,'Data shares'!$C:$FA,96)</f>
        <v>73100</v>
      </c>
      <c r="M59" s="87">
        <f>VLOOKUP($A59,'Data shares'!$C:$FA,97)</f>
        <v>0.13320000000000001</v>
      </c>
      <c r="N59" s="86">
        <f>VLOOKUP($A59,'Data shares'!$C:$FA,78)</f>
        <v>2562325</v>
      </c>
      <c r="O59" s="87">
        <f>VLOOKUP($A59,'Data shares'!$C:$FA,81)</f>
        <v>-3.2000000000000001E-2</v>
      </c>
    </row>
    <row r="60" spans="1:15" x14ac:dyDescent="0.25">
      <c r="A60" s="100" t="str">
        <f>'OI(Value)'!A60</f>
        <v>DABUR</v>
      </c>
      <c r="B60" s="82">
        <f>VLOOKUP(A60,'Data shares'!$C$2:$CV$223,98,0)</f>
        <v>36646250</v>
      </c>
      <c r="C60" s="82">
        <f>VLOOKUP(A60,'Data shares'!$C$2:$CX$223,100,0)</f>
        <v>3892500</v>
      </c>
      <c r="D60" s="141">
        <f>VLOOKUP(A60,'Data shares'!$C$2:$CY$546,101,0)</f>
        <v>0.1188</v>
      </c>
      <c r="E60" s="86">
        <f>VLOOKUP($A60,'Data shares'!$C:$FA,74)</f>
        <v>19607500</v>
      </c>
      <c r="F60" s="86">
        <f>VLOOKUP($A60,'Data shares'!$C:$FA,76)</f>
        <v>3486250</v>
      </c>
      <c r="G60" s="87">
        <f>VLOOKUP(A60,'Data shares'!$C$2:$CA$223,77,0)</f>
        <v>0.21629999999999999</v>
      </c>
      <c r="H60" s="86">
        <f>VLOOKUP($A60,'Data shares'!$C:$FA,90)</f>
        <v>11157500</v>
      </c>
      <c r="I60" s="86">
        <f>VLOOKUP($A60,'Data shares'!$C:$FA,92)</f>
        <v>-112500</v>
      </c>
      <c r="J60" s="87">
        <f>VLOOKUP($A60,'Data shares'!$C:$FA,93)</f>
        <v>-0.01</v>
      </c>
      <c r="K60" s="86">
        <f>VLOOKUP($A60,'Data shares'!$C:$FA,94)</f>
        <v>5881250</v>
      </c>
      <c r="L60" s="86">
        <f>VLOOKUP($A60,'Data shares'!$C:$FA,96)</f>
        <v>518750</v>
      </c>
      <c r="M60" s="87">
        <f>VLOOKUP($A60,'Data shares'!$C:$FA,97)</f>
        <v>9.6699999999999994E-2</v>
      </c>
      <c r="N60" s="86">
        <f>VLOOKUP($A60,'Data shares'!$C:$FA,78)</f>
        <v>17921250</v>
      </c>
      <c r="O60" s="87">
        <f>VLOOKUP($A60,'Data shares'!$C:$FA,81)</f>
        <v>0.18940000000000001</v>
      </c>
    </row>
    <row r="61" spans="1:15" x14ac:dyDescent="0.25">
      <c r="A61" s="100" t="str">
        <f>'OI(Value)'!A61</f>
        <v>DALBHARAT</v>
      </c>
      <c r="B61" s="82">
        <f>VLOOKUP(A61,'Data shares'!$C$2:$CV$223,98,0)</f>
        <v>3733925</v>
      </c>
      <c r="C61" s="82">
        <f>VLOOKUP(A61,'Data shares'!$C$2:$CX$223,100,0)</f>
        <v>-17550</v>
      </c>
      <c r="D61" s="141">
        <f>VLOOKUP(A61,'Data shares'!$C$2:$CY$546,101,0)</f>
        <v>-4.7000000000000002E-3</v>
      </c>
      <c r="E61" s="86">
        <f>VLOOKUP($A61,'Data shares'!$C:$FA,74)</f>
        <v>2980900</v>
      </c>
      <c r="F61" s="86">
        <f>VLOOKUP($A61,'Data shares'!$C:$FA,76)</f>
        <v>0</v>
      </c>
      <c r="G61" s="87">
        <f>VLOOKUP(A61,'Data shares'!$C$2:$CA$223,77,0)</f>
        <v>0</v>
      </c>
      <c r="H61" s="86">
        <f>VLOOKUP($A61,'Data shares'!$C:$FA,90)</f>
        <v>461825</v>
      </c>
      <c r="I61" s="86">
        <f>VLOOKUP($A61,'Data shares'!$C:$FA,92)</f>
        <v>-6175</v>
      </c>
      <c r="J61" s="87">
        <f>VLOOKUP($A61,'Data shares'!$C:$FA,93)</f>
        <v>-1.32E-2</v>
      </c>
      <c r="K61" s="86">
        <f>VLOOKUP($A61,'Data shares'!$C:$FA,94)</f>
        <v>291200</v>
      </c>
      <c r="L61" s="86">
        <f>VLOOKUP($A61,'Data shares'!$C:$FA,96)</f>
        <v>-11375</v>
      </c>
      <c r="M61" s="87">
        <f>VLOOKUP($A61,'Data shares'!$C:$FA,97)</f>
        <v>-3.7600000000000001E-2</v>
      </c>
      <c r="N61" s="86">
        <f>VLOOKUP($A61,'Data shares'!$C:$FA,78)</f>
        <v>2912975</v>
      </c>
      <c r="O61" s="87">
        <f>VLOOKUP($A61,'Data shares'!$C:$FA,81)</f>
        <v>-6.0000000000000001E-3</v>
      </c>
    </row>
    <row r="62" spans="1:15" x14ac:dyDescent="0.25">
      <c r="A62" s="100" t="str">
        <f>'OI(Value)'!A62</f>
        <v>DELHIVERY</v>
      </c>
      <c r="B62" s="82">
        <f>VLOOKUP(A62,'Data shares'!$C$2:$CV$223,98,0)</f>
        <v>36434925</v>
      </c>
      <c r="C62" s="82">
        <f>VLOOKUP(A62,'Data shares'!$C$2:$CX$223,100,0)</f>
        <v>-630800</v>
      </c>
      <c r="D62" s="141">
        <f>VLOOKUP(A62,'Data shares'!$C$2:$CY$546,101,0)</f>
        <v>-1.7000000000000001E-2</v>
      </c>
      <c r="E62" s="86">
        <f>VLOOKUP($A62,'Data shares'!$C:$FA,74)</f>
        <v>15386125</v>
      </c>
      <c r="F62" s="86">
        <f>VLOOKUP($A62,'Data shares'!$C:$FA,76)</f>
        <v>-4150</v>
      </c>
      <c r="G62" s="87">
        <f>VLOOKUP(A62,'Data shares'!$C$2:$CA$223,77,0)</f>
        <v>-2.9999999999999997E-4</v>
      </c>
      <c r="H62" s="86">
        <f>VLOOKUP($A62,'Data shares'!$C:$FA,90)</f>
        <v>11400050</v>
      </c>
      <c r="I62" s="86">
        <f>VLOOKUP($A62,'Data shares'!$C:$FA,92)</f>
        <v>-574775</v>
      </c>
      <c r="J62" s="87">
        <f>VLOOKUP($A62,'Data shares'!$C:$FA,93)</f>
        <v>-4.8000000000000001E-2</v>
      </c>
      <c r="K62" s="86">
        <f>VLOOKUP($A62,'Data shares'!$C:$FA,94)</f>
        <v>9648750</v>
      </c>
      <c r="L62" s="86">
        <f>VLOOKUP($A62,'Data shares'!$C:$FA,96)</f>
        <v>-51875</v>
      </c>
      <c r="M62" s="87">
        <f>VLOOKUP($A62,'Data shares'!$C:$FA,97)</f>
        <v>-5.3E-3</v>
      </c>
      <c r="N62" s="86">
        <f>VLOOKUP($A62,'Data shares'!$C:$FA,78)</f>
        <v>13871375</v>
      </c>
      <c r="O62" s="87">
        <f>VLOOKUP($A62,'Data shares'!$C:$FA,81)</f>
        <v>-1.52E-2</v>
      </c>
    </row>
    <row r="63" spans="1:15" x14ac:dyDescent="0.25">
      <c r="A63" s="100" t="str">
        <f>'OI(Value)'!A63</f>
        <v>DIVISLAB</v>
      </c>
      <c r="B63" s="82">
        <f>VLOOKUP(A63,'Data shares'!$C$2:$CV$223,98,0)</f>
        <v>5567500</v>
      </c>
      <c r="C63" s="82">
        <f>VLOOKUP(A63,'Data shares'!$C$2:$CX$223,100,0)</f>
        <v>228300</v>
      </c>
      <c r="D63" s="141">
        <f>VLOOKUP(A63,'Data shares'!$C$2:$CY$546,101,0)</f>
        <v>4.2799999999999998E-2</v>
      </c>
      <c r="E63" s="86">
        <f>VLOOKUP($A63,'Data shares'!$C:$FA,74)</f>
        <v>2975800</v>
      </c>
      <c r="F63" s="86">
        <f>VLOOKUP($A63,'Data shares'!$C:$FA,76)</f>
        <v>103600</v>
      </c>
      <c r="G63" s="87">
        <f>VLOOKUP(A63,'Data shares'!$C$2:$CA$223,77,0)</f>
        <v>3.61E-2</v>
      </c>
      <c r="H63" s="86">
        <f>VLOOKUP($A63,'Data shares'!$C:$FA,90)</f>
        <v>1589500</v>
      </c>
      <c r="I63" s="86">
        <f>VLOOKUP($A63,'Data shares'!$C:$FA,92)</f>
        <v>59000</v>
      </c>
      <c r="J63" s="87">
        <f>VLOOKUP($A63,'Data shares'!$C:$FA,93)</f>
        <v>3.85E-2</v>
      </c>
      <c r="K63" s="86">
        <f>VLOOKUP($A63,'Data shares'!$C:$FA,94)</f>
        <v>1002200</v>
      </c>
      <c r="L63" s="86">
        <f>VLOOKUP($A63,'Data shares'!$C:$FA,96)</f>
        <v>65700</v>
      </c>
      <c r="M63" s="87">
        <f>VLOOKUP($A63,'Data shares'!$C:$FA,97)</f>
        <v>7.0199999999999999E-2</v>
      </c>
      <c r="N63" s="86">
        <f>VLOOKUP($A63,'Data shares'!$C:$FA,78)</f>
        <v>2730100</v>
      </c>
      <c r="O63" s="87">
        <f>VLOOKUP($A63,'Data shares'!$C:$FA,81)</f>
        <v>1.4E-3</v>
      </c>
    </row>
    <row r="64" spans="1:15" x14ac:dyDescent="0.25">
      <c r="A64" s="100" t="str">
        <f>'OI(Value)'!A64</f>
        <v>DIXON</v>
      </c>
      <c r="B64" s="82">
        <f>VLOOKUP(A64,'Data shares'!$C$2:$CV$223,98,0)</f>
        <v>3442850</v>
      </c>
      <c r="C64" s="82">
        <f>VLOOKUP(A64,'Data shares'!$C$2:$CX$223,100,0)</f>
        <v>165400</v>
      </c>
      <c r="D64" s="141">
        <f>VLOOKUP(A64,'Data shares'!$C$2:$CY$546,101,0)</f>
        <v>5.0500000000000003E-2</v>
      </c>
      <c r="E64" s="86">
        <f>VLOOKUP($A64,'Data shares'!$C:$FA,74)</f>
        <v>1511100</v>
      </c>
      <c r="F64" s="86">
        <f>VLOOKUP($A64,'Data shares'!$C:$FA,76)</f>
        <v>2650</v>
      </c>
      <c r="G64" s="87">
        <f>VLOOKUP(A64,'Data shares'!$C$2:$CA$223,77,0)</f>
        <v>1.8E-3</v>
      </c>
      <c r="H64" s="86">
        <f>VLOOKUP($A64,'Data shares'!$C:$FA,90)</f>
        <v>1134950</v>
      </c>
      <c r="I64" s="86">
        <f>VLOOKUP($A64,'Data shares'!$C:$FA,92)</f>
        <v>134450</v>
      </c>
      <c r="J64" s="87">
        <f>VLOOKUP($A64,'Data shares'!$C:$FA,93)</f>
        <v>0.13439999999999999</v>
      </c>
      <c r="K64" s="86">
        <f>VLOOKUP($A64,'Data shares'!$C:$FA,94)</f>
        <v>796800</v>
      </c>
      <c r="L64" s="86">
        <f>VLOOKUP($A64,'Data shares'!$C:$FA,96)</f>
        <v>28300</v>
      </c>
      <c r="M64" s="87">
        <f>VLOOKUP($A64,'Data shares'!$C:$FA,97)</f>
        <v>3.6799999999999999E-2</v>
      </c>
      <c r="N64" s="86">
        <f>VLOOKUP($A64,'Data shares'!$C:$FA,78)</f>
        <v>1383550</v>
      </c>
      <c r="O64" s="87">
        <f>VLOOKUP($A64,'Data shares'!$C:$FA,81)</f>
        <v>-1.67E-2</v>
      </c>
    </row>
    <row r="65" spans="1:15" x14ac:dyDescent="0.25">
      <c r="A65" s="100" t="str">
        <f>'OI(Value)'!A65</f>
        <v>DLF</v>
      </c>
      <c r="B65" s="82">
        <f>VLOOKUP(A65,'Data shares'!$C$2:$CV$223,98,0)</f>
        <v>66790350</v>
      </c>
      <c r="C65" s="82">
        <f>VLOOKUP(A65,'Data shares'!$C$2:$CX$223,100,0)</f>
        <v>911625</v>
      </c>
      <c r="D65" s="141">
        <f>VLOOKUP(A65,'Data shares'!$C$2:$CY$546,101,0)</f>
        <v>1.38E-2</v>
      </c>
      <c r="E65" s="86">
        <f>VLOOKUP($A65,'Data shares'!$C:$FA,74)</f>
        <v>38668575</v>
      </c>
      <c r="F65" s="86">
        <f>VLOOKUP($A65,'Data shares'!$C:$FA,76)</f>
        <v>343200</v>
      </c>
      <c r="G65" s="87">
        <f>VLOOKUP(A65,'Data shares'!$C$2:$CA$223,77,0)</f>
        <v>8.9999999999999993E-3</v>
      </c>
      <c r="H65" s="86">
        <f>VLOOKUP($A65,'Data shares'!$C:$FA,90)</f>
        <v>18089775</v>
      </c>
      <c r="I65" s="86">
        <f>VLOOKUP($A65,'Data shares'!$C:$FA,92)</f>
        <v>406725</v>
      </c>
      <c r="J65" s="87">
        <f>VLOOKUP($A65,'Data shares'!$C:$FA,93)</f>
        <v>2.3E-2</v>
      </c>
      <c r="K65" s="86">
        <f>VLOOKUP($A65,'Data shares'!$C:$FA,94)</f>
        <v>10032000</v>
      </c>
      <c r="L65" s="86">
        <f>VLOOKUP($A65,'Data shares'!$C:$FA,96)</f>
        <v>161700</v>
      </c>
      <c r="M65" s="87">
        <f>VLOOKUP($A65,'Data shares'!$C:$FA,97)</f>
        <v>1.6400000000000001E-2</v>
      </c>
      <c r="N65" s="86">
        <f>VLOOKUP($A65,'Data shares'!$C:$FA,78)</f>
        <v>35871000</v>
      </c>
      <c r="O65" s="87">
        <f>VLOOKUP($A65,'Data shares'!$C:$FA,81)</f>
        <v>-8.6E-3</v>
      </c>
    </row>
    <row r="66" spans="1:15" x14ac:dyDescent="0.25">
      <c r="A66" s="100" t="str">
        <f>'OI(Value)'!A66</f>
        <v>DMART</v>
      </c>
      <c r="B66" s="82">
        <f>VLOOKUP(A66,'Data shares'!$C$2:$CV$223,98,0)</f>
        <v>8979000</v>
      </c>
      <c r="C66" s="82">
        <f>VLOOKUP(A66,'Data shares'!$C$2:$CX$223,100,0)</f>
        <v>341550</v>
      </c>
      <c r="D66" s="141">
        <f>VLOOKUP(A66,'Data shares'!$C$2:$CY$546,101,0)</f>
        <v>3.95E-2</v>
      </c>
      <c r="E66" s="86">
        <f>VLOOKUP($A66,'Data shares'!$C:$FA,74)</f>
        <v>5842350</v>
      </c>
      <c r="F66" s="86">
        <f>VLOOKUP($A66,'Data shares'!$C:$FA,76)</f>
        <v>126900</v>
      </c>
      <c r="G66" s="87">
        <f>VLOOKUP(A66,'Data shares'!$C$2:$CA$223,77,0)</f>
        <v>2.2200000000000001E-2</v>
      </c>
      <c r="H66" s="86">
        <f>VLOOKUP($A66,'Data shares'!$C:$FA,90)</f>
        <v>1642800</v>
      </c>
      <c r="I66" s="86">
        <f>VLOOKUP($A66,'Data shares'!$C:$FA,92)</f>
        <v>19050</v>
      </c>
      <c r="J66" s="87">
        <f>VLOOKUP($A66,'Data shares'!$C:$FA,93)</f>
        <v>1.17E-2</v>
      </c>
      <c r="K66" s="86">
        <f>VLOOKUP($A66,'Data shares'!$C:$FA,94)</f>
        <v>1493850</v>
      </c>
      <c r="L66" s="86">
        <f>VLOOKUP($A66,'Data shares'!$C:$FA,96)</f>
        <v>195600</v>
      </c>
      <c r="M66" s="87">
        <f>VLOOKUP($A66,'Data shares'!$C:$FA,97)</f>
        <v>0.1507</v>
      </c>
      <c r="N66" s="86">
        <f>VLOOKUP($A66,'Data shares'!$C:$FA,78)</f>
        <v>5023200</v>
      </c>
      <c r="O66" s="87">
        <f>VLOOKUP($A66,'Data shares'!$C:$FA,81)</f>
        <v>9.1999999999999998E-3</v>
      </c>
    </row>
    <row r="67" spans="1:15" x14ac:dyDescent="0.25">
      <c r="A67" s="100" t="str">
        <f>'OI(Value)'!A67</f>
        <v>DRREDDY</v>
      </c>
      <c r="B67" s="82">
        <f>VLOOKUP(A67,'Data shares'!$C$2:$CV$223,98,0)</f>
        <v>25282500</v>
      </c>
      <c r="C67" s="82">
        <f>VLOOKUP(A67,'Data shares'!$C$2:$CX$223,100,0)</f>
        <v>228750</v>
      </c>
      <c r="D67" s="141">
        <f>VLOOKUP(A67,'Data shares'!$C$2:$CY$546,101,0)</f>
        <v>9.1000000000000004E-3</v>
      </c>
      <c r="E67" s="86">
        <f>VLOOKUP($A67,'Data shares'!$C:$FA,74)</f>
        <v>13430625</v>
      </c>
      <c r="F67" s="86">
        <f>VLOOKUP($A67,'Data shares'!$C:$FA,76)</f>
        <v>124375</v>
      </c>
      <c r="G67" s="87">
        <f>VLOOKUP(A67,'Data shares'!$C$2:$CA$223,77,0)</f>
        <v>9.2999999999999992E-3</v>
      </c>
      <c r="H67" s="86">
        <f>VLOOKUP($A67,'Data shares'!$C:$FA,90)</f>
        <v>6592500</v>
      </c>
      <c r="I67" s="86">
        <f>VLOOKUP($A67,'Data shares'!$C:$FA,92)</f>
        <v>-10000</v>
      </c>
      <c r="J67" s="87">
        <f>VLOOKUP($A67,'Data shares'!$C:$FA,93)</f>
        <v>-1.5E-3</v>
      </c>
      <c r="K67" s="86">
        <f>VLOOKUP($A67,'Data shares'!$C:$FA,94)</f>
        <v>5259375</v>
      </c>
      <c r="L67" s="86">
        <f>VLOOKUP($A67,'Data shares'!$C:$FA,96)</f>
        <v>114375</v>
      </c>
      <c r="M67" s="87">
        <f>VLOOKUP($A67,'Data shares'!$C:$FA,97)</f>
        <v>2.2200000000000001E-2</v>
      </c>
      <c r="N67" s="86">
        <f>VLOOKUP($A67,'Data shares'!$C:$FA,78)</f>
        <v>11991250</v>
      </c>
      <c r="O67" s="87">
        <f>VLOOKUP($A67,'Data shares'!$C:$FA,81)</f>
        <v>-1.0500000000000001E-2</v>
      </c>
    </row>
    <row r="68" spans="1:15" x14ac:dyDescent="0.25">
      <c r="A68" s="100" t="str">
        <f>'OI(Value)'!A68</f>
        <v>EICHERMOT</v>
      </c>
      <c r="B68" s="82">
        <f>VLOOKUP(A68,'Data shares'!$C$2:$CV$223,98,0)</f>
        <v>8201025</v>
      </c>
      <c r="C68" s="82">
        <f>VLOOKUP(A68,'Data shares'!$C$2:$CX$223,100,0)</f>
        <v>-61250</v>
      </c>
      <c r="D68" s="141">
        <f>VLOOKUP(A68,'Data shares'!$C$2:$CY$546,101,0)</f>
        <v>-7.4000000000000003E-3</v>
      </c>
      <c r="E68" s="86">
        <f>VLOOKUP($A68,'Data shares'!$C:$FA,74)</f>
        <v>4167625</v>
      </c>
      <c r="F68" s="86">
        <f>VLOOKUP($A68,'Data shares'!$C:$FA,76)</f>
        <v>41475</v>
      </c>
      <c r="G68" s="87">
        <f>VLOOKUP(A68,'Data shares'!$C$2:$CA$223,77,0)</f>
        <v>1.01E-2</v>
      </c>
      <c r="H68" s="86">
        <f>VLOOKUP($A68,'Data shares'!$C:$FA,90)</f>
        <v>2314725</v>
      </c>
      <c r="I68" s="86">
        <f>VLOOKUP($A68,'Data shares'!$C:$FA,92)</f>
        <v>-33600</v>
      </c>
      <c r="J68" s="87">
        <f>VLOOKUP($A68,'Data shares'!$C:$FA,93)</f>
        <v>-1.43E-2</v>
      </c>
      <c r="K68" s="86">
        <f>VLOOKUP($A68,'Data shares'!$C:$FA,94)</f>
        <v>1718675</v>
      </c>
      <c r="L68" s="86">
        <f>VLOOKUP($A68,'Data shares'!$C:$FA,96)</f>
        <v>-69125</v>
      </c>
      <c r="M68" s="87">
        <f>VLOOKUP($A68,'Data shares'!$C:$FA,97)</f>
        <v>-3.8699999999999998E-2</v>
      </c>
      <c r="N68" s="86">
        <f>VLOOKUP($A68,'Data shares'!$C:$FA,78)</f>
        <v>3754450</v>
      </c>
      <c r="O68" s="87">
        <f>VLOOKUP($A68,'Data shares'!$C:$FA,81)</f>
        <v>5.4000000000000003E-3</v>
      </c>
    </row>
    <row r="69" spans="1:15" x14ac:dyDescent="0.25">
      <c r="A69" s="100" t="str">
        <f>'OI(Value)'!A69</f>
        <v>ETERNAL</v>
      </c>
      <c r="B69" s="82">
        <f>VLOOKUP(A69,'Data shares'!$C$2:$CV$223,98,0)</f>
        <v>365626950</v>
      </c>
      <c r="C69" s="82">
        <f>VLOOKUP(A69,'Data shares'!$C$2:$CX$223,100,0)</f>
        <v>9695150</v>
      </c>
      <c r="D69" s="141">
        <f>VLOOKUP(A69,'Data shares'!$C$2:$CY$546,101,0)</f>
        <v>2.7199999999999998E-2</v>
      </c>
      <c r="E69" s="86">
        <f>VLOOKUP($A69,'Data shares'!$C:$FA,74)</f>
        <v>234245300</v>
      </c>
      <c r="F69" s="86">
        <f>VLOOKUP($A69,'Data shares'!$C:$FA,76)</f>
        <v>-5388350</v>
      </c>
      <c r="G69" s="87">
        <f>VLOOKUP(A69,'Data shares'!$C$2:$CA$223,77,0)</f>
        <v>-2.2499999999999999E-2</v>
      </c>
      <c r="H69" s="86">
        <f>VLOOKUP($A69,'Data shares'!$C:$FA,90)</f>
        <v>72616625</v>
      </c>
      <c r="I69" s="86">
        <f>VLOOKUP($A69,'Data shares'!$C:$FA,92)</f>
        <v>10391125</v>
      </c>
      <c r="J69" s="87">
        <f>VLOOKUP($A69,'Data shares'!$C:$FA,93)</f>
        <v>0.16700000000000001</v>
      </c>
      <c r="K69" s="86">
        <f>VLOOKUP($A69,'Data shares'!$C:$FA,94)</f>
        <v>58765025</v>
      </c>
      <c r="L69" s="86">
        <f>VLOOKUP($A69,'Data shares'!$C:$FA,96)</f>
        <v>4692375</v>
      </c>
      <c r="M69" s="87">
        <f>VLOOKUP($A69,'Data shares'!$C:$FA,97)</f>
        <v>8.6800000000000002E-2</v>
      </c>
      <c r="N69" s="86">
        <f>VLOOKUP($A69,'Data shares'!$C:$FA,78)</f>
        <v>221181825</v>
      </c>
      <c r="O69" s="87">
        <f>VLOOKUP($A69,'Data shares'!$C:$FA,81)</f>
        <v>-3.4599999999999999E-2</v>
      </c>
    </row>
    <row r="70" spans="1:15" x14ac:dyDescent="0.25">
      <c r="A70" s="100" t="str">
        <f>'OI(Value)'!A70</f>
        <v>EXIDEIND</v>
      </c>
      <c r="B70" s="82">
        <f>VLOOKUP(A70,'Data shares'!$C$2:$CV$223,98,0)</f>
        <v>61972200</v>
      </c>
      <c r="C70" s="82">
        <f>VLOOKUP(A70,'Data shares'!$C$2:$CX$223,100,0)</f>
        <v>16200</v>
      </c>
      <c r="D70" s="141">
        <f>VLOOKUP(A70,'Data shares'!$C$2:$CY$546,101,0)</f>
        <v>2.9999999999999997E-4</v>
      </c>
      <c r="E70" s="86">
        <f>VLOOKUP($A70,'Data shares'!$C:$FA,74)</f>
        <v>32112000</v>
      </c>
      <c r="F70" s="86">
        <f>VLOOKUP($A70,'Data shares'!$C:$FA,76)</f>
        <v>-176400</v>
      </c>
      <c r="G70" s="87">
        <f>VLOOKUP(A70,'Data shares'!$C$2:$CA$223,77,0)</f>
        <v>-5.4999999999999997E-3</v>
      </c>
      <c r="H70" s="86">
        <f>VLOOKUP($A70,'Data shares'!$C:$FA,90)</f>
        <v>18804600</v>
      </c>
      <c r="I70" s="86">
        <f>VLOOKUP($A70,'Data shares'!$C:$FA,92)</f>
        <v>-199800</v>
      </c>
      <c r="J70" s="87">
        <f>VLOOKUP($A70,'Data shares'!$C:$FA,93)</f>
        <v>-1.0500000000000001E-2</v>
      </c>
      <c r="K70" s="86">
        <f>VLOOKUP($A70,'Data shares'!$C:$FA,94)</f>
        <v>11055600</v>
      </c>
      <c r="L70" s="86">
        <f>VLOOKUP($A70,'Data shares'!$C:$FA,96)</f>
        <v>392400</v>
      </c>
      <c r="M70" s="87">
        <f>VLOOKUP($A70,'Data shares'!$C:$FA,97)</f>
        <v>3.6799999999999999E-2</v>
      </c>
      <c r="N70" s="86">
        <f>VLOOKUP($A70,'Data shares'!$C:$FA,78)</f>
        <v>28323000</v>
      </c>
      <c r="O70" s="87">
        <f>VLOOKUP($A70,'Data shares'!$C:$FA,81)</f>
        <v>-1.4E-2</v>
      </c>
    </row>
    <row r="71" spans="1:15" x14ac:dyDescent="0.25">
      <c r="A71" s="100" t="str">
        <f>'OI(Value)'!A71</f>
        <v>FEDERALBNK</v>
      </c>
      <c r="B71" s="82">
        <f>VLOOKUP(A71,'Data shares'!$C$2:$CV$223,98,0)</f>
        <v>191790000</v>
      </c>
      <c r="C71" s="82">
        <f>VLOOKUP(A71,'Data shares'!$C$2:$CX$223,100,0)</f>
        <v>2050000</v>
      </c>
      <c r="D71" s="141">
        <f>VLOOKUP(A71,'Data shares'!$C$2:$CY$546,101,0)</f>
        <v>1.0800000000000001E-2</v>
      </c>
      <c r="E71" s="86">
        <f>VLOOKUP($A71,'Data shares'!$C:$FA,74)</f>
        <v>100105000</v>
      </c>
      <c r="F71" s="86">
        <f>VLOOKUP($A71,'Data shares'!$C:$FA,76)</f>
        <v>2285000</v>
      </c>
      <c r="G71" s="87">
        <f>VLOOKUP(A71,'Data shares'!$C$2:$CA$223,77,0)</f>
        <v>2.3400000000000001E-2</v>
      </c>
      <c r="H71" s="86">
        <f>VLOOKUP($A71,'Data shares'!$C:$FA,90)</f>
        <v>52400000</v>
      </c>
      <c r="I71" s="86">
        <f>VLOOKUP($A71,'Data shares'!$C:$FA,92)</f>
        <v>-1035000</v>
      </c>
      <c r="J71" s="87">
        <f>VLOOKUP($A71,'Data shares'!$C:$FA,93)</f>
        <v>-1.9400000000000001E-2</v>
      </c>
      <c r="K71" s="86">
        <f>VLOOKUP($A71,'Data shares'!$C:$FA,94)</f>
        <v>39285000</v>
      </c>
      <c r="L71" s="86">
        <f>VLOOKUP($A71,'Data shares'!$C:$FA,96)</f>
        <v>800000</v>
      </c>
      <c r="M71" s="87">
        <f>VLOOKUP($A71,'Data shares'!$C:$FA,97)</f>
        <v>2.0799999999999999E-2</v>
      </c>
      <c r="N71" s="86">
        <f>VLOOKUP($A71,'Data shares'!$C:$FA,78)</f>
        <v>94360000</v>
      </c>
      <c r="O71" s="87">
        <f>VLOOKUP($A71,'Data shares'!$C:$FA,81)</f>
        <v>1.4200000000000001E-2</v>
      </c>
    </row>
    <row r="72" spans="1:15" x14ac:dyDescent="0.25">
      <c r="A72" s="100" t="str">
        <f>'OI(Value)'!A72</f>
        <v>FINNIFTY</v>
      </c>
      <c r="B72" s="82">
        <f>VLOOKUP(A72,'Data shares'!$C$2:$CV$223,98,0)</f>
        <v>2574845</v>
      </c>
      <c r="C72" s="82">
        <f>VLOOKUP(A72,'Data shares'!$C$2:$CX$223,100,0)</f>
        <v>197145</v>
      </c>
      <c r="D72" s="141">
        <f>VLOOKUP(A72,'Data shares'!$C$2:$CY$546,101,0)</f>
        <v>8.2900000000000001E-2</v>
      </c>
      <c r="E72" s="86">
        <f>VLOOKUP($A72,'Data shares'!$C:$FA,74)</f>
        <v>89310</v>
      </c>
      <c r="F72" s="86">
        <f>VLOOKUP($A72,'Data shares'!$C:$FA,76)</f>
        <v>2860</v>
      </c>
      <c r="G72" s="87">
        <f>VLOOKUP(A72,'Data shares'!$C$2:$CA$223,77,0)</f>
        <v>3.3099999999999997E-2</v>
      </c>
      <c r="H72" s="86">
        <f>VLOOKUP($A72,'Data shares'!$C:$FA,90)</f>
        <v>1410435</v>
      </c>
      <c r="I72" s="86">
        <f>VLOOKUP($A72,'Data shares'!$C:$FA,92)</f>
        <v>166400</v>
      </c>
      <c r="J72" s="87">
        <f>VLOOKUP($A72,'Data shares'!$C:$FA,93)</f>
        <v>0.1338</v>
      </c>
      <c r="K72" s="86">
        <f>VLOOKUP($A72,'Data shares'!$C:$FA,94)</f>
        <v>1075100</v>
      </c>
      <c r="L72" s="86">
        <f>VLOOKUP($A72,'Data shares'!$C:$FA,96)</f>
        <v>27885</v>
      </c>
      <c r="M72" s="87">
        <f>VLOOKUP($A72,'Data shares'!$C:$FA,97)</f>
        <v>2.6599999999999999E-2</v>
      </c>
      <c r="N72" s="86">
        <f>VLOOKUP($A72,'Data shares'!$C:$FA,78)</f>
        <v>85670</v>
      </c>
      <c r="O72" s="87">
        <f>VLOOKUP($A72,'Data shares'!$C:$FA,81)</f>
        <v>2.2499999999999999E-2</v>
      </c>
    </row>
    <row r="73" spans="1:15" x14ac:dyDescent="0.25">
      <c r="A73" s="100" t="str">
        <f>'OI(Value)'!A73</f>
        <v>FORTIS</v>
      </c>
      <c r="B73" s="82">
        <f>VLOOKUP(A73,'Data shares'!$C$2:$CV$223,98,0)</f>
        <v>17805625</v>
      </c>
      <c r="C73" s="82">
        <f>VLOOKUP(A73,'Data shares'!$C$2:$CX$223,100,0)</f>
        <v>316200</v>
      </c>
      <c r="D73" s="141">
        <f>VLOOKUP(A73,'Data shares'!$C$2:$CY$546,101,0)</f>
        <v>1.8100000000000002E-2</v>
      </c>
      <c r="E73" s="86">
        <f>VLOOKUP($A73,'Data shares'!$C:$FA,74)</f>
        <v>10404375</v>
      </c>
      <c r="F73" s="86">
        <f>VLOOKUP($A73,'Data shares'!$C:$FA,76)</f>
        <v>273575</v>
      </c>
      <c r="G73" s="87">
        <f>VLOOKUP(A73,'Data shares'!$C$2:$CA$223,77,0)</f>
        <v>2.7E-2</v>
      </c>
      <c r="H73" s="86">
        <f>VLOOKUP($A73,'Data shares'!$C:$FA,90)</f>
        <v>3878100</v>
      </c>
      <c r="I73" s="86">
        <f>VLOOKUP($A73,'Data shares'!$C:$FA,92)</f>
        <v>-99975</v>
      </c>
      <c r="J73" s="87">
        <f>VLOOKUP($A73,'Data shares'!$C:$FA,93)</f>
        <v>-2.5100000000000001E-2</v>
      </c>
      <c r="K73" s="86">
        <f>VLOOKUP($A73,'Data shares'!$C:$FA,94)</f>
        <v>3523150</v>
      </c>
      <c r="L73" s="86">
        <f>VLOOKUP($A73,'Data shares'!$C:$FA,96)</f>
        <v>142600</v>
      </c>
      <c r="M73" s="87">
        <f>VLOOKUP($A73,'Data shares'!$C:$FA,97)</f>
        <v>4.2200000000000001E-2</v>
      </c>
      <c r="N73" s="86">
        <f>VLOOKUP($A73,'Data shares'!$C:$FA,78)</f>
        <v>9655725</v>
      </c>
      <c r="O73" s="87">
        <f>VLOOKUP($A73,'Data shares'!$C:$FA,81)</f>
        <v>1.83E-2</v>
      </c>
    </row>
    <row r="74" spans="1:15" x14ac:dyDescent="0.25">
      <c r="A74" s="100" t="str">
        <f>'OI(Value)'!A74</f>
        <v>GAIL</v>
      </c>
      <c r="B74" s="82">
        <f>VLOOKUP(A74,'Data shares'!$C$2:$CV$223,98,0)</f>
        <v>176863050</v>
      </c>
      <c r="C74" s="82">
        <f>VLOOKUP(A74,'Data shares'!$C$2:$CX$223,100,0)</f>
        <v>3465000</v>
      </c>
      <c r="D74" s="141">
        <f>VLOOKUP(A74,'Data shares'!$C$2:$CY$546,101,0)</f>
        <v>0.02</v>
      </c>
      <c r="E74" s="86">
        <f>VLOOKUP($A74,'Data shares'!$C:$FA,74)</f>
        <v>109475100</v>
      </c>
      <c r="F74" s="86">
        <f>VLOOKUP($A74,'Data shares'!$C:$FA,76)</f>
        <v>3197250</v>
      </c>
      <c r="G74" s="87">
        <f>VLOOKUP(A74,'Data shares'!$C$2:$CA$223,77,0)</f>
        <v>3.0099999999999998E-2</v>
      </c>
      <c r="H74" s="86">
        <f>VLOOKUP($A74,'Data shares'!$C:$FA,90)</f>
        <v>38511900</v>
      </c>
      <c r="I74" s="86">
        <f>VLOOKUP($A74,'Data shares'!$C:$FA,92)</f>
        <v>680400</v>
      </c>
      <c r="J74" s="87">
        <f>VLOOKUP($A74,'Data shares'!$C:$FA,93)</f>
        <v>1.7999999999999999E-2</v>
      </c>
      <c r="K74" s="86">
        <f>VLOOKUP($A74,'Data shares'!$C:$FA,94)</f>
        <v>28876050</v>
      </c>
      <c r="L74" s="86">
        <f>VLOOKUP($A74,'Data shares'!$C:$FA,96)</f>
        <v>-412650</v>
      </c>
      <c r="M74" s="87">
        <f>VLOOKUP($A74,'Data shares'!$C:$FA,97)</f>
        <v>-1.41E-2</v>
      </c>
      <c r="N74" s="86">
        <f>VLOOKUP($A74,'Data shares'!$C:$FA,78)</f>
        <v>100755900</v>
      </c>
      <c r="O74" s="87">
        <f>VLOOKUP($A74,'Data shares'!$C:$FA,81)</f>
        <v>1.17E-2</v>
      </c>
    </row>
    <row r="75" spans="1:15" x14ac:dyDescent="0.25">
      <c r="A75" s="100" t="str">
        <f>'OI(Value)'!A75</f>
        <v>GLENMARK</v>
      </c>
      <c r="B75" s="82">
        <f>VLOOKUP(A75,'Data shares'!$C$2:$CV$223,98,0)</f>
        <v>13810125</v>
      </c>
      <c r="C75" s="82">
        <f>VLOOKUP(A75,'Data shares'!$C$2:$CX$223,100,0)</f>
        <v>79500</v>
      </c>
      <c r="D75" s="141">
        <f>VLOOKUP(A75,'Data shares'!$C$2:$CY$546,101,0)</f>
        <v>5.7999999999999996E-3</v>
      </c>
      <c r="E75" s="86">
        <f>VLOOKUP($A75,'Data shares'!$C:$FA,74)</f>
        <v>8004000</v>
      </c>
      <c r="F75" s="86">
        <f>VLOOKUP($A75,'Data shares'!$C:$FA,76)</f>
        <v>22500</v>
      </c>
      <c r="G75" s="87">
        <f>VLOOKUP(A75,'Data shares'!$C$2:$CA$223,77,0)</f>
        <v>2.8E-3</v>
      </c>
      <c r="H75" s="86">
        <f>VLOOKUP($A75,'Data shares'!$C:$FA,90)</f>
        <v>3963000</v>
      </c>
      <c r="I75" s="86">
        <f>VLOOKUP($A75,'Data shares'!$C:$FA,92)</f>
        <v>292125</v>
      </c>
      <c r="J75" s="87">
        <f>VLOOKUP($A75,'Data shares'!$C:$FA,93)</f>
        <v>7.9600000000000004E-2</v>
      </c>
      <c r="K75" s="86">
        <f>VLOOKUP($A75,'Data shares'!$C:$FA,94)</f>
        <v>1843125</v>
      </c>
      <c r="L75" s="86">
        <f>VLOOKUP($A75,'Data shares'!$C:$FA,96)</f>
        <v>-235125</v>
      </c>
      <c r="M75" s="87">
        <f>VLOOKUP($A75,'Data shares'!$C:$FA,97)</f>
        <v>-0.11310000000000001</v>
      </c>
      <c r="N75" s="86">
        <f>VLOOKUP($A75,'Data shares'!$C:$FA,78)</f>
        <v>7629750</v>
      </c>
      <c r="O75" s="87">
        <f>VLOOKUP($A75,'Data shares'!$C:$FA,81)</f>
        <v>-5.3E-3</v>
      </c>
    </row>
    <row r="76" spans="1:15" x14ac:dyDescent="0.25">
      <c r="A76" s="100" t="str">
        <f>'OI(Value)'!A76</f>
        <v>GMRAIRPORT</v>
      </c>
      <c r="B76" s="82">
        <f>VLOOKUP(A76,'Data shares'!$C$2:$CV$223,98,0)</f>
        <v>293235975</v>
      </c>
      <c r="C76" s="82">
        <f>VLOOKUP(A76,'Data shares'!$C$2:$CX$223,100,0)</f>
        <v>355725</v>
      </c>
      <c r="D76" s="141">
        <f>VLOOKUP(A76,'Data shares'!$C$2:$CY$546,101,0)</f>
        <v>1.1999999999999999E-3</v>
      </c>
      <c r="E76" s="86">
        <f>VLOOKUP($A76,'Data shares'!$C:$FA,74)</f>
        <v>190508175</v>
      </c>
      <c r="F76" s="86">
        <f>VLOOKUP($A76,'Data shares'!$C:$FA,76)</f>
        <v>-139500</v>
      </c>
      <c r="G76" s="87">
        <f>VLOOKUP(A76,'Data shares'!$C$2:$CA$223,77,0)</f>
        <v>-6.9999999999999999E-4</v>
      </c>
      <c r="H76" s="86">
        <f>VLOOKUP($A76,'Data shares'!$C:$FA,90)</f>
        <v>68550300</v>
      </c>
      <c r="I76" s="86">
        <f>VLOOKUP($A76,'Data shares'!$C:$FA,92)</f>
        <v>620775</v>
      </c>
      <c r="J76" s="87">
        <f>VLOOKUP($A76,'Data shares'!$C:$FA,93)</f>
        <v>9.1000000000000004E-3</v>
      </c>
      <c r="K76" s="86">
        <f>VLOOKUP($A76,'Data shares'!$C:$FA,94)</f>
        <v>34177500</v>
      </c>
      <c r="L76" s="86">
        <f>VLOOKUP($A76,'Data shares'!$C:$FA,96)</f>
        <v>-125550</v>
      </c>
      <c r="M76" s="87">
        <f>VLOOKUP($A76,'Data shares'!$C:$FA,97)</f>
        <v>-3.7000000000000002E-3</v>
      </c>
      <c r="N76" s="86">
        <f>VLOOKUP($A76,'Data shares'!$C:$FA,78)</f>
        <v>175232925</v>
      </c>
      <c r="O76" s="87">
        <f>VLOOKUP($A76,'Data shares'!$C:$FA,81)</f>
        <v>-1.7299999999999999E-2</v>
      </c>
    </row>
    <row r="77" spans="1:15" x14ac:dyDescent="0.25">
      <c r="A77" s="100" t="str">
        <f>'OI(Value)'!A77</f>
        <v>GODREJCP</v>
      </c>
      <c r="B77" s="82">
        <f>VLOOKUP(A77,'Data shares'!$C$2:$CV$223,98,0)</f>
        <v>12626500</v>
      </c>
      <c r="C77" s="82">
        <f>VLOOKUP(A77,'Data shares'!$C$2:$CX$223,100,0)</f>
        <v>471000</v>
      </c>
      <c r="D77" s="141">
        <f>VLOOKUP(A77,'Data shares'!$C$2:$CY$546,101,0)</f>
        <v>3.8699999999999998E-2</v>
      </c>
      <c r="E77" s="86">
        <f>VLOOKUP($A77,'Data shares'!$C:$FA,74)</f>
        <v>8819500</v>
      </c>
      <c r="F77" s="86">
        <f>VLOOKUP($A77,'Data shares'!$C:$FA,76)</f>
        <v>249000</v>
      </c>
      <c r="G77" s="87">
        <f>VLOOKUP(A77,'Data shares'!$C$2:$CA$223,77,0)</f>
        <v>2.9100000000000001E-2</v>
      </c>
      <c r="H77" s="86">
        <f>VLOOKUP($A77,'Data shares'!$C:$FA,90)</f>
        <v>2302000</v>
      </c>
      <c r="I77" s="86">
        <f>VLOOKUP($A77,'Data shares'!$C:$FA,92)</f>
        <v>77500</v>
      </c>
      <c r="J77" s="87">
        <f>VLOOKUP($A77,'Data shares'!$C:$FA,93)</f>
        <v>3.4799999999999998E-2</v>
      </c>
      <c r="K77" s="86">
        <f>VLOOKUP($A77,'Data shares'!$C:$FA,94)</f>
        <v>1505000</v>
      </c>
      <c r="L77" s="86">
        <f>VLOOKUP($A77,'Data shares'!$C:$FA,96)</f>
        <v>144500</v>
      </c>
      <c r="M77" s="87">
        <f>VLOOKUP($A77,'Data shares'!$C:$FA,97)</f>
        <v>0.1062</v>
      </c>
      <c r="N77" s="86">
        <f>VLOOKUP($A77,'Data shares'!$C:$FA,78)</f>
        <v>8023000</v>
      </c>
      <c r="O77" s="87">
        <f>VLOOKUP($A77,'Data shares'!$C:$FA,81)</f>
        <v>1.17E-2</v>
      </c>
    </row>
    <row r="78" spans="1:15" x14ac:dyDescent="0.25">
      <c r="A78" s="100" t="str">
        <f>'OI(Value)'!A78</f>
        <v>GODREJPROP</v>
      </c>
      <c r="B78" s="82">
        <f>VLOOKUP(A78,'Data shares'!$C$2:$CV$223,98,0)</f>
        <v>13650725</v>
      </c>
      <c r="C78" s="82">
        <f>VLOOKUP(A78,'Data shares'!$C$2:$CX$223,100,0)</f>
        <v>122925</v>
      </c>
      <c r="D78" s="141">
        <f>VLOOKUP(A78,'Data shares'!$C$2:$CY$546,101,0)</f>
        <v>9.1000000000000004E-3</v>
      </c>
      <c r="E78" s="86">
        <f>VLOOKUP($A78,'Data shares'!$C:$FA,74)</f>
        <v>8330300</v>
      </c>
      <c r="F78" s="86">
        <f>VLOOKUP($A78,'Data shares'!$C:$FA,76)</f>
        <v>-85525</v>
      </c>
      <c r="G78" s="87">
        <f>VLOOKUP(A78,'Data shares'!$C$2:$CA$223,77,0)</f>
        <v>-1.0200000000000001E-2</v>
      </c>
      <c r="H78" s="86">
        <f>VLOOKUP($A78,'Data shares'!$C:$FA,90)</f>
        <v>3285700</v>
      </c>
      <c r="I78" s="86">
        <f>VLOOKUP($A78,'Data shares'!$C:$FA,92)</f>
        <v>32450</v>
      </c>
      <c r="J78" s="87">
        <f>VLOOKUP($A78,'Data shares'!$C:$FA,93)</f>
        <v>0.01</v>
      </c>
      <c r="K78" s="86">
        <f>VLOOKUP($A78,'Data shares'!$C:$FA,94)</f>
        <v>2034725</v>
      </c>
      <c r="L78" s="86">
        <f>VLOOKUP($A78,'Data shares'!$C:$FA,96)</f>
        <v>176000</v>
      </c>
      <c r="M78" s="87">
        <f>VLOOKUP($A78,'Data shares'!$C:$FA,97)</f>
        <v>9.4700000000000006E-2</v>
      </c>
      <c r="N78" s="86">
        <f>VLOOKUP($A78,'Data shares'!$C:$FA,78)</f>
        <v>7723650</v>
      </c>
      <c r="O78" s="87">
        <f>VLOOKUP($A78,'Data shares'!$C:$FA,81)</f>
        <v>-1.8499999999999999E-2</v>
      </c>
    </row>
    <row r="79" spans="1:15" x14ac:dyDescent="0.25">
      <c r="A79" s="100" t="str">
        <f>'OI(Value)'!A79</f>
        <v>GRANULES</v>
      </c>
      <c r="B79" s="82">
        <f>VLOOKUP(A79,'Data shares'!$C$2:$CV$223,98,0)</f>
        <v>16439975</v>
      </c>
      <c r="C79" s="82">
        <f>VLOOKUP(A79,'Data shares'!$C$2:$CX$223,100,0)</f>
        <v>-234350</v>
      </c>
      <c r="D79" s="141">
        <f>VLOOKUP(A79,'Data shares'!$C$2:$CY$546,101,0)</f>
        <v>-1.41E-2</v>
      </c>
      <c r="E79" s="86">
        <f>VLOOKUP($A79,'Data shares'!$C:$FA,74)</f>
        <v>10163050</v>
      </c>
      <c r="F79" s="86">
        <f>VLOOKUP($A79,'Data shares'!$C:$FA,76)</f>
        <v>-264450</v>
      </c>
      <c r="G79" s="87">
        <f>VLOOKUP(A79,'Data shares'!$C$2:$CA$223,77,0)</f>
        <v>-2.5399999999999999E-2</v>
      </c>
      <c r="H79" s="86">
        <f>VLOOKUP($A79,'Data shares'!$C:$FA,90)</f>
        <v>4115100</v>
      </c>
      <c r="I79" s="86">
        <f>VLOOKUP($A79,'Data shares'!$C:$FA,92)</f>
        <v>-32250</v>
      </c>
      <c r="J79" s="87">
        <f>VLOOKUP($A79,'Data shares'!$C:$FA,93)</f>
        <v>-7.7999999999999996E-3</v>
      </c>
      <c r="K79" s="86">
        <f>VLOOKUP($A79,'Data shares'!$C:$FA,94)</f>
        <v>2161825</v>
      </c>
      <c r="L79" s="86">
        <f>VLOOKUP($A79,'Data shares'!$C:$FA,96)</f>
        <v>62350</v>
      </c>
      <c r="M79" s="87">
        <f>VLOOKUP($A79,'Data shares'!$C:$FA,97)</f>
        <v>2.9700000000000001E-2</v>
      </c>
      <c r="N79" s="86">
        <f>VLOOKUP($A79,'Data shares'!$C:$FA,78)</f>
        <v>10163050</v>
      </c>
      <c r="O79" s="87">
        <f>VLOOKUP($A79,'Data shares'!$C:$FA,81)</f>
        <v>-2.5399999999999999E-2</v>
      </c>
    </row>
    <row r="80" spans="1:15" x14ac:dyDescent="0.25">
      <c r="A80" s="100" t="str">
        <f>'OI(Value)'!A80</f>
        <v>GRASIM</v>
      </c>
      <c r="B80" s="82">
        <f>VLOOKUP(A80,'Data shares'!$C$2:$CV$223,98,0)</f>
        <v>17017000</v>
      </c>
      <c r="C80" s="82">
        <f>VLOOKUP(A80,'Data shares'!$C$2:$CX$223,100,0)</f>
        <v>-111000</v>
      </c>
      <c r="D80" s="141">
        <f>VLOOKUP(A80,'Data shares'!$C$2:$CY$546,101,0)</f>
        <v>-6.4999999999999997E-3</v>
      </c>
      <c r="E80" s="86">
        <f>VLOOKUP($A80,'Data shares'!$C:$FA,74)</f>
        <v>13435500</v>
      </c>
      <c r="F80" s="86">
        <f>VLOOKUP($A80,'Data shares'!$C:$FA,76)</f>
        <v>-372000</v>
      </c>
      <c r="G80" s="87">
        <f>VLOOKUP(A80,'Data shares'!$C$2:$CA$223,77,0)</f>
        <v>-2.69E-2</v>
      </c>
      <c r="H80" s="86">
        <f>VLOOKUP($A80,'Data shares'!$C:$FA,90)</f>
        <v>2077250</v>
      </c>
      <c r="I80" s="86">
        <f>VLOOKUP($A80,'Data shares'!$C:$FA,92)</f>
        <v>144000</v>
      </c>
      <c r="J80" s="87">
        <f>VLOOKUP($A80,'Data shares'!$C:$FA,93)</f>
        <v>7.4499999999999997E-2</v>
      </c>
      <c r="K80" s="86">
        <f>VLOOKUP($A80,'Data shares'!$C:$FA,94)</f>
        <v>1504250</v>
      </c>
      <c r="L80" s="86">
        <f>VLOOKUP($A80,'Data shares'!$C:$FA,96)</f>
        <v>117000</v>
      </c>
      <c r="M80" s="87">
        <f>VLOOKUP($A80,'Data shares'!$C:$FA,97)</f>
        <v>8.43E-2</v>
      </c>
      <c r="N80" s="86">
        <f>VLOOKUP($A80,'Data shares'!$C:$FA,78)</f>
        <v>13111750</v>
      </c>
      <c r="O80" s="87">
        <f>VLOOKUP($A80,'Data shares'!$C:$FA,81)</f>
        <v>-3.49E-2</v>
      </c>
    </row>
    <row r="81" spans="1:15" x14ac:dyDescent="0.25">
      <c r="A81" s="100" t="str">
        <f>'OI(Value)'!A81</f>
        <v>HAL</v>
      </c>
      <c r="B81" s="82">
        <f>VLOOKUP(A81,'Data shares'!$C$2:$CV$223,98,0)</f>
        <v>25445700</v>
      </c>
      <c r="C81" s="82">
        <f>VLOOKUP(A81,'Data shares'!$C$2:$CX$223,100,0)</f>
        <v>5715450</v>
      </c>
      <c r="D81" s="141">
        <f>VLOOKUP(A81,'Data shares'!$C$2:$CY$546,101,0)</f>
        <v>0.28970000000000001</v>
      </c>
      <c r="E81" s="86">
        <f>VLOOKUP($A81,'Data shares'!$C:$FA,74)</f>
        <v>11295900</v>
      </c>
      <c r="F81" s="86">
        <f>VLOOKUP($A81,'Data shares'!$C:$FA,76)</f>
        <v>835200</v>
      </c>
      <c r="G81" s="87">
        <f>VLOOKUP(A81,'Data shares'!$C$2:$CA$223,77,0)</f>
        <v>7.9799999999999996E-2</v>
      </c>
      <c r="H81" s="86">
        <f>VLOOKUP($A81,'Data shares'!$C:$FA,90)</f>
        <v>9432000</v>
      </c>
      <c r="I81" s="86">
        <f>VLOOKUP($A81,'Data shares'!$C:$FA,92)</f>
        <v>3476550</v>
      </c>
      <c r="J81" s="87">
        <f>VLOOKUP($A81,'Data shares'!$C:$FA,93)</f>
        <v>0.58379999999999999</v>
      </c>
      <c r="K81" s="86">
        <f>VLOOKUP($A81,'Data shares'!$C:$FA,94)</f>
        <v>4717800</v>
      </c>
      <c r="L81" s="86">
        <f>VLOOKUP($A81,'Data shares'!$C:$FA,96)</f>
        <v>1403700</v>
      </c>
      <c r="M81" s="87">
        <f>VLOOKUP($A81,'Data shares'!$C:$FA,97)</f>
        <v>0.42359999999999998</v>
      </c>
      <c r="N81" s="86">
        <f>VLOOKUP($A81,'Data shares'!$C:$FA,78)</f>
        <v>9677100</v>
      </c>
      <c r="O81" s="87">
        <f>VLOOKUP($A81,'Data shares'!$C:$FA,81)</f>
        <v>2.41E-2</v>
      </c>
    </row>
    <row r="82" spans="1:15" x14ac:dyDescent="0.25">
      <c r="A82" s="100" t="str">
        <f>'OI(Value)'!A82</f>
        <v>HAVELLS</v>
      </c>
      <c r="B82" s="82">
        <f>VLOOKUP(A82,'Data shares'!$C$2:$CV$223,98,0)</f>
        <v>14008500</v>
      </c>
      <c r="C82" s="82">
        <f>VLOOKUP(A82,'Data shares'!$C$2:$CX$223,100,0)</f>
        <v>73000</v>
      </c>
      <c r="D82" s="141">
        <f>VLOOKUP(A82,'Data shares'!$C$2:$CY$546,101,0)</f>
        <v>5.1999999999999998E-3</v>
      </c>
      <c r="E82" s="86">
        <f>VLOOKUP($A82,'Data shares'!$C:$FA,74)</f>
        <v>10148500</v>
      </c>
      <c r="F82" s="86">
        <f>VLOOKUP($A82,'Data shares'!$C:$FA,76)</f>
        <v>163000</v>
      </c>
      <c r="G82" s="87">
        <f>VLOOKUP(A82,'Data shares'!$C$2:$CA$223,77,0)</f>
        <v>1.6299999999999999E-2</v>
      </c>
      <c r="H82" s="86">
        <f>VLOOKUP($A82,'Data shares'!$C:$FA,90)</f>
        <v>2059500</v>
      </c>
      <c r="I82" s="86">
        <f>VLOOKUP($A82,'Data shares'!$C:$FA,92)</f>
        <v>-46500</v>
      </c>
      <c r="J82" s="87">
        <f>VLOOKUP($A82,'Data shares'!$C:$FA,93)</f>
        <v>-2.2100000000000002E-2</v>
      </c>
      <c r="K82" s="86">
        <f>VLOOKUP($A82,'Data shares'!$C:$FA,94)</f>
        <v>1800500</v>
      </c>
      <c r="L82" s="86">
        <f>VLOOKUP($A82,'Data shares'!$C:$FA,96)</f>
        <v>-43500</v>
      </c>
      <c r="M82" s="87">
        <f>VLOOKUP($A82,'Data shares'!$C:$FA,97)</f>
        <v>-2.3599999999999999E-2</v>
      </c>
      <c r="N82" s="86">
        <f>VLOOKUP($A82,'Data shares'!$C:$FA,78)</f>
        <v>9223000</v>
      </c>
      <c r="O82" s="87">
        <f>VLOOKUP($A82,'Data shares'!$C:$FA,81)</f>
        <v>-7.1000000000000004E-3</v>
      </c>
    </row>
    <row r="83" spans="1:15" x14ac:dyDescent="0.25">
      <c r="A83" s="100" t="str">
        <f>'OI(Value)'!A83</f>
        <v>HCLTECH</v>
      </c>
      <c r="B83" s="82">
        <f>VLOOKUP(A83,'Data shares'!$C$2:$CV$223,98,0)</f>
        <v>34628650</v>
      </c>
      <c r="C83" s="82">
        <f>VLOOKUP(A83,'Data shares'!$C$2:$CX$223,100,0)</f>
        <v>3392200</v>
      </c>
      <c r="D83" s="141">
        <f>VLOOKUP(A83,'Data shares'!$C$2:$CY$546,101,0)</f>
        <v>0.1086</v>
      </c>
      <c r="E83" s="86">
        <f>VLOOKUP($A83,'Data shares'!$C:$FA,74)</f>
        <v>20309450</v>
      </c>
      <c r="F83" s="86">
        <f>VLOOKUP($A83,'Data shares'!$C:$FA,76)</f>
        <v>2296700</v>
      </c>
      <c r="G83" s="87">
        <f>VLOOKUP(A83,'Data shares'!$C$2:$CA$223,77,0)</f>
        <v>0.1275</v>
      </c>
      <c r="H83" s="86">
        <f>VLOOKUP($A83,'Data shares'!$C:$FA,90)</f>
        <v>8741250</v>
      </c>
      <c r="I83" s="86">
        <f>VLOOKUP($A83,'Data shares'!$C:$FA,92)</f>
        <v>693350</v>
      </c>
      <c r="J83" s="87">
        <f>VLOOKUP($A83,'Data shares'!$C:$FA,93)</f>
        <v>8.6199999999999999E-2</v>
      </c>
      <c r="K83" s="86">
        <f>VLOOKUP($A83,'Data shares'!$C:$FA,94)</f>
        <v>5577950</v>
      </c>
      <c r="L83" s="86">
        <f>VLOOKUP($A83,'Data shares'!$C:$FA,96)</f>
        <v>402150</v>
      </c>
      <c r="M83" s="87">
        <f>VLOOKUP($A83,'Data shares'!$C:$FA,97)</f>
        <v>7.7700000000000005E-2</v>
      </c>
      <c r="N83" s="86">
        <f>VLOOKUP($A83,'Data shares'!$C:$FA,78)</f>
        <v>16907100</v>
      </c>
      <c r="O83" s="87">
        <f>VLOOKUP($A83,'Data shares'!$C:$FA,81)</f>
        <v>1.83E-2</v>
      </c>
    </row>
    <row r="84" spans="1:15" x14ac:dyDescent="0.25">
      <c r="A84" s="100" t="str">
        <f>'OI(Value)'!A84</f>
        <v>HDFCAMC</v>
      </c>
      <c r="B84" s="82">
        <f>VLOOKUP(A84,'Data shares'!$C$2:$CV$223,98,0)</f>
        <v>4230000</v>
      </c>
      <c r="C84" s="82">
        <f>VLOOKUP(A84,'Data shares'!$C$2:$CX$223,100,0)</f>
        <v>-11250</v>
      </c>
      <c r="D84" s="141">
        <f>VLOOKUP(A84,'Data shares'!$C$2:$CY$546,101,0)</f>
        <v>-2.7000000000000001E-3</v>
      </c>
      <c r="E84" s="86">
        <f>VLOOKUP($A84,'Data shares'!$C:$FA,74)</f>
        <v>2662500</v>
      </c>
      <c r="F84" s="86">
        <f>VLOOKUP($A84,'Data shares'!$C:$FA,76)</f>
        <v>-12750</v>
      </c>
      <c r="G84" s="87">
        <f>VLOOKUP(A84,'Data shares'!$C$2:$CA$223,77,0)</f>
        <v>-4.7999999999999996E-3</v>
      </c>
      <c r="H84" s="86">
        <f>VLOOKUP($A84,'Data shares'!$C:$FA,90)</f>
        <v>950700</v>
      </c>
      <c r="I84" s="86">
        <f>VLOOKUP($A84,'Data shares'!$C:$FA,92)</f>
        <v>17700</v>
      </c>
      <c r="J84" s="87">
        <f>VLOOKUP($A84,'Data shares'!$C:$FA,93)</f>
        <v>1.9E-2</v>
      </c>
      <c r="K84" s="86">
        <f>VLOOKUP($A84,'Data shares'!$C:$FA,94)</f>
        <v>616800</v>
      </c>
      <c r="L84" s="86">
        <f>VLOOKUP($A84,'Data shares'!$C:$FA,96)</f>
        <v>-16200</v>
      </c>
      <c r="M84" s="87">
        <f>VLOOKUP($A84,'Data shares'!$C:$FA,97)</f>
        <v>-2.5600000000000001E-2</v>
      </c>
      <c r="N84" s="86">
        <f>VLOOKUP($A84,'Data shares'!$C:$FA,78)</f>
        <v>2382900</v>
      </c>
      <c r="O84" s="87">
        <f>VLOOKUP($A84,'Data shares'!$C:$FA,81)</f>
        <v>-1.06E-2</v>
      </c>
    </row>
    <row r="85" spans="1:15" x14ac:dyDescent="0.25">
      <c r="A85" s="100" t="str">
        <f>'OI(Value)'!A85</f>
        <v>HDFCBANK</v>
      </c>
      <c r="B85" s="82">
        <f>VLOOKUP(A85,'Data shares'!$C$2:$CV$223,98,0)</f>
        <v>148885550</v>
      </c>
      <c r="C85" s="82">
        <f>VLOOKUP(A85,'Data shares'!$C$2:$CX$223,100,0)</f>
        <v>1931600</v>
      </c>
      <c r="D85" s="141">
        <f>VLOOKUP(A85,'Data shares'!$C$2:$CY$546,101,0)</f>
        <v>1.3100000000000001E-2</v>
      </c>
      <c r="E85" s="86">
        <f>VLOOKUP($A85,'Data shares'!$C:$FA,74)</f>
        <v>111474550</v>
      </c>
      <c r="F85" s="86">
        <f>VLOOKUP($A85,'Data shares'!$C:$FA,76)</f>
        <v>198000</v>
      </c>
      <c r="G85" s="87">
        <f>VLOOKUP(A85,'Data shares'!$C$2:$CA$223,77,0)</f>
        <v>1.8E-3</v>
      </c>
      <c r="H85" s="86">
        <f>VLOOKUP($A85,'Data shares'!$C:$FA,90)</f>
        <v>22243100</v>
      </c>
      <c r="I85" s="86">
        <f>VLOOKUP($A85,'Data shares'!$C:$FA,92)</f>
        <v>1519100</v>
      </c>
      <c r="J85" s="87">
        <f>VLOOKUP($A85,'Data shares'!$C:$FA,93)</f>
        <v>7.3300000000000004E-2</v>
      </c>
      <c r="K85" s="86">
        <f>VLOOKUP($A85,'Data shares'!$C:$FA,94)</f>
        <v>15167900</v>
      </c>
      <c r="L85" s="86">
        <f>VLOOKUP($A85,'Data shares'!$C:$FA,96)</f>
        <v>214500</v>
      </c>
      <c r="M85" s="87">
        <f>VLOOKUP($A85,'Data shares'!$C:$FA,97)</f>
        <v>1.43E-2</v>
      </c>
      <c r="N85" s="86">
        <f>VLOOKUP($A85,'Data shares'!$C:$FA,78)</f>
        <v>91408350</v>
      </c>
      <c r="O85" s="87">
        <f>VLOOKUP($A85,'Data shares'!$C:$FA,81)</f>
        <v>-2.2200000000000001E-2</v>
      </c>
    </row>
    <row r="86" spans="1:15" x14ac:dyDescent="0.25">
      <c r="A86" s="100" t="str">
        <f>'OI(Value)'!A86</f>
        <v>HDFCLIFE</v>
      </c>
      <c r="B86" s="82">
        <f>VLOOKUP(A86,'Data shares'!$C$2:$CV$223,98,0)</f>
        <v>48935700</v>
      </c>
      <c r="C86" s="82">
        <f>VLOOKUP(A86,'Data shares'!$C$2:$CX$223,100,0)</f>
        <v>355300</v>
      </c>
      <c r="D86" s="141">
        <f>VLOOKUP(A86,'Data shares'!$C$2:$CY$546,101,0)</f>
        <v>7.3000000000000001E-3</v>
      </c>
      <c r="E86" s="86">
        <f>VLOOKUP($A86,'Data shares'!$C:$FA,74)</f>
        <v>28025800</v>
      </c>
      <c r="F86" s="86">
        <f>VLOOKUP($A86,'Data shares'!$C:$FA,76)</f>
        <v>-171600</v>
      </c>
      <c r="G86" s="87">
        <f>VLOOKUP(A86,'Data shares'!$C$2:$CA$223,77,0)</f>
        <v>-6.1000000000000004E-3</v>
      </c>
      <c r="H86" s="86">
        <f>VLOOKUP($A86,'Data shares'!$C:$FA,90)</f>
        <v>10899900</v>
      </c>
      <c r="I86" s="86">
        <f>VLOOKUP($A86,'Data shares'!$C:$FA,92)</f>
        <v>453200</v>
      </c>
      <c r="J86" s="87">
        <f>VLOOKUP($A86,'Data shares'!$C:$FA,93)</f>
        <v>4.3400000000000001E-2</v>
      </c>
      <c r="K86" s="86">
        <f>VLOOKUP($A86,'Data shares'!$C:$FA,94)</f>
        <v>10010000</v>
      </c>
      <c r="L86" s="86">
        <f>VLOOKUP($A86,'Data shares'!$C:$FA,96)</f>
        <v>73700</v>
      </c>
      <c r="M86" s="87">
        <f>VLOOKUP($A86,'Data shares'!$C:$FA,97)</f>
        <v>7.4000000000000003E-3</v>
      </c>
      <c r="N86" s="86">
        <f>VLOOKUP($A86,'Data shares'!$C:$FA,78)</f>
        <v>26712400</v>
      </c>
      <c r="O86" s="87">
        <f>VLOOKUP($A86,'Data shares'!$C:$FA,81)</f>
        <v>-1.4200000000000001E-2</v>
      </c>
    </row>
    <row r="87" spans="1:15" x14ac:dyDescent="0.25">
      <c r="A87" s="100" t="str">
        <f>'OI(Value)'!A87</f>
        <v>HEROMOTOCO</v>
      </c>
      <c r="B87" s="82">
        <f>VLOOKUP(A87,'Data shares'!$C$2:$CV$223,98,0)</f>
        <v>16314750</v>
      </c>
      <c r="C87" s="82">
        <f>VLOOKUP(A87,'Data shares'!$C$2:$CX$223,100,0)</f>
        <v>589650</v>
      </c>
      <c r="D87" s="141">
        <f>VLOOKUP(A87,'Data shares'!$C$2:$CY$546,101,0)</f>
        <v>3.7499999999999999E-2</v>
      </c>
      <c r="E87" s="86">
        <f>VLOOKUP($A87,'Data shares'!$C:$FA,74)</f>
        <v>7279950</v>
      </c>
      <c r="F87" s="86">
        <f>VLOOKUP($A87,'Data shares'!$C:$FA,76)</f>
        <v>168600</v>
      </c>
      <c r="G87" s="87">
        <f>VLOOKUP(A87,'Data shares'!$C$2:$CA$223,77,0)</f>
        <v>2.3699999999999999E-2</v>
      </c>
      <c r="H87" s="86">
        <f>VLOOKUP($A87,'Data shares'!$C:$FA,90)</f>
        <v>4658100</v>
      </c>
      <c r="I87" s="86">
        <f>VLOOKUP($A87,'Data shares'!$C:$FA,92)</f>
        <v>341700</v>
      </c>
      <c r="J87" s="87">
        <f>VLOOKUP($A87,'Data shares'!$C:$FA,93)</f>
        <v>7.9200000000000007E-2</v>
      </c>
      <c r="K87" s="86">
        <f>VLOOKUP($A87,'Data shares'!$C:$FA,94)</f>
        <v>4376700</v>
      </c>
      <c r="L87" s="86">
        <f>VLOOKUP($A87,'Data shares'!$C:$FA,96)</f>
        <v>79350</v>
      </c>
      <c r="M87" s="87">
        <f>VLOOKUP($A87,'Data shares'!$C:$FA,97)</f>
        <v>1.8499999999999999E-2</v>
      </c>
      <c r="N87" s="86">
        <f>VLOOKUP($A87,'Data shares'!$C:$FA,78)</f>
        <v>6600150</v>
      </c>
      <c r="O87" s="87">
        <f>VLOOKUP($A87,'Data shares'!$C:$FA,81)</f>
        <v>1.46E-2</v>
      </c>
    </row>
    <row r="88" spans="1:15" x14ac:dyDescent="0.25">
      <c r="A88" s="100" t="str">
        <f>'OI(Value)'!A88</f>
        <v>HFCL</v>
      </c>
      <c r="B88" s="82">
        <f>VLOOKUP(A88,'Data shares'!$C$2:$CV$223,98,0)</f>
        <v>144731550</v>
      </c>
      <c r="C88" s="82">
        <f>VLOOKUP(A88,'Data shares'!$C$2:$CX$223,100,0)</f>
        <v>32250</v>
      </c>
      <c r="D88" s="141">
        <f>VLOOKUP(A88,'Data shares'!$C$2:$CY$546,101,0)</f>
        <v>2.0000000000000001E-4</v>
      </c>
      <c r="E88" s="86">
        <f>VLOOKUP($A88,'Data shares'!$C:$FA,74)</f>
        <v>95621250</v>
      </c>
      <c r="F88" s="86">
        <f>VLOOKUP($A88,'Data shares'!$C:$FA,76)</f>
        <v>748200</v>
      </c>
      <c r="G88" s="87">
        <f>VLOOKUP(A88,'Data shares'!$C$2:$CA$223,77,0)</f>
        <v>7.9000000000000008E-3</v>
      </c>
      <c r="H88" s="86">
        <f>VLOOKUP($A88,'Data shares'!$C:$FA,90)</f>
        <v>31256700</v>
      </c>
      <c r="I88" s="86">
        <f>VLOOKUP($A88,'Data shares'!$C:$FA,92)</f>
        <v>-1025550</v>
      </c>
      <c r="J88" s="87">
        <f>VLOOKUP($A88,'Data shares'!$C:$FA,93)</f>
        <v>-3.1800000000000002E-2</v>
      </c>
      <c r="K88" s="86">
        <f>VLOOKUP($A88,'Data shares'!$C:$FA,94)</f>
        <v>17853600</v>
      </c>
      <c r="L88" s="86">
        <f>VLOOKUP($A88,'Data shares'!$C:$FA,96)</f>
        <v>309600</v>
      </c>
      <c r="M88" s="87">
        <f>VLOOKUP($A88,'Data shares'!$C:$FA,97)</f>
        <v>1.7600000000000001E-2</v>
      </c>
      <c r="N88" s="86">
        <f>VLOOKUP($A88,'Data shares'!$C:$FA,78)</f>
        <v>85030350</v>
      </c>
      <c r="O88" s="87">
        <f>VLOOKUP($A88,'Data shares'!$C:$FA,81)</f>
        <v>-7.9000000000000008E-3</v>
      </c>
    </row>
    <row r="89" spans="1:15" x14ac:dyDescent="0.25">
      <c r="A89" s="100" t="str">
        <f>'OI(Value)'!A89</f>
        <v>HINDALCO</v>
      </c>
      <c r="B89" s="82">
        <f>VLOOKUP(A89,'Data shares'!$C$2:$CV$223,98,0)</f>
        <v>84155400</v>
      </c>
      <c r="C89" s="82">
        <f>VLOOKUP(A89,'Data shares'!$C$2:$CX$223,100,0)</f>
        <v>641200</v>
      </c>
      <c r="D89" s="141">
        <f>VLOOKUP(A89,'Data shares'!$C$2:$CY$546,101,0)</f>
        <v>7.7000000000000002E-3</v>
      </c>
      <c r="E89" s="86">
        <f>VLOOKUP($A89,'Data shares'!$C:$FA,74)</f>
        <v>53698400</v>
      </c>
      <c r="F89" s="86">
        <f>VLOOKUP($A89,'Data shares'!$C:$FA,76)</f>
        <v>1283800</v>
      </c>
      <c r="G89" s="87">
        <f>VLOOKUP(A89,'Data shares'!$C$2:$CA$223,77,0)</f>
        <v>2.4500000000000001E-2</v>
      </c>
      <c r="H89" s="86">
        <f>VLOOKUP($A89,'Data shares'!$C:$FA,90)</f>
        <v>18131400</v>
      </c>
      <c r="I89" s="86">
        <f>VLOOKUP($A89,'Data shares'!$C:$FA,92)</f>
        <v>222600</v>
      </c>
      <c r="J89" s="87">
        <f>VLOOKUP($A89,'Data shares'!$C:$FA,93)</f>
        <v>1.24E-2</v>
      </c>
      <c r="K89" s="86">
        <f>VLOOKUP($A89,'Data shares'!$C:$FA,94)</f>
        <v>12325600</v>
      </c>
      <c r="L89" s="86">
        <f>VLOOKUP($A89,'Data shares'!$C:$FA,96)</f>
        <v>-865200</v>
      </c>
      <c r="M89" s="87">
        <f>VLOOKUP($A89,'Data shares'!$C:$FA,97)</f>
        <v>-6.5600000000000006E-2</v>
      </c>
      <c r="N89" s="86">
        <f>VLOOKUP($A89,'Data shares'!$C:$FA,78)</f>
        <v>45690400</v>
      </c>
      <c r="O89" s="87">
        <f>VLOOKUP($A89,'Data shares'!$C:$FA,81)</f>
        <v>8.8999999999999999E-3</v>
      </c>
    </row>
    <row r="90" spans="1:15" x14ac:dyDescent="0.25">
      <c r="A90" s="100" t="str">
        <f>'OI(Value)'!A90</f>
        <v>HINDPETRO</v>
      </c>
      <c r="B90" s="82">
        <f>VLOOKUP(A90,'Data shares'!$C$2:$CV$223,98,0)</f>
        <v>83697300</v>
      </c>
      <c r="C90" s="82">
        <f>VLOOKUP(A90,'Data shares'!$C$2:$CX$223,100,0)</f>
        <v>-1893375</v>
      </c>
      <c r="D90" s="141">
        <f>VLOOKUP(A90,'Data shares'!$C$2:$CY$546,101,0)</f>
        <v>-2.2100000000000002E-2</v>
      </c>
      <c r="E90" s="86">
        <f>VLOOKUP($A90,'Data shares'!$C:$FA,74)</f>
        <v>52524450</v>
      </c>
      <c r="F90" s="86">
        <f>VLOOKUP($A90,'Data shares'!$C:$FA,76)</f>
        <v>-374625</v>
      </c>
      <c r="G90" s="87">
        <f>VLOOKUP(A90,'Data shares'!$C$2:$CA$223,77,0)</f>
        <v>-7.1000000000000004E-3</v>
      </c>
      <c r="H90" s="86">
        <f>VLOOKUP($A90,'Data shares'!$C:$FA,90)</f>
        <v>19980675</v>
      </c>
      <c r="I90" s="86">
        <f>VLOOKUP($A90,'Data shares'!$C:$FA,92)</f>
        <v>-1257525</v>
      </c>
      <c r="J90" s="87">
        <f>VLOOKUP($A90,'Data shares'!$C:$FA,93)</f>
        <v>-5.9200000000000003E-2</v>
      </c>
      <c r="K90" s="86">
        <f>VLOOKUP($A90,'Data shares'!$C:$FA,94)</f>
        <v>11192175</v>
      </c>
      <c r="L90" s="86">
        <f>VLOOKUP($A90,'Data shares'!$C:$FA,96)</f>
        <v>-261225</v>
      </c>
      <c r="M90" s="87">
        <f>VLOOKUP($A90,'Data shares'!$C:$FA,97)</f>
        <v>-2.2800000000000001E-2</v>
      </c>
      <c r="N90" s="86">
        <f>VLOOKUP($A90,'Data shares'!$C:$FA,78)</f>
        <v>49320900</v>
      </c>
      <c r="O90" s="87">
        <f>VLOOKUP($A90,'Data shares'!$C:$FA,81)</f>
        <v>-2.1999999999999999E-2</v>
      </c>
    </row>
    <row r="91" spans="1:15" x14ac:dyDescent="0.25">
      <c r="A91" s="100" t="str">
        <f>'OI(Value)'!A91</f>
        <v>HINDUNILVR</v>
      </c>
      <c r="B91" s="82">
        <f>VLOOKUP(A91,'Data shares'!$C$2:$CV$223,98,0)</f>
        <v>29702100</v>
      </c>
      <c r="C91" s="82">
        <f>VLOOKUP(A91,'Data shares'!$C$2:$CX$223,100,0)</f>
        <v>1727400</v>
      </c>
      <c r="D91" s="141">
        <f>VLOOKUP(A91,'Data shares'!$C$2:$CY$546,101,0)</f>
        <v>6.1699999999999998E-2</v>
      </c>
      <c r="E91" s="86">
        <f>VLOOKUP($A91,'Data shares'!$C:$FA,74)</f>
        <v>15919500</v>
      </c>
      <c r="F91" s="86">
        <f>VLOOKUP($A91,'Data shares'!$C:$FA,76)</f>
        <v>552900</v>
      </c>
      <c r="G91" s="87">
        <f>VLOOKUP(A91,'Data shares'!$C$2:$CA$223,77,0)</f>
        <v>3.5999999999999997E-2</v>
      </c>
      <c r="H91" s="86">
        <f>VLOOKUP($A91,'Data shares'!$C:$FA,90)</f>
        <v>8148600</v>
      </c>
      <c r="I91" s="86">
        <f>VLOOKUP($A91,'Data shares'!$C:$FA,92)</f>
        <v>-119100</v>
      </c>
      <c r="J91" s="87">
        <f>VLOOKUP($A91,'Data shares'!$C:$FA,93)</f>
        <v>-1.44E-2</v>
      </c>
      <c r="K91" s="86">
        <f>VLOOKUP($A91,'Data shares'!$C:$FA,94)</f>
        <v>5634000</v>
      </c>
      <c r="L91" s="86">
        <f>VLOOKUP($A91,'Data shares'!$C:$FA,96)</f>
        <v>1293600</v>
      </c>
      <c r="M91" s="87">
        <f>VLOOKUP($A91,'Data shares'!$C:$FA,97)</f>
        <v>0.29799999999999999</v>
      </c>
      <c r="N91" s="86">
        <f>VLOOKUP($A91,'Data shares'!$C:$FA,78)</f>
        <v>14473800</v>
      </c>
      <c r="O91" s="87">
        <f>VLOOKUP($A91,'Data shares'!$C:$FA,81)</f>
        <v>1.17E-2</v>
      </c>
    </row>
    <row r="92" spans="1:15" x14ac:dyDescent="0.25">
      <c r="A92" s="100" t="str">
        <f>'OI(Value)'!A92</f>
        <v>HINDZINC</v>
      </c>
      <c r="B92" s="82">
        <f>VLOOKUP(A92,'Data shares'!$C$2:$CV$223,98,0)</f>
        <v>45987725</v>
      </c>
      <c r="C92" s="82">
        <f>VLOOKUP(A92,'Data shares'!$C$2:$CX$223,100,0)</f>
        <v>712950</v>
      </c>
      <c r="D92" s="141">
        <f>VLOOKUP(A92,'Data shares'!$C$2:$CY$546,101,0)</f>
        <v>1.5699999999999999E-2</v>
      </c>
      <c r="E92" s="86">
        <f>VLOOKUP($A92,'Data shares'!$C:$FA,74)</f>
        <v>29870400</v>
      </c>
      <c r="F92" s="86">
        <f>VLOOKUP($A92,'Data shares'!$C:$FA,76)</f>
        <v>53900</v>
      </c>
      <c r="G92" s="87">
        <f>VLOOKUP(A92,'Data shares'!$C$2:$CA$223,77,0)</f>
        <v>1.8E-3</v>
      </c>
      <c r="H92" s="86">
        <f>VLOOKUP($A92,'Data shares'!$C:$FA,90)</f>
        <v>10018050</v>
      </c>
      <c r="I92" s="86">
        <f>VLOOKUP($A92,'Data shares'!$C:$FA,92)</f>
        <v>215600</v>
      </c>
      <c r="J92" s="87">
        <f>VLOOKUP($A92,'Data shares'!$C:$FA,93)</f>
        <v>2.1999999999999999E-2</v>
      </c>
      <c r="K92" s="86">
        <f>VLOOKUP($A92,'Data shares'!$C:$FA,94)</f>
        <v>6099275</v>
      </c>
      <c r="L92" s="86">
        <f>VLOOKUP($A92,'Data shares'!$C:$FA,96)</f>
        <v>443450</v>
      </c>
      <c r="M92" s="87">
        <f>VLOOKUP($A92,'Data shares'!$C:$FA,97)</f>
        <v>7.8399999999999997E-2</v>
      </c>
      <c r="N92" s="86">
        <f>VLOOKUP($A92,'Data shares'!$C:$FA,78)</f>
        <v>27453475</v>
      </c>
      <c r="O92" s="87">
        <f>VLOOKUP($A92,'Data shares'!$C:$FA,81)</f>
        <v>-2.1600000000000001E-2</v>
      </c>
    </row>
    <row r="93" spans="1:15" x14ac:dyDescent="0.25">
      <c r="A93" s="100" t="str">
        <f>'OI(Value)'!A93</f>
        <v>HUDCO</v>
      </c>
      <c r="B93" s="82">
        <f>VLOOKUP(A93,'Data shares'!$C$2:$CV$223,98,0)</f>
        <v>58641300</v>
      </c>
      <c r="C93" s="82">
        <f>VLOOKUP(A93,'Data shares'!$C$2:$CX$223,100,0)</f>
        <v>1509600</v>
      </c>
      <c r="D93" s="141">
        <f>VLOOKUP(A93,'Data shares'!$C$2:$CY$546,101,0)</f>
        <v>2.64E-2</v>
      </c>
      <c r="E93" s="86">
        <f>VLOOKUP($A93,'Data shares'!$C:$FA,74)</f>
        <v>36527325</v>
      </c>
      <c r="F93" s="86">
        <f>VLOOKUP($A93,'Data shares'!$C:$FA,76)</f>
        <v>1326450</v>
      </c>
      <c r="G93" s="87">
        <f>VLOOKUP(A93,'Data shares'!$C$2:$CA$223,77,0)</f>
        <v>3.7699999999999997E-2</v>
      </c>
      <c r="H93" s="86">
        <f>VLOOKUP($A93,'Data shares'!$C:$FA,90)</f>
        <v>13861125</v>
      </c>
      <c r="I93" s="86">
        <f>VLOOKUP($A93,'Data shares'!$C:$FA,92)</f>
        <v>466200</v>
      </c>
      <c r="J93" s="87">
        <f>VLOOKUP($A93,'Data shares'!$C:$FA,93)</f>
        <v>3.4799999999999998E-2</v>
      </c>
      <c r="K93" s="86">
        <f>VLOOKUP($A93,'Data shares'!$C:$FA,94)</f>
        <v>8252850</v>
      </c>
      <c r="L93" s="86">
        <f>VLOOKUP($A93,'Data shares'!$C:$FA,96)</f>
        <v>-283050</v>
      </c>
      <c r="M93" s="87">
        <f>VLOOKUP($A93,'Data shares'!$C:$FA,97)</f>
        <v>-3.32E-2</v>
      </c>
      <c r="N93" s="86">
        <f>VLOOKUP($A93,'Data shares'!$C:$FA,78)</f>
        <v>32656200</v>
      </c>
      <c r="O93" s="87">
        <f>VLOOKUP($A93,'Data shares'!$C:$FA,81)</f>
        <v>1.78E-2</v>
      </c>
    </row>
    <row r="94" spans="1:15" x14ac:dyDescent="0.25">
      <c r="A94" s="100" t="str">
        <f>'OI(Value)'!A94</f>
        <v>ICICIBANK</v>
      </c>
      <c r="B94" s="82">
        <f>VLOOKUP(A94,'Data shares'!$C$2:$CV$223,98,0)</f>
        <v>144616500</v>
      </c>
      <c r="C94" s="82">
        <f>VLOOKUP(A94,'Data shares'!$C$2:$CX$223,100,0)</f>
        <v>1960700</v>
      </c>
      <c r="D94" s="141">
        <f>VLOOKUP(A94,'Data shares'!$C$2:$CY$546,101,0)</f>
        <v>1.37E-2</v>
      </c>
      <c r="E94" s="86">
        <f>VLOOKUP($A94,'Data shares'!$C:$FA,74)</f>
        <v>106148700</v>
      </c>
      <c r="F94" s="86">
        <f>VLOOKUP($A94,'Data shares'!$C:$FA,76)</f>
        <v>445900</v>
      </c>
      <c r="G94" s="87">
        <f>VLOOKUP(A94,'Data shares'!$C$2:$CA$223,77,0)</f>
        <v>4.1999999999999997E-3</v>
      </c>
      <c r="H94" s="86">
        <f>VLOOKUP($A94,'Data shares'!$C:$FA,90)</f>
        <v>24348100</v>
      </c>
      <c r="I94" s="86">
        <f>VLOOKUP($A94,'Data shares'!$C:$FA,92)</f>
        <v>1451100</v>
      </c>
      <c r="J94" s="87">
        <f>VLOOKUP($A94,'Data shares'!$C:$FA,93)</f>
        <v>6.3399999999999998E-2</v>
      </c>
      <c r="K94" s="86">
        <f>VLOOKUP($A94,'Data shares'!$C:$FA,94)</f>
        <v>14119700</v>
      </c>
      <c r="L94" s="86">
        <f>VLOOKUP($A94,'Data shares'!$C:$FA,96)</f>
        <v>63700</v>
      </c>
      <c r="M94" s="87">
        <f>VLOOKUP($A94,'Data shares'!$C:$FA,97)</f>
        <v>4.4999999999999997E-3</v>
      </c>
      <c r="N94" s="86">
        <f>VLOOKUP($A94,'Data shares'!$C:$FA,78)</f>
        <v>92726900</v>
      </c>
      <c r="O94" s="87">
        <f>VLOOKUP($A94,'Data shares'!$C:$FA,81)</f>
        <v>-2.6700000000000002E-2</v>
      </c>
    </row>
    <row r="95" spans="1:15" x14ac:dyDescent="0.25">
      <c r="A95" s="100" t="str">
        <f>'OI(Value)'!A95</f>
        <v>ICICIGI</v>
      </c>
      <c r="B95" s="82">
        <f>VLOOKUP(A95,'Data shares'!$C$2:$CV$223,98,0)</f>
        <v>6343675</v>
      </c>
      <c r="C95" s="82">
        <f>VLOOKUP(A95,'Data shares'!$C$2:$CX$223,100,0)</f>
        <v>151125</v>
      </c>
      <c r="D95" s="141">
        <f>VLOOKUP(A95,'Data shares'!$C$2:$CY$546,101,0)</f>
        <v>2.4400000000000002E-2</v>
      </c>
      <c r="E95" s="86">
        <f>VLOOKUP($A95,'Data shares'!$C:$FA,74)</f>
        <v>5077475</v>
      </c>
      <c r="F95" s="86">
        <f>VLOOKUP($A95,'Data shares'!$C:$FA,76)</f>
        <v>76050</v>
      </c>
      <c r="G95" s="87">
        <f>VLOOKUP(A95,'Data shares'!$C$2:$CA$223,77,0)</f>
        <v>1.52E-2</v>
      </c>
      <c r="H95" s="86">
        <f>VLOOKUP($A95,'Data shares'!$C:$FA,90)</f>
        <v>710775</v>
      </c>
      <c r="I95" s="86">
        <f>VLOOKUP($A95,'Data shares'!$C:$FA,92)</f>
        <v>78325</v>
      </c>
      <c r="J95" s="87">
        <f>VLOOKUP($A95,'Data shares'!$C:$FA,93)</f>
        <v>0.12379999999999999</v>
      </c>
      <c r="K95" s="86">
        <f>VLOOKUP($A95,'Data shares'!$C:$FA,94)</f>
        <v>555425</v>
      </c>
      <c r="L95" s="86">
        <f>VLOOKUP($A95,'Data shares'!$C:$FA,96)</f>
        <v>-3250</v>
      </c>
      <c r="M95" s="87">
        <f>VLOOKUP($A95,'Data shares'!$C:$FA,97)</f>
        <v>-5.7999999999999996E-3</v>
      </c>
      <c r="N95" s="86">
        <f>VLOOKUP($A95,'Data shares'!$C:$FA,78)</f>
        <v>4997850</v>
      </c>
      <c r="O95" s="87">
        <f>VLOOKUP($A95,'Data shares'!$C:$FA,81)</f>
        <v>1.18E-2</v>
      </c>
    </row>
    <row r="96" spans="1:15" x14ac:dyDescent="0.25">
      <c r="A96" s="100" t="str">
        <f>'OI(Value)'!A96</f>
        <v>ICICIPRULI</v>
      </c>
      <c r="B96" s="82">
        <f>VLOOKUP(A96,'Data shares'!$C$2:$CV$223,98,0)</f>
        <v>17801625</v>
      </c>
      <c r="C96" s="82">
        <f>VLOOKUP(A96,'Data shares'!$C$2:$CX$223,100,0)</f>
        <v>240500</v>
      </c>
      <c r="D96" s="141">
        <f>VLOOKUP(A96,'Data shares'!$C$2:$CY$546,101,0)</f>
        <v>1.37E-2</v>
      </c>
      <c r="E96" s="86">
        <f>VLOOKUP($A96,'Data shares'!$C:$FA,74)</f>
        <v>12884325</v>
      </c>
      <c r="F96" s="86">
        <f>VLOOKUP($A96,'Data shares'!$C:$FA,76)</f>
        <v>158175</v>
      </c>
      <c r="G96" s="87">
        <f>VLOOKUP(A96,'Data shares'!$C$2:$CA$223,77,0)</f>
        <v>1.24E-2</v>
      </c>
      <c r="H96" s="86">
        <f>VLOOKUP($A96,'Data shares'!$C:$FA,90)</f>
        <v>2861950</v>
      </c>
      <c r="I96" s="86">
        <f>VLOOKUP($A96,'Data shares'!$C:$FA,92)</f>
        <v>-12950</v>
      </c>
      <c r="J96" s="87">
        <f>VLOOKUP($A96,'Data shares'!$C:$FA,93)</f>
        <v>-4.4999999999999997E-3</v>
      </c>
      <c r="K96" s="86">
        <f>VLOOKUP($A96,'Data shares'!$C:$FA,94)</f>
        <v>2055350</v>
      </c>
      <c r="L96" s="86">
        <f>VLOOKUP($A96,'Data shares'!$C:$FA,96)</f>
        <v>95275</v>
      </c>
      <c r="M96" s="87">
        <f>VLOOKUP($A96,'Data shares'!$C:$FA,97)</f>
        <v>4.8599999999999997E-2</v>
      </c>
      <c r="N96" s="86">
        <f>VLOOKUP($A96,'Data shares'!$C:$FA,78)</f>
        <v>12498600</v>
      </c>
      <c r="O96" s="87">
        <f>VLOOKUP($A96,'Data shares'!$C:$FA,81)</f>
        <v>4.7000000000000002E-3</v>
      </c>
    </row>
    <row r="97" spans="1:15" x14ac:dyDescent="0.25">
      <c r="A97" s="100" t="str">
        <f>'OI(Value)'!A97</f>
        <v>IDEA</v>
      </c>
      <c r="B97" s="82">
        <f>VLOOKUP(A97,'Data shares'!$C$2:$CV$223,98,0)</f>
        <v>7642464375</v>
      </c>
      <c r="C97" s="82">
        <f>VLOOKUP(A97,'Data shares'!$C$2:$CX$223,100,0)</f>
        <v>53105925</v>
      </c>
      <c r="D97" s="141">
        <f>VLOOKUP(A97,'Data shares'!$C$2:$CY$546,101,0)</f>
        <v>7.0000000000000001E-3</v>
      </c>
      <c r="E97" s="86">
        <f>VLOOKUP($A97,'Data shares'!$C:$FA,74)</f>
        <v>5528591250</v>
      </c>
      <c r="F97" s="86">
        <f>VLOOKUP($A97,'Data shares'!$C:$FA,76)</f>
        <v>59395725</v>
      </c>
      <c r="G97" s="87">
        <f>VLOOKUP(A97,'Data shares'!$C$2:$CA$223,77,0)</f>
        <v>1.09E-2</v>
      </c>
      <c r="H97" s="86">
        <f>VLOOKUP($A97,'Data shares'!$C:$FA,90)</f>
        <v>1406413575</v>
      </c>
      <c r="I97" s="86">
        <f>VLOOKUP($A97,'Data shares'!$C:$FA,92)</f>
        <v>-6933075</v>
      </c>
      <c r="J97" s="87">
        <f>VLOOKUP($A97,'Data shares'!$C:$FA,93)</f>
        <v>-4.8999999999999998E-3</v>
      </c>
      <c r="K97" s="86">
        <f>VLOOKUP($A97,'Data shares'!$C:$FA,94)</f>
        <v>707459550</v>
      </c>
      <c r="L97" s="86">
        <f>VLOOKUP($A97,'Data shares'!$C:$FA,96)</f>
        <v>643275</v>
      </c>
      <c r="M97" s="87">
        <f>VLOOKUP($A97,'Data shares'!$C:$FA,97)</f>
        <v>8.9999999999999998E-4</v>
      </c>
      <c r="N97" s="86">
        <f>VLOOKUP($A97,'Data shares'!$C:$FA,78)</f>
        <v>4413366825</v>
      </c>
      <c r="O97" s="87">
        <f>VLOOKUP($A97,'Data shares'!$C:$FA,81)</f>
        <v>-1.9300000000000001E-2</v>
      </c>
    </row>
    <row r="98" spans="1:15" x14ac:dyDescent="0.25">
      <c r="A98" s="100" t="str">
        <f>'OI(Value)'!A98</f>
        <v>IDFCFIRSTB</v>
      </c>
      <c r="B98" s="82">
        <f>VLOOKUP(A98,'Data shares'!$C$2:$CV$223,98,0)</f>
        <v>587728925</v>
      </c>
      <c r="C98" s="82">
        <f>VLOOKUP(A98,'Data shares'!$C$2:$CX$223,100,0)</f>
        <v>5796875</v>
      </c>
      <c r="D98" s="141">
        <f>VLOOKUP(A98,'Data shares'!$C$2:$CY$546,101,0)</f>
        <v>0.01</v>
      </c>
      <c r="E98" s="86">
        <f>VLOOKUP($A98,'Data shares'!$C:$FA,74)</f>
        <v>416187800</v>
      </c>
      <c r="F98" s="86">
        <f>VLOOKUP($A98,'Data shares'!$C:$FA,76)</f>
        <v>5509350</v>
      </c>
      <c r="G98" s="87">
        <f>VLOOKUP(A98,'Data shares'!$C$2:$CA$223,77,0)</f>
        <v>1.34E-2</v>
      </c>
      <c r="H98" s="86">
        <f>VLOOKUP($A98,'Data shares'!$C:$FA,90)</f>
        <v>96506375</v>
      </c>
      <c r="I98" s="86">
        <f>VLOOKUP($A98,'Data shares'!$C:$FA,92)</f>
        <v>2151800</v>
      </c>
      <c r="J98" s="87">
        <f>VLOOKUP($A98,'Data shares'!$C:$FA,93)</f>
        <v>2.2800000000000001E-2</v>
      </c>
      <c r="K98" s="86">
        <f>VLOOKUP($A98,'Data shares'!$C:$FA,94)</f>
        <v>75034750</v>
      </c>
      <c r="L98" s="86">
        <f>VLOOKUP($A98,'Data shares'!$C:$FA,96)</f>
        <v>-1864275</v>
      </c>
      <c r="M98" s="87">
        <f>VLOOKUP($A98,'Data shares'!$C:$FA,97)</f>
        <v>-2.4199999999999999E-2</v>
      </c>
      <c r="N98" s="86">
        <f>VLOOKUP($A98,'Data shares'!$C:$FA,78)</f>
        <v>371779100</v>
      </c>
      <c r="O98" s="87">
        <f>VLOOKUP($A98,'Data shares'!$C:$FA,81)</f>
        <v>-1.6899999999999998E-2</v>
      </c>
    </row>
    <row r="99" spans="1:15" x14ac:dyDescent="0.25">
      <c r="A99" s="100" t="str">
        <f>'OI(Value)'!A99</f>
        <v>IEX</v>
      </c>
      <c r="B99" s="82">
        <f>VLOOKUP(A99,'Data shares'!$C$2:$CV$223,98,0)</f>
        <v>122640000</v>
      </c>
      <c r="C99" s="82">
        <f>VLOOKUP(A99,'Data shares'!$C$2:$CX$223,100,0)</f>
        <v>-971250</v>
      </c>
      <c r="D99" s="141">
        <f>VLOOKUP(A99,'Data shares'!$C$2:$CY$546,101,0)</f>
        <v>-7.9000000000000008E-3</v>
      </c>
      <c r="E99" s="86">
        <f>VLOOKUP($A99,'Data shares'!$C:$FA,74)</f>
        <v>47171250</v>
      </c>
      <c r="F99" s="86">
        <f>VLOOKUP($A99,'Data shares'!$C:$FA,76)</f>
        <v>390000</v>
      </c>
      <c r="G99" s="87">
        <f>VLOOKUP(A99,'Data shares'!$C$2:$CA$223,77,0)</f>
        <v>8.3000000000000001E-3</v>
      </c>
      <c r="H99" s="86">
        <f>VLOOKUP($A99,'Data shares'!$C:$FA,90)</f>
        <v>43196250</v>
      </c>
      <c r="I99" s="86">
        <f>VLOOKUP($A99,'Data shares'!$C:$FA,92)</f>
        <v>-1492500</v>
      </c>
      <c r="J99" s="87">
        <f>VLOOKUP($A99,'Data shares'!$C:$FA,93)</f>
        <v>-3.3399999999999999E-2</v>
      </c>
      <c r="K99" s="86">
        <f>VLOOKUP($A99,'Data shares'!$C:$FA,94)</f>
        <v>32272500</v>
      </c>
      <c r="L99" s="86">
        <f>VLOOKUP($A99,'Data shares'!$C:$FA,96)</f>
        <v>131250</v>
      </c>
      <c r="M99" s="87">
        <f>VLOOKUP($A99,'Data shares'!$C:$FA,97)</f>
        <v>4.1000000000000003E-3</v>
      </c>
      <c r="N99" s="86">
        <f>VLOOKUP($A99,'Data shares'!$C:$FA,78)</f>
        <v>40983750</v>
      </c>
      <c r="O99" s="87">
        <f>VLOOKUP($A99,'Data shares'!$C:$FA,81)</f>
        <v>-1.5100000000000001E-2</v>
      </c>
    </row>
    <row r="100" spans="1:15" x14ac:dyDescent="0.25">
      <c r="A100" s="100" t="str">
        <f>'OI(Value)'!A100</f>
        <v>IGL</v>
      </c>
      <c r="B100" s="82">
        <f>VLOOKUP(A100,'Data shares'!$C$2:$CV$223,98,0)</f>
        <v>33365750</v>
      </c>
      <c r="C100" s="82">
        <f>VLOOKUP(A100,'Data shares'!$C$2:$CX$223,100,0)</f>
        <v>1397000</v>
      </c>
      <c r="D100" s="141">
        <f>VLOOKUP(A100,'Data shares'!$C$2:$CY$546,101,0)</f>
        <v>4.3700000000000003E-2</v>
      </c>
      <c r="E100" s="86">
        <f>VLOOKUP($A100,'Data shares'!$C:$FA,74)</f>
        <v>19137250</v>
      </c>
      <c r="F100" s="86">
        <f>VLOOKUP($A100,'Data shares'!$C:$FA,76)</f>
        <v>918500</v>
      </c>
      <c r="G100" s="87">
        <f>VLOOKUP(A100,'Data shares'!$C$2:$CA$223,77,0)</f>
        <v>5.04E-2</v>
      </c>
      <c r="H100" s="86">
        <f>VLOOKUP($A100,'Data shares'!$C:$FA,90)</f>
        <v>8607500</v>
      </c>
      <c r="I100" s="86">
        <f>VLOOKUP($A100,'Data shares'!$C:$FA,92)</f>
        <v>382250</v>
      </c>
      <c r="J100" s="87">
        <f>VLOOKUP($A100,'Data shares'!$C:$FA,93)</f>
        <v>4.65E-2</v>
      </c>
      <c r="K100" s="86">
        <f>VLOOKUP($A100,'Data shares'!$C:$FA,94)</f>
        <v>5621000</v>
      </c>
      <c r="L100" s="86">
        <f>VLOOKUP($A100,'Data shares'!$C:$FA,96)</f>
        <v>96250</v>
      </c>
      <c r="M100" s="87">
        <f>VLOOKUP($A100,'Data shares'!$C:$FA,97)</f>
        <v>1.7399999999999999E-2</v>
      </c>
      <c r="N100" s="86">
        <f>VLOOKUP($A100,'Data shares'!$C:$FA,78)</f>
        <v>16024250</v>
      </c>
      <c r="O100" s="87">
        <f>VLOOKUP($A100,'Data shares'!$C:$FA,81)</f>
        <v>3.4099999999999998E-2</v>
      </c>
    </row>
    <row r="101" spans="1:15" x14ac:dyDescent="0.25">
      <c r="A101" s="100" t="str">
        <f>'OI(Value)'!A101</f>
        <v>IIFL</v>
      </c>
      <c r="B101" s="82">
        <f>VLOOKUP(A101,'Data shares'!$C$2:$CV$223,98,0)</f>
        <v>21781650</v>
      </c>
      <c r="C101" s="82">
        <f>VLOOKUP(A101,'Data shares'!$C$2:$CX$223,100,0)</f>
        <v>-542850</v>
      </c>
      <c r="D101" s="141">
        <f>VLOOKUP(A101,'Data shares'!$C$2:$CY$546,101,0)</f>
        <v>-2.4299999999999999E-2</v>
      </c>
      <c r="E101" s="86">
        <f>VLOOKUP($A101,'Data shares'!$C:$FA,74)</f>
        <v>13277550</v>
      </c>
      <c r="F101" s="86">
        <f>VLOOKUP($A101,'Data shares'!$C:$FA,76)</f>
        <v>-216150</v>
      </c>
      <c r="G101" s="87">
        <f>VLOOKUP(A101,'Data shares'!$C$2:$CA$223,77,0)</f>
        <v>-1.6E-2</v>
      </c>
      <c r="H101" s="86">
        <f>VLOOKUP($A101,'Data shares'!$C:$FA,90)</f>
        <v>5383950</v>
      </c>
      <c r="I101" s="86">
        <f>VLOOKUP($A101,'Data shares'!$C:$FA,92)</f>
        <v>-224400</v>
      </c>
      <c r="J101" s="87">
        <f>VLOOKUP($A101,'Data shares'!$C:$FA,93)</f>
        <v>-0.04</v>
      </c>
      <c r="K101" s="86">
        <f>VLOOKUP($A101,'Data shares'!$C:$FA,94)</f>
        <v>3120150</v>
      </c>
      <c r="L101" s="86">
        <f>VLOOKUP($A101,'Data shares'!$C:$FA,96)</f>
        <v>-102300</v>
      </c>
      <c r="M101" s="87">
        <f>VLOOKUP($A101,'Data shares'!$C:$FA,97)</f>
        <v>-3.1699999999999999E-2</v>
      </c>
      <c r="N101" s="86">
        <f>VLOOKUP($A101,'Data shares'!$C:$FA,78)</f>
        <v>12724800</v>
      </c>
      <c r="O101" s="87">
        <f>VLOOKUP($A101,'Data shares'!$C:$FA,81)</f>
        <v>-2.58E-2</v>
      </c>
    </row>
    <row r="102" spans="1:15" x14ac:dyDescent="0.25">
      <c r="A102" s="100" t="str">
        <f>'OI(Value)'!A102</f>
        <v>INDHOTEL</v>
      </c>
      <c r="B102" s="82">
        <f>VLOOKUP(A102,'Data shares'!$C$2:$CV$223,98,0)</f>
        <v>41891000</v>
      </c>
      <c r="C102" s="82">
        <f>VLOOKUP(A102,'Data shares'!$C$2:$CX$223,100,0)</f>
        <v>4744000</v>
      </c>
      <c r="D102" s="141">
        <f>VLOOKUP(A102,'Data shares'!$C$2:$CY$546,101,0)</f>
        <v>0.12770000000000001</v>
      </c>
      <c r="E102" s="86">
        <f>VLOOKUP($A102,'Data shares'!$C:$FA,74)</f>
        <v>25770000</v>
      </c>
      <c r="F102" s="86">
        <f>VLOOKUP($A102,'Data shares'!$C:$FA,76)</f>
        <v>-674000</v>
      </c>
      <c r="G102" s="87">
        <f>VLOOKUP(A102,'Data shares'!$C$2:$CA$223,77,0)</f>
        <v>-2.5499999999999998E-2</v>
      </c>
      <c r="H102" s="86">
        <f>VLOOKUP($A102,'Data shares'!$C:$FA,90)</f>
        <v>8849000</v>
      </c>
      <c r="I102" s="86">
        <f>VLOOKUP($A102,'Data shares'!$C:$FA,92)</f>
        <v>2785000</v>
      </c>
      <c r="J102" s="87">
        <f>VLOOKUP($A102,'Data shares'!$C:$FA,93)</f>
        <v>0.45929999999999999</v>
      </c>
      <c r="K102" s="86">
        <f>VLOOKUP($A102,'Data shares'!$C:$FA,94)</f>
        <v>7272000</v>
      </c>
      <c r="L102" s="86">
        <f>VLOOKUP($A102,'Data shares'!$C:$FA,96)</f>
        <v>2633000</v>
      </c>
      <c r="M102" s="87">
        <f>VLOOKUP($A102,'Data shares'!$C:$FA,97)</f>
        <v>0.56759999999999999</v>
      </c>
      <c r="N102" s="86">
        <f>VLOOKUP($A102,'Data shares'!$C:$FA,78)</f>
        <v>24191000</v>
      </c>
      <c r="O102" s="87">
        <f>VLOOKUP($A102,'Data shares'!$C:$FA,81)</f>
        <v>-4.1500000000000002E-2</v>
      </c>
    </row>
    <row r="103" spans="1:15" x14ac:dyDescent="0.25">
      <c r="A103" s="100" t="str">
        <f>'OI(Value)'!A103</f>
        <v>INDIANB</v>
      </c>
      <c r="B103" s="82">
        <f>VLOOKUP(A103,'Data shares'!$C$2:$CV$223,98,0)</f>
        <v>11986000</v>
      </c>
      <c r="C103" s="82">
        <f>VLOOKUP(A103,'Data shares'!$C$2:$CX$223,100,0)</f>
        <v>-35000</v>
      </c>
      <c r="D103" s="141">
        <f>VLOOKUP(A103,'Data shares'!$C$2:$CY$546,101,0)</f>
        <v>-2.8999999999999998E-3</v>
      </c>
      <c r="E103" s="86">
        <f>VLOOKUP($A103,'Data shares'!$C:$FA,74)</f>
        <v>7141000</v>
      </c>
      <c r="F103" s="86">
        <f>VLOOKUP($A103,'Data shares'!$C:$FA,76)</f>
        <v>-69000</v>
      </c>
      <c r="G103" s="87">
        <f>VLOOKUP(A103,'Data shares'!$C$2:$CA$223,77,0)</f>
        <v>-9.5999999999999992E-3</v>
      </c>
      <c r="H103" s="86">
        <f>VLOOKUP($A103,'Data shares'!$C:$FA,90)</f>
        <v>2847000</v>
      </c>
      <c r="I103" s="86">
        <f>VLOOKUP($A103,'Data shares'!$C:$FA,92)</f>
        <v>74000</v>
      </c>
      <c r="J103" s="87">
        <f>VLOOKUP($A103,'Data shares'!$C:$FA,93)</f>
        <v>2.6700000000000002E-2</v>
      </c>
      <c r="K103" s="86">
        <f>VLOOKUP($A103,'Data shares'!$C:$FA,94)</f>
        <v>1998000</v>
      </c>
      <c r="L103" s="86">
        <f>VLOOKUP($A103,'Data shares'!$C:$FA,96)</f>
        <v>-40000</v>
      </c>
      <c r="M103" s="87">
        <f>VLOOKUP($A103,'Data shares'!$C:$FA,97)</f>
        <v>-1.9599999999999999E-2</v>
      </c>
      <c r="N103" s="86">
        <f>VLOOKUP($A103,'Data shares'!$C:$FA,78)</f>
        <v>6535000</v>
      </c>
      <c r="O103" s="87">
        <f>VLOOKUP($A103,'Data shares'!$C:$FA,81)</f>
        <v>-1.8599999999999998E-2</v>
      </c>
    </row>
    <row r="104" spans="1:15" x14ac:dyDescent="0.25">
      <c r="A104" s="100" t="str">
        <f>'OI(Value)'!A104</f>
        <v>INDIAVIX</v>
      </c>
      <c r="B104" s="82">
        <f>VLOOKUP(A104,'Data shares'!$C$2:$CV$223,98,0)</f>
        <v>0</v>
      </c>
      <c r="C104" s="82">
        <f>VLOOKUP(A104,'Data shares'!$C$2:$CX$223,100,0)</f>
        <v>0</v>
      </c>
      <c r="D104" s="141">
        <f>VLOOKUP(A104,'Data shares'!$C$2:$CY$546,101,0)</f>
        <v>0</v>
      </c>
      <c r="E104" s="86">
        <f>VLOOKUP($A104,'Data shares'!$C:$FA,74)</f>
        <v>0</v>
      </c>
      <c r="F104" s="86">
        <f>VLOOKUP($A104,'Data shares'!$C:$FA,76)</f>
        <v>0</v>
      </c>
      <c r="G104" s="87">
        <f>VLOOKUP(A104,'Data shares'!$C$2:$CA$223,77,0)</f>
        <v>0</v>
      </c>
      <c r="H104" s="86">
        <f>VLOOKUP($A104,'Data shares'!$C:$FA,90)</f>
        <v>0</v>
      </c>
      <c r="I104" s="86">
        <f>VLOOKUP($A104,'Data shares'!$C:$FA,92)</f>
        <v>0</v>
      </c>
      <c r="J104" s="87">
        <f>VLOOKUP($A104,'Data shares'!$C:$FA,93)</f>
        <v>0</v>
      </c>
      <c r="K104" s="86">
        <f>VLOOKUP($A104,'Data shares'!$C:$FA,94)</f>
        <v>0</v>
      </c>
      <c r="L104" s="86">
        <f>VLOOKUP($A104,'Data shares'!$C:$FA,96)</f>
        <v>0</v>
      </c>
      <c r="M104" s="87">
        <f>VLOOKUP($A104,'Data shares'!$C:$FA,97)</f>
        <v>0</v>
      </c>
      <c r="N104" s="86">
        <f>VLOOKUP($A104,'Data shares'!$C:$FA,78)</f>
        <v>0</v>
      </c>
      <c r="O104" s="87">
        <f>VLOOKUP($A104,'Data shares'!$C:$FA,81)</f>
        <v>0</v>
      </c>
    </row>
    <row r="105" spans="1:15" x14ac:dyDescent="0.25">
      <c r="A105" s="100" t="str">
        <f>'OI(Value)'!A105</f>
        <v>INDIGO</v>
      </c>
      <c r="B105" s="82">
        <f>VLOOKUP(A105,'Data shares'!$C$2:$CV$223,98,0)</f>
        <v>10728750</v>
      </c>
      <c r="C105" s="82">
        <f>VLOOKUP(A105,'Data shares'!$C$2:$CX$223,100,0)</f>
        <v>684450</v>
      </c>
      <c r="D105" s="141">
        <f>VLOOKUP(A105,'Data shares'!$C$2:$CY$546,101,0)</f>
        <v>6.8099999999999994E-2</v>
      </c>
      <c r="E105" s="86">
        <f>VLOOKUP($A105,'Data shares'!$C:$FA,74)</f>
        <v>7507200</v>
      </c>
      <c r="F105" s="86">
        <f>VLOOKUP($A105,'Data shares'!$C:$FA,76)</f>
        <v>459450</v>
      </c>
      <c r="G105" s="87">
        <f>VLOOKUP(A105,'Data shares'!$C$2:$CA$223,77,0)</f>
        <v>6.5199999999999994E-2</v>
      </c>
      <c r="H105" s="86">
        <f>VLOOKUP($A105,'Data shares'!$C:$FA,90)</f>
        <v>1593450</v>
      </c>
      <c r="I105" s="86">
        <f>VLOOKUP($A105,'Data shares'!$C:$FA,92)</f>
        <v>67500</v>
      </c>
      <c r="J105" s="87">
        <f>VLOOKUP($A105,'Data shares'!$C:$FA,93)</f>
        <v>4.4200000000000003E-2</v>
      </c>
      <c r="K105" s="86">
        <f>VLOOKUP($A105,'Data shares'!$C:$FA,94)</f>
        <v>1628100</v>
      </c>
      <c r="L105" s="86">
        <f>VLOOKUP($A105,'Data shares'!$C:$FA,96)</f>
        <v>157500</v>
      </c>
      <c r="M105" s="87">
        <f>VLOOKUP($A105,'Data shares'!$C:$FA,97)</f>
        <v>0.1071</v>
      </c>
      <c r="N105" s="86">
        <f>VLOOKUP($A105,'Data shares'!$C:$FA,78)</f>
        <v>6902100</v>
      </c>
      <c r="O105" s="87">
        <f>VLOOKUP($A105,'Data shares'!$C:$FA,81)</f>
        <v>2.8500000000000001E-2</v>
      </c>
    </row>
    <row r="106" spans="1:15" x14ac:dyDescent="0.25">
      <c r="A106" s="100" t="str">
        <f>'OI(Value)'!A106</f>
        <v>INDUSINDBK</v>
      </c>
      <c r="B106" s="82">
        <f>VLOOKUP(A106,'Data shares'!$C$2:$CV$223,98,0)</f>
        <v>81572400</v>
      </c>
      <c r="C106" s="82">
        <f>VLOOKUP(A106,'Data shares'!$C$2:$CX$223,100,0)</f>
        <v>1341900</v>
      </c>
      <c r="D106" s="141">
        <f>VLOOKUP(A106,'Data shares'!$C$2:$CY$546,101,0)</f>
        <v>1.67E-2</v>
      </c>
      <c r="E106" s="86">
        <f>VLOOKUP($A106,'Data shares'!$C:$FA,74)</f>
        <v>51895900</v>
      </c>
      <c r="F106" s="86">
        <f>VLOOKUP($A106,'Data shares'!$C:$FA,76)</f>
        <v>621600</v>
      </c>
      <c r="G106" s="87">
        <f>VLOOKUP(A106,'Data shares'!$C$2:$CA$223,77,0)</f>
        <v>1.21E-2</v>
      </c>
      <c r="H106" s="86">
        <f>VLOOKUP($A106,'Data shares'!$C:$FA,90)</f>
        <v>18755100</v>
      </c>
      <c r="I106" s="86">
        <f>VLOOKUP($A106,'Data shares'!$C:$FA,92)</f>
        <v>907900</v>
      </c>
      <c r="J106" s="87">
        <f>VLOOKUP($A106,'Data shares'!$C:$FA,93)</f>
        <v>5.0900000000000001E-2</v>
      </c>
      <c r="K106" s="86">
        <f>VLOOKUP($A106,'Data shares'!$C:$FA,94)</f>
        <v>10921400</v>
      </c>
      <c r="L106" s="86">
        <f>VLOOKUP($A106,'Data shares'!$C:$FA,96)</f>
        <v>-187600</v>
      </c>
      <c r="M106" s="87">
        <f>VLOOKUP($A106,'Data shares'!$C:$FA,97)</f>
        <v>-1.6899999999999998E-2</v>
      </c>
      <c r="N106" s="86">
        <f>VLOOKUP($A106,'Data shares'!$C:$FA,78)</f>
        <v>47677000</v>
      </c>
      <c r="O106" s="87">
        <f>VLOOKUP($A106,'Data shares'!$C:$FA,81)</f>
        <v>-1.5599999999999999E-2</v>
      </c>
    </row>
    <row r="107" spans="1:15" x14ac:dyDescent="0.25">
      <c r="A107" s="100" t="str">
        <f>'OI(Value)'!A107</f>
        <v>INDUSTOWER</v>
      </c>
      <c r="B107" s="82">
        <f>VLOOKUP(A107,'Data shares'!$C$2:$CV$223,98,0)</f>
        <v>117668900</v>
      </c>
      <c r="C107" s="82">
        <f>VLOOKUP(A107,'Data shares'!$C$2:$CX$223,100,0)</f>
        <v>2169200</v>
      </c>
      <c r="D107" s="141">
        <f>VLOOKUP(A107,'Data shares'!$C$2:$CY$546,101,0)</f>
        <v>1.8800000000000001E-2</v>
      </c>
      <c r="E107" s="86">
        <f>VLOOKUP($A107,'Data shares'!$C:$FA,74)</f>
        <v>79784400</v>
      </c>
      <c r="F107" s="86">
        <f>VLOOKUP($A107,'Data shares'!$C:$FA,76)</f>
        <v>2883200</v>
      </c>
      <c r="G107" s="87">
        <f>VLOOKUP(A107,'Data shares'!$C$2:$CA$223,77,0)</f>
        <v>3.7499999999999999E-2</v>
      </c>
      <c r="H107" s="86">
        <f>VLOOKUP($A107,'Data shares'!$C:$FA,90)</f>
        <v>22540300</v>
      </c>
      <c r="I107" s="86">
        <f>VLOOKUP($A107,'Data shares'!$C:$FA,92)</f>
        <v>-2480300</v>
      </c>
      <c r="J107" s="87">
        <f>VLOOKUP($A107,'Data shares'!$C:$FA,93)</f>
        <v>-9.9099999999999994E-2</v>
      </c>
      <c r="K107" s="86">
        <f>VLOOKUP($A107,'Data shares'!$C:$FA,94)</f>
        <v>15344200</v>
      </c>
      <c r="L107" s="86">
        <f>VLOOKUP($A107,'Data shares'!$C:$FA,96)</f>
        <v>1766300</v>
      </c>
      <c r="M107" s="87">
        <f>VLOOKUP($A107,'Data shares'!$C:$FA,97)</f>
        <v>0.13009999999999999</v>
      </c>
      <c r="N107" s="86">
        <f>VLOOKUP($A107,'Data shares'!$C:$FA,78)</f>
        <v>69417800</v>
      </c>
      <c r="O107" s="87">
        <f>VLOOKUP($A107,'Data shares'!$C:$FA,81)</f>
        <v>2.1899999999999999E-2</v>
      </c>
    </row>
    <row r="108" spans="1:15" x14ac:dyDescent="0.25">
      <c r="A108" s="100" t="str">
        <f>'OI(Value)'!A108</f>
        <v>INFY</v>
      </c>
      <c r="B108" s="82">
        <f>VLOOKUP(A108,'Data shares'!$C$2:$CV$223,98,0)</f>
        <v>126023200</v>
      </c>
      <c r="C108" s="82">
        <f>VLOOKUP(A108,'Data shares'!$C$2:$CX$223,100,0)</f>
        <v>-4256000</v>
      </c>
      <c r="D108" s="141">
        <f>VLOOKUP(A108,'Data shares'!$C$2:$CY$546,101,0)</f>
        <v>-3.27E-2</v>
      </c>
      <c r="E108" s="86">
        <f>VLOOKUP($A108,'Data shares'!$C:$FA,74)</f>
        <v>83262400</v>
      </c>
      <c r="F108" s="86">
        <f>VLOOKUP($A108,'Data shares'!$C:$FA,76)</f>
        <v>-3206800</v>
      </c>
      <c r="G108" s="87">
        <f>VLOOKUP(A108,'Data shares'!$C$2:$CA$223,77,0)</f>
        <v>-3.7100000000000001E-2</v>
      </c>
      <c r="H108" s="86">
        <f>VLOOKUP($A108,'Data shares'!$C:$FA,90)</f>
        <v>25406400</v>
      </c>
      <c r="I108" s="86">
        <f>VLOOKUP($A108,'Data shares'!$C:$FA,92)</f>
        <v>-2772000</v>
      </c>
      <c r="J108" s="87">
        <f>VLOOKUP($A108,'Data shares'!$C:$FA,93)</f>
        <v>-9.8400000000000001E-2</v>
      </c>
      <c r="K108" s="86">
        <f>VLOOKUP($A108,'Data shares'!$C:$FA,94)</f>
        <v>17354400</v>
      </c>
      <c r="L108" s="86">
        <f>VLOOKUP($A108,'Data shares'!$C:$FA,96)</f>
        <v>1722800</v>
      </c>
      <c r="M108" s="87">
        <f>VLOOKUP($A108,'Data shares'!$C:$FA,97)</f>
        <v>0.11020000000000001</v>
      </c>
      <c r="N108" s="86">
        <f>VLOOKUP($A108,'Data shares'!$C:$FA,78)</f>
        <v>74836800</v>
      </c>
      <c r="O108" s="87">
        <f>VLOOKUP($A108,'Data shares'!$C:$FA,81)</f>
        <v>-5.6599999999999998E-2</v>
      </c>
    </row>
    <row r="109" spans="1:15" x14ac:dyDescent="0.25">
      <c r="A109" s="100" t="str">
        <f>'OI(Value)'!A109</f>
        <v>INOXWIND</v>
      </c>
      <c r="B109" s="82">
        <f>VLOOKUP(A109,'Data shares'!$C$2:$CV$223,98,0)</f>
        <v>84136208</v>
      </c>
      <c r="C109" s="82">
        <f>VLOOKUP(A109,'Data shares'!$C$2:$CX$223,100,0)</f>
        <v>-1027408</v>
      </c>
      <c r="D109" s="141">
        <f>VLOOKUP(A109,'Data shares'!$C$2:$CY$546,101,0)</f>
        <v>-1.21E-2</v>
      </c>
      <c r="E109" s="86">
        <f>VLOOKUP($A109,'Data shares'!$C:$FA,74)</f>
        <v>49197792</v>
      </c>
      <c r="F109" s="86">
        <f>VLOOKUP($A109,'Data shares'!$C:$FA,76)</f>
        <v>857264</v>
      </c>
      <c r="G109" s="87">
        <f>VLOOKUP(A109,'Data shares'!$C$2:$CA$223,77,0)</f>
        <v>1.77E-2</v>
      </c>
      <c r="H109" s="86">
        <f>VLOOKUP($A109,'Data shares'!$C:$FA,90)</f>
        <v>22939992</v>
      </c>
      <c r="I109" s="86">
        <f>VLOOKUP($A109,'Data shares'!$C:$FA,92)</f>
        <v>-1485488</v>
      </c>
      <c r="J109" s="87">
        <f>VLOOKUP($A109,'Data shares'!$C:$FA,93)</f>
        <v>-6.08E-2</v>
      </c>
      <c r="K109" s="86">
        <f>VLOOKUP($A109,'Data shares'!$C:$FA,94)</f>
        <v>11998424</v>
      </c>
      <c r="L109" s="86">
        <f>VLOOKUP($A109,'Data shares'!$C:$FA,96)</f>
        <v>-399184</v>
      </c>
      <c r="M109" s="87">
        <f>VLOOKUP($A109,'Data shares'!$C:$FA,97)</f>
        <v>-3.2199999999999999E-2</v>
      </c>
      <c r="N109" s="86">
        <f>VLOOKUP($A109,'Data shares'!$C:$FA,78)</f>
        <v>43380176</v>
      </c>
      <c r="O109" s="87">
        <f>VLOOKUP($A109,'Data shares'!$C:$FA,81)</f>
        <v>-9.9000000000000008E-3</v>
      </c>
    </row>
    <row r="110" spans="1:15" x14ac:dyDescent="0.25">
      <c r="A110" s="100" t="str">
        <f>'OI(Value)'!A110</f>
        <v>IOC</v>
      </c>
      <c r="B110" s="82">
        <f>VLOOKUP(A110,'Data shares'!$C$2:$CV$223,98,0)</f>
        <v>159880500</v>
      </c>
      <c r="C110" s="82">
        <f>VLOOKUP(A110,'Data shares'!$C$2:$CX$223,100,0)</f>
        <v>-2622750</v>
      </c>
      <c r="D110" s="141">
        <f>VLOOKUP(A110,'Data shares'!$C$2:$CY$546,101,0)</f>
        <v>-1.61E-2</v>
      </c>
      <c r="E110" s="86">
        <f>VLOOKUP($A110,'Data shares'!$C:$FA,74)</f>
        <v>71862375</v>
      </c>
      <c r="F110" s="86">
        <f>VLOOKUP($A110,'Data shares'!$C:$FA,76)</f>
        <v>-1691625</v>
      </c>
      <c r="G110" s="87">
        <f>VLOOKUP(A110,'Data shares'!$C$2:$CA$223,77,0)</f>
        <v>-2.3E-2</v>
      </c>
      <c r="H110" s="86">
        <f>VLOOKUP($A110,'Data shares'!$C:$FA,90)</f>
        <v>47701875</v>
      </c>
      <c r="I110" s="86">
        <f>VLOOKUP($A110,'Data shares'!$C:$FA,92)</f>
        <v>-1048125</v>
      </c>
      <c r="J110" s="87">
        <f>VLOOKUP($A110,'Data shares'!$C:$FA,93)</f>
        <v>-2.1499999999999998E-2</v>
      </c>
      <c r="K110" s="86">
        <f>VLOOKUP($A110,'Data shares'!$C:$FA,94)</f>
        <v>40316250</v>
      </c>
      <c r="L110" s="86">
        <f>VLOOKUP($A110,'Data shares'!$C:$FA,96)</f>
        <v>117000</v>
      </c>
      <c r="M110" s="87">
        <f>VLOOKUP($A110,'Data shares'!$C:$FA,97)</f>
        <v>2.8999999999999998E-3</v>
      </c>
      <c r="N110" s="86">
        <f>VLOOKUP($A110,'Data shares'!$C:$FA,78)</f>
        <v>64808250</v>
      </c>
      <c r="O110" s="87">
        <f>VLOOKUP($A110,'Data shares'!$C:$FA,81)</f>
        <v>-4.5199999999999997E-2</v>
      </c>
    </row>
    <row r="111" spans="1:15" x14ac:dyDescent="0.25">
      <c r="A111" s="100" t="str">
        <f>'OI(Value)'!A111</f>
        <v>IRB</v>
      </c>
      <c r="B111" s="82">
        <f>VLOOKUP(A111,'Data shares'!$C$2:$CV$223,98,0)</f>
        <v>113737850</v>
      </c>
      <c r="C111" s="82">
        <f>VLOOKUP(A111,'Data shares'!$C$2:$CX$223,100,0)</f>
        <v>-1973075</v>
      </c>
      <c r="D111" s="141">
        <f>VLOOKUP(A111,'Data shares'!$C$2:$CY$546,101,0)</f>
        <v>-1.7100000000000001E-2</v>
      </c>
      <c r="E111" s="86">
        <f>VLOOKUP($A111,'Data shares'!$C:$FA,74)</f>
        <v>67539875</v>
      </c>
      <c r="F111" s="86">
        <f>VLOOKUP($A111,'Data shares'!$C:$FA,76)</f>
        <v>-1727900</v>
      </c>
      <c r="G111" s="87">
        <f>VLOOKUP(A111,'Data shares'!$C$2:$CA$223,77,0)</f>
        <v>-2.4899999999999999E-2</v>
      </c>
      <c r="H111" s="86">
        <f>VLOOKUP($A111,'Data shares'!$C:$FA,90)</f>
        <v>31207275</v>
      </c>
      <c r="I111" s="86">
        <f>VLOOKUP($A111,'Data shares'!$C:$FA,92)</f>
        <v>723850</v>
      </c>
      <c r="J111" s="87">
        <f>VLOOKUP($A111,'Data shares'!$C:$FA,93)</f>
        <v>2.3699999999999999E-2</v>
      </c>
      <c r="K111" s="86">
        <f>VLOOKUP($A111,'Data shares'!$C:$FA,94)</f>
        <v>14990700</v>
      </c>
      <c r="L111" s="86">
        <f>VLOOKUP($A111,'Data shares'!$C:$FA,96)</f>
        <v>-969025</v>
      </c>
      <c r="M111" s="87">
        <f>VLOOKUP($A111,'Data shares'!$C:$FA,97)</f>
        <v>-6.0699999999999997E-2</v>
      </c>
      <c r="N111" s="86">
        <f>VLOOKUP($A111,'Data shares'!$C:$FA,78)</f>
        <v>67539875</v>
      </c>
      <c r="O111" s="87">
        <f>VLOOKUP($A111,'Data shares'!$C:$FA,81)</f>
        <v>-2.4899999999999999E-2</v>
      </c>
    </row>
    <row r="112" spans="1:15" x14ac:dyDescent="0.25">
      <c r="A112" s="100" t="str">
        <f>'OI(Value)'!A112</f>
        <v>IRCTC</v>
      </c>
      <c r="B112" s="82">
        <f>VLOOKUP(A112,'Data shares'!$C$2:$CV$223,98,0)</f>
        <v>31100125</v>
      </c>
      <c r="C112" s="82">
        <f>VLOOKUP(A112,'Data shares'!$C$2:$CX$223,100,0)</f>
        <v>523250</v>
      </c>
      <c r="D112" s="141">
        <f>VLOOKUP(A112,'Data shares'!$C$2:$CY$546,101,0)</f>
        <v>1.7100000000000001E-2</v>
      </c>
      <c r="E112" s="86">
        <f>VLOOKUP($A112,'Data shares'!$C:$FA,74)</f>
        <v>16143750</v>
      </c>
      <c r="F112" s="86">
        <f>VLOOKUP($A112,'Data shares'!$C:$FA,76)</f>
        <v>175875</v>
      </c>
      <c r="G112" s="87">
        <f>VLOOKUP(A112,'Data shares'!$C$2:$CA$223,77,0)</f>
        <v>1.0999999999999999E-2</v>
      </c>
      <c r="H112" s="86">
        <f>VLOOKUP($A112,'Data shares'!$C:$FA,90)</f>
        <v>8817375</v>
      </c>
      <c r="I112" s="86">
        <f>VLOOKUP($A112,'Data shares'!$C:$FA,92)</f>
        <v>64750</v>
      </c>
      <c r="J112" s="87">
        <f>VLOOKUP($A112,'Data shares'!$C:$FA,93)</f>
        <v>7.4000000000000003E-3</v>
      </c>
      <c r="K112" s="86">
        <f>VLOOKUP($A112,'Data shares'!$C:$FA,94)</f>
        <v>6139000</v>
      </c>
      <c r="L112" s="86">
        <f>VLOOKUP($A112,'Data shares'!$C:$FA,96)</f>
        <v>282625</v>
      </c>
      <c r="M112" s="87">
        <f>VLOOKUP($A112,'Data shares'!$C:$FA,97)</f>
        <v>4.8300000000000003E-2</v>
      </c>
      <c r="N112" s="86">
        <f>VLOOKUP($A112,'Data shares'!$C:$FA,78)</f>
        <v>13724375</v>
      </c>
      <c r="O112" s="87">
        <f>VLOOKUP($A112,'Data shares'!$C:$FA,81)</f>
        <v>-9.1000000000000004E-3</v>
      </c>
    </row>
    <row r="113" spans="1:15" x14ac:dyDescent="0.25">
      <c r="A113" s="100" t="str">
        <f>'OI(Value)'!A113</f>
        <v>IREDA</v>
      </c>
      <c r="B113" s="82">
        <f>VLOOKUP(A113,'Data shares'!$C$2:$CV$223,98,0)</f>
        <v>69244950</v>
      </c>
      <c r="C113" s="82">
        <f>VLOOKUP(A113,'Data shares'!$C$2:$CX$223,100,0)</f>
        <v>990150</v>
      </c>
      <c r="D113" s="141">
        <f>VLOOKUP(A113,'Data shares'!$C$2:$CY$546,101,0)</f>
        <v>1.4500000000000001E-2</v>
      </c>
      <c r="E113" s="86">
        <f>VLOOKUP($A113,'Data shares'!$C:$FA,74)</f>
        <v>38602050</v>
      </c>
      <c r="F113" s="86">
        <f>VLOOKUP($A113,'Data shares'!$C:$FA,76)</f>
        <v>986700</v>
      </c>
      <c r="G113" s="87">
        <f>VLOOKUP(A113,'Data shares'!$C$2:$CA$223,77,0)</f>
        <v>2.6200000000000001E-2</v>
      </c>
      <c r="H113" s="86">
        <f>VLOOKUP($A113,'Data shares'!$C:$FA,90)</f>
        <v>19385550</v>
      </c>
      <c r="I113" s="86">
        <f>VLOOKUP($A113,'Data shares'!$C:$FA,92)</f>
        <v>148350</v>
      </c>
      <c r="J113" s="87">
        <f>VLOOKUP($A113,'Data shares'!$C:$FA,93)</f>
        <v>7.7000000000000002E-3</v>
      </c>
      <c r="K113" s="86">
        <f>VLOOKUP($A113,'Data shares'!$C:$FA,94)</f>
        <v>11257350</v>
      </c>
      <c r="L113" s="86">
        <f>VLOOKUP($A113,'Data shares'!$C:$FA,96)</f>
        <v>-144900</v>
      </c>
      <c r="M113" s="87">
        <f>VLOOKUP($A113,'Data shares'!$C:$FA,97)</f>
        <v>-1.2699999999999999E-2</v>
      </c>
      <c r="N113" s="86">
        <f>VLOOKUP($A113,'Data shares'!$C:$FA,78)</f>
        <v>31012050</v>
      </c>
      <c r="O113" s="87">
        <f>VLOOKUP($A113,'Data shares'!$C:$FA,81)</f>
        <v>-5.1000000000000004E-3</v>
      </c>
    </row>
    <row r="114" spans="1:15" x14ac:dyDescent="0.25">
      <c r="A114" s="100" t="str">
        <f>'OI(Value)'!A114</f>
        <v>IRFC</v>
      </c>
      <c r="B114" s="82">
        <f>VLOOKUP(A114,'Data shares'!$C$2:$CV$223,98,0)</f>
        <v>98251500</v>
      </c>
      <c r="C114" s="82">
        <f>VLOOKUP(A114,'Data shares'!$C$2:$CX$223,100,0)</f>
        <v>2426750</v>
      </c>
      <c r="D114" s="141">
        <f>VLOOKUP(A114,'Data shares'!$C$2:$CY$546,101,0)</f>
        <v>2.53E-2</v>
      </c>
      <c r="E114" s="86">
        <f>VLOOKUP($A114,'Data shares'!$C:$FA,74)</f>
        <v>45938250</v>
      </c>
      <c r="F114" s="86">
        <f>VLOOKUP($A114,'Data shares'!$C:$FA,76)</f>
        <v>1224000</v>
      </c>
      <c r="G114" s="87">
        <f>VLOOKUP(A114,'Data shares'!$C$2:$CA$223,77,0)</f>
        <v>2.7400000000000001E-2</v>
      </c>
      <c r="H114" s="86">
        <f>VLOOKUP($A114,'Data shares'!$C:$FA,90)</f>
        <v>36465000</v>
      </c>
      <c r="I114" s="86">
        <f>VLOOKUP($A114,'Data shares'!$C:$FA,92)</f>
        <v>680000</v>
      </c>
      <c r="J114" s="87">
        <f>VLOOKUP($A114,'Data shares'!$C:$FA,93)</f>
        <v>1.9E-2</v>
      </c>
      <c r="K114" s="86">
        <f>VLOOKUP($A114,'Data shares'!$C:$FA,94)</f>
        <v>15848250</v>
      </c>
      <c r="L114" s="86">
        <f>VLOOKUP($A114,'Data shares'!$C:$FA,96)</f>
        <v>522750</v>
      </c>
      <c r="M114" s="87">
        <f>VLOOKUP($A114,'Data shares'!$C:$FA,97)</f>
        <v>3.4099999999999998E-2</v>
      </c>
      <c r="N114" s="86">
        <f>VLOOKUP($A114,'Data shares'!$C:$FA,78)</f>
        <v>37871750</v>
      </c>
      <c r="O114" s="87">
        <f>VLOOKUP($A114,'Data shares'!$C:$FA,81)</f>
        <v>-2.5000000000000001E-3</v>
      </c>
    </row>
    <row r="115" spans="1:15" x14ac:dyDescent="0.25">
      <c r="A115" s="100" t="str">
        <f>'OI(Value)'!A115</f>
        <v>ITC</v>
      </c>
      <c r="B115" s="82">
        <f>VLOOKUP(A115,'Data shares'!$C$2:$CV$223,98,0)</f>
        <v>198811200</v>
      </c>
      <c r="C115" s="82">
        <f>VLOOKUP(A115,'Data shares'!$C$2:$CX$223,100,0)</f>
        <v>9723200</v>
      </c>
      <c r="D115" s="141">
        <f>VLOOKUP(A115,'Data shares'!$C$2:$CY$546,101,0)</f>
        <v>5.1400000000000001E-2</v>
      </c>
      <c r="E115" s="86">
        <f>VLOOKUP($A115,'Data shares'!$C:$FA,74)</f>
        <v>106606400</v>
      </c>
      <c r="F115" s="86">
        <f>VLOOKUP($A115,'Data shares'!$C:$FA,76)</f>
        <v>6696000</v>
      </c>
      <c r="G115" s="87">
        <f>VLOOKUP(A115,'Data shares'!$C$2:$CA$223,77,0)</f>
        <v>6.7000000000000004E-2</v>
      </c>
      <c r="H115" s="86">
        <f>VLOOKUP($A115,'Data shares'!$C:$FA,90)</f>
        <v>60032000</v>
      </c>
      <c r="I115" s="86">
        <f>VLOOKUP($A115,'Data shares'!$C:$FA,92)</f>
        <v>1587200</v>
      </c>
      <c r="J115" s="87">
        <f>VLOOKUP($A115,'Data shares'!$C:$FA,93)</f>
        <v>2.7199999999999998E-2</v>
      </c>
      <c r="K115" s="86">
        <f>VLOOKUP($A115,'Data shares'!$C:$FA,94)</f>
        <v>32172800</v>
      </c>
      <c r="L115" s="86">
        <f>VLOOKUP($A115,'Data shares'!$C:$FA,96)</f>
        <v>1440000</v>
      </c>
      <c r="M115" s="87">
        <f>VLOOKUP($A115,'Data shares'!$C:$FA,97)</f>
        <v>4.6899999999999997E-2</v>
      </c>
      <c r="N115" s="86">
        <f>VLOOKUP($A115,'Data shares'!$C:$FA,78)</f>
        <v>89446400</v>
      </c>
      <c r="O115" s="87">
        <f>VLOOKUP($A115,'Data shares'!$C:$FA,81)</f>
        <v>2.35E-2</v>
      </c>
    </row>
    <row r="116" spans="1:15" x14ac:dyDescent="0.25">
      <c r="A116" s="100" t="str">
        <f>'OI(Value)'!A116</f>
        <v>JINDALSTEL</v>
      </c>
      <c r="B116" s="82">
        <f>VLOOKUP(A116,'Data shares'!$C$2:$CV$223,98,0)</f>
        <v>21676250</v>
      </c>
      <c r="C116" s="82">
        <f>VLOOKUP(A116,'Data shares'!$C$2:$CX$223,100,0)</f>
        <v>-34375</v>
      </c>
      <c r="D116" s="141">
        <f>VLOOKUP(A116,'Data shares'!$C$2:$CY$546,101,0)</f>
        <v>-1.6000000000000001E-3</v>
      </c>
      <c r="E116" s="86">
        <f>VLOOKUP($A116,'Data shares'!$C:$FA,74)</f>
        <v>13615625</v>
      </c>
      <c r="F116" s="86">
        <f>VLOOKUP($A116,'Data shares'!$C:$FA,76)</f>
        <v>288750</v>
      </c>
      <c r="G116" s="87">
        <f>VLOOKUP(A116,'Data shares'!$C$2:$CA$223,77,0)</f>
        <v>2.1700000000000001E-2</v>
      </c>
      <c r="H116" s="86">
        <f>VLOOKUP($A116,'Data shares'!$C:$FA,90)</f>
        <v>4409375</v>
      </c>
      <c r="I116" s="86">
        <f>VLOOKUP($A116,'Data shares'!$C:$FA,92)</f>
        <v>-276250</v>
      </c>
      <c r="J116" s="87">
        <f>VLOOKUP($A116,'Data shares'!$C:$FA,93)</f>
        <v>-5.8999999999999997E-2</v>
      </c>
      <c r="K116" s="86">
        <f>VLOOKUP($A116,'Data shares'!$C:$FA,94)</f>
        <v>3651250</v>
      </c>
      <c r="L116" s="86">
        <f>VLOOKUP($A116,'Data shares'!$C:$FA,96)</f>
        <v>-46875</v>
      </c>
      <c r="M116" s="87">
        <f>VLOOKUP($A116,'Data shares'!$C:$FA,97)</f>
        <v>-1.2699999999999999E-2</v>
      </c>
      <c r="N116" s="86">
        <f>VLOOKUP($A116,'Data shares'!$C:$FA,78)</f>
        <v>11722500</v>
      </c>
      <c r="O116" s="87">
        <f>VLOOKUP($A116,'Data shares'!$C:$FA,81)</f>
        <v>-6.3100000000000003E-2</v>
      </c>
    </row>
    <row r="117" spans="1:15" x14ac:dyDescent="0.25">
      <c r="A117" s="100" t="str">
        <f>'OI(Value)'!A117</f>
        <v>JIOFIN</v>
      </c>
      <c r="B117" s="82">
        <f>VLOOKUP(A117,'Data shares'!$C$2:$CV$223,98,0)</f>
        <v>216785150</v>
      </c>
      <c r="C117" s="82">
        <f>VLOOKUP(A117,'Data shares'!$C$2:$CX$223,100,0)</f>
        <v>5019600</v>
      </c>
      <c r="D117" s="141">
        <f>VLOOKUP(A117,'Data shares'!$C$2:$CY$546,101,0)</f>
        <v>2.3699999999999999E-2</v>
      </c>
      <c r="E117" s="86">
        <f>VLOOKUP($A117,'Data shares'!$C:$FA,74)</f>
        <v>116003050</v>
      </c>
      <c r="F117" s="86">
        <f>VLOOKUP($A117,'Data shares'!$C:$FA,76)</f>
        <v>2397000</v>
      </c>
      <c r="G117" s="87">
        <f>VLOOKUP(A117,'Data shares'!$C$2:$CA$223,77,0)</f>
        <v>2.1100000000000001E-2</v>
      </c>
      <c r="H117" s="86">
        <f>VLOOKUP($A117,'Data shares'!$C:$FA,90)</f>
        <v>59191800</v>
      </c>
      <c r="I117" s="86">
        <f>VLOOKUP($A117,'Data shares'!$C:$FA,92)</f>
        <v>3616650</v>
      </c>
      <c r="J117" s="87">
        <f>VLOOKUP($A117,'Data shares'!$C:$FA,93)</f>
        <v>6.5100000000000005E-2</v>
      </c>
      <c r="K117" s="86">
        <f>VLOOKUP($A117,'Data shares'!$C:$FA,94)</f>
        <v>41590300</v>
      </c>
      <c r="L117" s="86">
        <f>VLOOKUP($A117,'Data shares'!$C:$FA,96)</f>
        <v>-994050</v>
      </c>
      <c r="M117" s="87">
        <f>VLOOKUP($A117,'Data shares'!$C:$FA,97)</f>
        <v>-2.3300000000000001E-2</v>
      </c>
      <c r="N117" s="86">
        <f>VLOOKUP($A117,'Data shares'!$C:$FA,78)</f>
        <v>99694050</v>
      </c>
      <c r="O117" s="87">
        <f>VLOOKUP($A117,'Data shares'!$C:$FA,81)</f>
        <v>-1.54E-2</v>
      </c>
    </row>
    <row r="118" spans="1:15" x14ac:dyDescent="0.25">
      <c r="A118" s="100" t="str">
        <f>'OI(Value)'!A118</f>
        <v>JSL</v>
      </c>
      <c r="B118" s="82">
        <f>VLOOKUP(A118,'Data shares'!$C$2:$CV$223,98,0)</f>
        <v>7463000</v>
      </c>
      <c r="C118" s="82">
        <f>VLOOKUP(A118,'Data shares'!$C$2:$CX$223,100,0)</f>
        <v>-149600</v>
      </c>
      <c r="D118" s="141">
        <f>VLOOKUP(A118,'Data shares'!$C$2:$CY$546,101,0)</f>
        <v>-1.9699999999999999E-2</v>
      </c>
      <c r="E118" s="86">
        <f>VLOOKUP($A118,'Data shares'!$C:$FA,74)</f>
        <v>3774000</v>
      </c>
      <c r="F118" s="86">
        <f>VLOOKUP($A118,'Data shares'!$C:$FA,76)</f>
        <v>-255000</v>
      </c>
      <c r="G118" s="87">
        <f>VLOOKUP(A118,'Data shares'!$C$2:$CA$223,77,0)</f>
        <v>-6.3299999999999995E-2</v>
      </c>
      <c r="H118" s="86">
        <f>VLOOKUP($A118,'Data shares'!$C:$FA,90)</f>
        <v>2065500</v>
      </c>
      <c r="I118" s="86">
        <f>VLOOKUP($A118,'Data shares'!$C:$FA,92)</f>
        <v>-70550</v>
      </c>
      <c r="J118" s="87">
        <f>VLOOKUP($A118,'Data shares'!$C:$FA,93)</f>
        <v>-3.3000000000000002E-2</v>
      </c>
      <c r="K118" s="86">
        <f>VLOOKUP($A118,'Data shares'!$C:$FA,94)</f>
        <v>1623500</v>
      </c>
      <c r="L118" s="86">
        <f>VLOOKUP($A118,'Data shares'!$C:$FA,96)</f>
        <v>175950</v>
      </c>
      <c r="M118" s="87">
        <f>VLOOKUP($A118,'Data shares'!$C:$FA,97)</f>
        <v>0.1216</v>
      </c>
      <c r="N118" s="86">
        <f>VLOOKUP($A118,'Data shares'!$C:$FA,78)</f>
        <v>3774000</v>
      </c>
      <c r="O118" s="87">
        <f>VLOOKUP($A118,'Data shares'!$C:$FA,81)</f>
        <v>-6.3299999999999995E-2</v>
      </c>
    </row>
    <row r="119" spans="1:15" x14ac:dyDescent="0.25">
      <c r="A119" s="100" t="str">
        <f>'OI(Value)'!A119</f>
        <v>JSWENERGY</v>
      </c>
      <c r="B119" s="82">
        <f>VLOOKUP(A119,'Data shares'!$C$2:$CV$223,98,0)</f>
        <v>50198000</v>
      </c>
      <c r="C119" s="82">
        <f>VLOOKUP(A119,'Data shares'!$C$2:$CX$223,100,0)</f>
        <v>1394000</v>
      </c>
      <c r="D119" s="141">
        <f>VLOOKUP(A119,'Data shares'!$C$2:$CY$546,101,0)</f>
        <v>2.86E-2</v>
      </c>
      <c r="E119" s="86">
        <f>VLOOKUP($A119,'Data shares'!$C:$FA,74)</f>
        <v>37067000</v>
      </c>
      <c r="F119" s="86">
        <f>VLOOKUP($A119,'Data shares'!$C:$FA,76)</f>
        <v>819000</v>
      </c>
      <c r="G119" s="87">
        <f>VLOOKUP(A119,'Data shares'!$C$2:$CA$223,77,0)</f>
        <v>2.2599999999999999E-2</v>
      </c>
      <c r="H119" s="86">
        <f>VLOOKUP($A119,'Data shares'!$C:$FA,90)</f>
        <v>8397000</v>
      </c>
      <c r="I119" s="86">
        <f>VLOOKUP($A119,'Data shares'!$C:$FA,92)</f>
        <v>372000</v>
      </c>
      <c r="J119" s="87">
        <f>VLOOKUP($A119,'Data shares'!$C:$FA,93)</f>
        <v>4.6399999999999997E-2</v>
      </c>
      <c r="K119" s="86">
        <f>VLOOKUP($A119,'Data shares'!$C:$FA,94)</f>
        <v>4734000</v>
      </c>
      <c r="L119" s="86">
        <f>VLOOKUP($A119,'Data shares'!$C:$FA,96)</f>
        <v>203000</v>
      </c>
      <c r="M119" s="87">
        <f>VLOOKUP($A119,'Data shares'!$C:$FA,97)</f>
        <v>4.48E-2</v>
      </c>
      <c r="N119" s="86">
        <f>VLOOKUP($A119,'Data shares'!$C:$FA,78)</f>
        <v>35622000</v>
      </c>
      <c r="O119" s="87">
        <f>VLOOKUP($A119,'Data shares'!$C:$FA,81)</f>
        <v>1.0200000000000001E-2</v>
      </c>
    </row>
    <row r="120" spans="1:15" x14ac:dyDescent="0.25">
      <c r="A120" s="100" t="str">
        <f>'OI(Value)'!A120</f>
        <v>JSWSTEEL</v>
      </c>
      <c r="B120" s="82">
        <f>VLOOKUP(A120,'Data shares'!$C$2:$CV$223,98,0)</f>
        <v>56536650</v>
      </c>
      <c r="C120" s="82">
        <f>VLOOKUP(A120,'Data shares'!$C$2:$CX$223,100,0)</f>
        <v>1353375</v>
      </c>
      <c r="D120" s="141">
        <f>VLOOKUP(A120,'Data shares'!$C$2:$CY$546,101,0)</f>
        <v>2.4500000000000001E-2</v>
      </c>
      <c r="E120" s="86">
        <f>VLOOKUP($A120,'Data shares'!$C:$FA,74)</f>
        <v>40999500</v>
      </c>
      <c r="F120" s="86">
        <f>VLOOKUP($A120,'Data shares'!$C:$FA,76)</f>
        <v>174150</v>
      </c>
      <c r="G120" s="87">
        <f>VLOOKUP(A120,'Data shares'!$C$2:$CA$223,77,0)</f>
        <v>4.3E-3</v>
      </c>
      <c r="H120" s="86">
        <f>VLOOKUP($A120,'Data shares'!$C:$FA,90)</f>
        <v>8768925</v>
      </c>
      <c r="I120" s="86">
        <f>VLOOKUP($A120,'Data shares'!$C:$FA,92)</f>
        <v>191025</v>
      </c>
      <c r="J120" s="87">
        <f>VLOOKUP($A120,'Data shares'!$C:$FA,93)</f>
        <v>2.23E-2</v>
      </c>
      <c r="K120" s="86">
        <f>VLOOKUP($A120,'Data shares'!$C:$FA,94)</f>
        <v>6768225</v>
      </c>
      <c r="L120" s="86">
        <f>VLOOKUP($A120,'Data shares'!$C:$FA,96)</f>
        <v>988200</v>
      </c>
      <c r="M120" s="87">
        <f>VLOOKUP($A120,'Data shares'!$C:$FA,97)</f>
        <v>0.17100000000000001</v>
      </c>
      <c r="N120" s="86">
        <f>VLOOKUP($A120,'Data shares'!$C:$FA,78)</f>
        <v>38751750</v>
      </c>
      <c r="O120" s="87">
        <f>VLOOKUP($A120,'Data shares'!$C:$FA,81)</f>
        <v>-9.1999999999999998E-3</v>
      </c>
    </row>
    <row r="121" spans="1:15" x14ac:dyDescent="0.25">
      <c r="A121" s="100" t="str">
        <f>'OI(Value)'!A121</f>
        <v>JUBLFOOD</v>
      </c>
      <c r="B121" s="82">
        <f>VLOOKUP(A121,'Data shares'!$C$2:$CV$223,98,0)</f>
        <v>37483750</v>
      </c>
      <c r="C121" s="82">
        <f>VLOOKUP(A121,'Data shares'!$C$2:$CX$223,100,0)</f>
        <v>52500</v>
      </c>
      <c r="D121" s="141">
        <f>VLOOKUP(A121,'Data shares'!$C$2:$CY$546,101,0)</f>
        <v>1.4E-3</v>
      </c>
      <c r="E121" s="86">
        <f>VLOOKUP($A121,'Data shares'!$C:$FA,74)</f>
        <v>25443750</v>
      </c>
      <c r="F121" s="86">
        <f>VLOOKUP($A121,'Data shares'!$C:$FA,76)</f>
        <v>107500</v>
      </c>
      <c r="G121" s="87">
        <f>VLOOKUP(A121,'Data shares'!$C$2:$CA$223,77,0)</f>
        <v>4.1999999999999997E-3</v>
      </c>
      <c r="H121" s="86">
        <f>VLOOKUP($A121,'Data shares'!$C:$FA,90)</f>
        <v>7905000</v>
      </c>
      <c r="I121" s="86">
        <f>VLOOKUP($A121,'Data shares'!$C:$FA,92)</f>
        <v>-92500</v>
      </c>
      <c r="J121" s="87">
        <f>VLOOKUP($A121,'Data shares'!$C:$FA,93)</f>
        <v>-1.1599999999999999E-2</v>
      </c>
      <c r="K121" s="86">
        <f>VLOOKUP($A121,'Data shares'!$C:$FA,94)</f>
        <v>4135000</v>
      </c>
      <c r="L121" s="86">
        <f>VLOOKUP($A121,'Data shares'!$C:$FA,96)</f>
        <v>37500</v>
      </c>
      <c r="M121" s="87">
        <f>VLOOKUP($A121,'Data shares'!$C:$FA,97)</f>
        <v>9.1999999999999998E-3</v>
      </c>
      <c r="N121" s="86">
        <f>VLOOKUP($A121,'Data shares'!$C:$FA,78)</f>
        <v>24605000</v>
      </c>
      <c r="O121" s="87">
        <f>VLOOKUP($A121,'Data shares'!$C:$FA,81)</f>
        <v>-1E-3</v>
      </c>
    </row>
    <row r="122" spans="1:15" x14ac:dyDescent="0.25">
      <c r="A122" s="100" t="str">
        <f>'OI(Value)'!A122</f>
        <v>KALYANKJIL</v>
      </c>
      <c r="B122" s="82">
        <f>VLOOKUP(A122,'Data shares'!$C$2:$CV$223,98,0)</f>
        <v>72647900</v>
      </c>
      <c r="C122" s="82">
        <f>VLOOKUP(A122,'Data shares'!$C$2:$CX$223,100,0)</f>
        <v>2213700</v>
      </c>
      <c r="D122" s="141">
        <f>VLOOKUP(A122,'Data shares'!$C$2:$CY$546,101,0)</f>
        <v>3.1399999999999997E-2</v>
      </c>
      <c r="E122" s="86">
        <f>VLOOKUP($A122,'Data shares'!$C:$FA,74)</f>
        <v>33001050</v>
      </c>
      <c r="F122" s="86">
        <f>VLOOKUP($A122,'Data shares'!$C:$FA,76)</f>
        <v>1240800</v>
      </c>
      <c r="G122" s="87">
        <f>VLOOKUP(A122,'Data shares'!$C$2:$CA$223,77,0)</f>
        <v>3.9100000000000003E-2</v>
      </c>
      <c r="H122" s="86">
        <f>VLOOKUP($A122,'Data shares'!$C:$FA,90)</f>
        <v>29474875</v>
      </c>
      <c r="I122" s="86">
        <f>VLOOKUP($A122,'Data shares'!$C:$FA,92)</f>
        <v>439450</v>
      </c>
      <c r="J122" s="87">
        <f>VLOOKUP($A122,'Data shares'!$C:$FA,93)</f>
        <v>1.5100000000000001E-2</v>
      </c>
      <c r="K122" s="86">
        <f>VLOOKUP($A122,'Data shares'!$C:$FA,94)</f>
        <v>10171975</v>
      </c>
      <c r="L122" s="86">
        <f>VLOOKUP($A122,'Data shares'!$C:$FA,96)</f>
        <v>533450</v>
      </c>
      <c r="M122" s="87">
        <f>VLOOKUP($A122,'Data shares'!$C:$FA,97)</f>
        <v>5.5300000000000002E-2</v>
      </c>
      <c r="N122" s="86">
        <f>VLOOKUP($A122,'Data shares'!$C:$FA,78)</f>
        <v>20883275</v>
      </c>
      <c r="O122" s="87">
        <f>VLOOKUP($A122,'Data shares'!$C:$FA,81)</f>
        <v>-0.22539999999999999</v>
      </c>
    </row>
    <row r="123" spans="1:15" x14ac:dyDescent="0.25">
      <c r="A123" s="100" t="str">
        <f>'OI(Value)'!A123</f>
        <v>KAYNES</v>
      </c>
      <c r="B123" s="82">
        <f>VLOOKUP(A123,'Data shares'!$C$2:$CV$223,98,0)</f>
        <v>2407900</v>
      </c>
      <c r="C123" s="82">
        <f>VLOOKUP(A123,'Data shares'!$C$2:$CX$223,100,0)</f>
        <v>86400</v>
      </c>
      <c r="D123" s="141">
        <f>VLOOKUP(A123,'Data shares'!$C$2:$CY$546,101,0)</f>
        <v>3.7199999999999997E-2</v>
      </c>
      <c r="E123" s="86">
        <f>VLOOKUP($A123,'Data shares'!$C:$FA,74)</f>
        <v>830100</v>
      </c>
      <c r="F123" s="86">
        <f>VLOOKUP($A123,'Data shares'!$C:$FA,76)</f>
        <v>10700</v>
      </c>
      <c r="G123" s="87">
        <f>VLOOKUP(A123,'Data shares'!$C$2:$CA$223,77,0)</f>
        <v>1.3100000000000001E-2</v>
      </c>
      <c r="H123" s="86">
        <f>VLOOKUP($A123,'Data shares'!$C:$FA,90)</f>
        <v>967100</v>
      </c>
      <c r="I123" s="86">
        <f>VLOOKUP($A123,'Data shares'!$C:$FA,92)</f>
        <v>72700</v>
      </c>
      <c r="J123" s="87">
        <f>VLOOKUP($A123,'Data shares'!$C:$FA,93)</f>
        <v>8.1299999999999997E-2</v>
      </c>
      <c r="K123" s="86">
        <f>VLOOKUP($A123,'Data shares'!$C:$FA,94)</f>
        <v>610700</v>
      </c>
      <c r="L123" s="86">
        <f>VLOOKUP($A123,'Data shares'!$C:$FA,96)</f>
        <v>3000</v>
      </c>
      <c r="M123" s="87">
        <f>VLOOKUP($A123,'Data shares'!$C:$FA,97)</f>
        <v>4.8999999999999998E-3</v>
      </c>
      <c r="N123" s="86">
        <f>VLOOKUP($A123,'Data shares'!$C:$FA,78)</f>
        <v>772000</v>
      </c>
      <c r="O123" s="87">
        <f>VLOOKUP($A123,'Data shares'!$C:$FA,81)</f>
        <v>0</v>
      </c>
    </row>
    <row r="124" spans="1:15" x14ac:dyDescent="0.25">
      <c r="A124" s="100" t="str">
        <f>'OI(Value)'!A124</f>
        <v>KEI</v>
      </c>
      <c r="B124" s="82">
        <f>VLOOKUP(A124,'Data shares'!$C$2:$CV$223,98,0)</f>
        <v>2041200</v>
      </c>
      <c r="C124" s="82">
        <f>VLOOKUP(A124,'Data shares'!$C$2:$CX$223,100,0)</f>
        <v>124075</v>
      </c>
      <c r="D124" s="141">
        <f>VLOOKUP(A124,'Data shares'!$C$2:$CY$546,101,0)</f>
        <v>6.4699999999999994E-2</v>
      </c>
      <c r="E124" s="86">
        <f>VLOOKUP($A124,'Data shares'!$C:$FA,74)</f>
        <v>1170575</v>
      </c>
      <c r="F124" s="86">
        <f>VLOOKUP($A124,'Data shares'!$C:$FA,76)</f>
        <v>-17675</v>
      </c>
      <c r="G124" s="87">
        <f>VLOOKUP(A124,'Data shares'!$C$2:$CA$223,77,0)</f>
        <v>-1.49E-2</v>
      </c>
      <c r="H124" s="86">
        <f>VLOOKUP($A124,'Data shares'!$C:$FA,90)</f>
        <v>507325</v>
      </c>
      <c r="I124" s="86">
        <f>VLOOKUP($A124,'Data shares'!$C:$FA,92)</f>
        <v>144200</v>
      </c>
      <c r="J124" s="87">
        <f>VLOOKUP($A124,'Data shares'!$C:$FA,93)</f>
        <v>0.39710000000000001</v>
      </c>
      <c r="K124" s="86">
        <f>VLOOKUP($A124,'Data shares'!$C:$FA,94)</f>
        <v>363300</v>
      </c>
      <c r="L124" s="86">
        <f>VLOOKUP($A124,'Data shares'!$C:$FA,96)</f>
        <v>-2450</v>
      </c>
      <c r="M124" s="87">
        <f>VLOOKUP($A124,'Data shares'!$C:$FA,97)</f>
        <v>-6.7000000000000002E-3</v>
      </c>
      <c r="N124" s="86">
        <f>VLOOKUP($A124,'Data shares'!$C:$FA,78)</f>
        <v>1134175</v>
      </c>
      <c r="O124" s="87">
        <f>VLOOKUP($A124,'Data shares'!$C:$FA,81)</f>
        <v>-2.01E-2</v>
      </c>
    </row>
    <row r="125" spans="1:15" x14ac:dyDescent="0.25">
      <c r="A125" s="100" t="str">
        <f>'OI(Value)'!A125</f>
        <v>KFINTECH</v>
      </c>
      <c r="B125" s="82">
        <f>VLOOKUP(A125,'Data shares'!$C$2:$CV$223,98,0)</f>
        <v>3725100</v>
      </c>
      <c r="C125" s="82">
        <f>VLOOKUP(A125,'Data shares'!$C$2:$CX$223,100,0)</f>
        <v>195750</v>
      </c>
      <c r="D125" s="141">
        <f>VLOOKUP(A125,'Data shares'!$C$2:$CY$546,101,0)</f>
        <v>5.5500000000000001E-2</v>
      </c>
      <c r="E125" s="86">
        <f>VLOOKUP($A125,'Data shares'!$C:$FA,74)</f>
        <v>2164500</v>
      </c>
      <c r="F125" s="86">
        <f>VLOOKUP($A125,'Data shares'!$C:$FA,76)</f>
        <v>56250</v>
      </c>
      <c r="G125" s="87">
        <f>VLOOKUP(A125,'Data shares'!$C$2:$CA$223,77,0)</f>
        <v>2.6700000000000002E-2</v>
      </c>
      <c r="H125" s="86">
        <f>VLOOKUP($A125,'Data shares'!$C:$FA,90)</f>
        <v>1063350</v>
      </c>
      <c r="I125" s="86">
        <f>VLOOKUP($A125,'Data shares'!$C:$FA,92)</f>
        <v>155250</v>
      </c>
      <c r="J125" s="87">
        <f>VLOOKUP($A125,'Data shares'!$C:$FA,93)</f>
        <v>0.17100000000000001</v>
      </c>
      <c r="K125" s="86">
        <f>VLOOKUP($A125,'Data shares'!$C:$FA,94)</f>
        <v>497250</v>
      </c>
      <c r="L125" s="86">
        <f>VLOOKUP($A125,'Data shares'!$C:$FA,96)</f>
        <v>-15750</v>
      </c>
      <c r="M125" s="87">
        <f>VLOOKUP($A125,'Data shares'!$C:$FA,97)</f>
        <v>-3.0700000000000002E-2</v>
      </c>
      <c r="N125" s="86">
        <f>VLOOKUP($A125,'Data shares'!$C:$FA,78)</f>
        <v>2008350</v>
      </c>
      <c r="O125" s="87">
        <f>VLOOKUP($A125,'Data shares'!$C:$FA,81)</f>
        <v>1.43E-2</v>
      </c>
    </row>
    <row r="126" spans="1:15" x14ac:dyDescent="0.25">
      <c r="A126" s="100" t="str">
        <f>'OI(Value)'!A126</f>
        <v>KOTAKBANK</v>
      </c>
      <c r="B126" s="82">
        <f>VLOOKUP(A126,'Data shares'!$C$2:$CV$223,98,0)</f>
        <v>47134400</v>
      </c>
      <c r="C126" s="82">
        <f>VLOOKUP(A126,'Data shares'!$C$2:$CX$223,100,0)</f>
        <v>-53200</v>
      </c>
      <c r="D126" s="141">
        <f>VLOOKUP(A126,'Data shares'!$C$2:$CY$546,101,0)</f>
        <v>-1.1000000000000001E-3</v>
      </c>
      <c r="E126" s="86">
        <f>VLOOKUP($A126,'Data shares'!$C:$FA,74)</f>
        <v>33848800</v>
      </c>
      <c r="F126" s="86">
        <f>VLOOKUP($A126,'Data shares'!$C:$FA,76)</f>
        <v>44000</v>
      </c>
      <c r="G126" s="87">
        <f>VLOOKUP(A126,'Data shares'!$C$2:$CA$223,77,0)</f>
        <v>1.2999999999999999E-3</v>
      </c>
      <c r="H126" s="86">
        <f>VLOOKUP($A126,'Data shares'!$C:$FA,90)</f>
        <v>7740400</v>
      </c>
      <c r="I126" s="86">
        <f>VLOOKUP($A126,'Data shares'!$C:$FA,92)</f>
        <v>62400</v>
      </c>
      <c r="J126" s="87">
        <f>VLOOKUP($A126,'Data shares'!$C:$FA,93)</f>
        <v>8.0999999999999996E-3</v>
      </c>
      <c r="K126" s="86">
        <f>VLOOKUP($A126,'Data shares'!$C:$FA,94)</f>
        <v>5545200</v>
      </c>
      <c r="L126" s="86">
        <f>VLOOKUP($A126,'Data shares'!$C:$FA,96)</f>
        <v>-159600</v>
      </c>
      <c r="M126" s="87">
        <f>VLOOKUP($A126,'Data shares'!$C:$FA,97)</f>
        <v>-2.8000000000000001E-2</v>
      </c>
      <c r="N126" s="86">
        <f>VLOOKUP($A126,'Data shares'!$C:$FA,78)</f>
        <v>30062800</v>
      </c>
      <c r="O126" s="87">
        <f>VLOOKUP($A126,'Data shares'!$C:$FA,81)</f>
        <v>-2.5100000000000001E-2</v>
      </c>
    </row>
    <row r="127" spans="1:15" x14ac:dyDescent="0.25">
      <c r="A127" s="100" t="str">
        <f>'OI(Value)'!A127</f>
        <v>KPITTECH</v>
      </c>
      <c r="B127" s="82">
        <f>VLOOKUP(A127,'Data shares'!$C$2:$CV$223,98,0)</f>
        <v>9710000</v>
      </c>
      <c r="C127" s="82">
        <f>VLOOKUP(A127,'Data shares'!$C$2:$CX$223,100,0)</f>
        <v>86800</v>
      </c>
      <c r="D127" s="141">
        <f>VLOOKUP(A127,'Data shares'!$C$2:$CY$546,101,0)</f>
        <v>8.9999999999999993E-3</v>
      </c>
      <c r="E127" s="86">
        <f>VLOOKUP($A127,'Data shares'!$C:$FA,74)</f>
        <v>4353200</v>
      </c>
      <c r="F127" s="86">
        <f>VLOOKUP($A127,'Data shares'!$C:$FA,76)</f>
        <v>-18400</v>
      </c>
      <c r="G127" s="87">
        <f>VLOOKUP(A127,'Data shares'!$C$2:$CA$223,77,0)</f>
        <v>-4.1999999999999997E-3</v>
      </c>
      <c r="H127" s="86">
        <f>VLOOKUP($A127,'Data shares'!$C:$FA,90)</f>
        <v>2887600</v>
      </c>
      <c r="I127" s="86">
        <f>VLOOKUP($A127,'Data shares'!$C:$FA,92)</f>
        <v>36400</v>
      </c>
      <c r="J127" s="87">
        <f>VLOOKUP($A127,'Data shares'!$C:$FA,93)</f>
        <v>1.2800000000000001E-2</v>
      </c>
      <c r="K127" s="86">
        <f>VLOOKUP($A127,'Data shares'!$C:$FA,94)</f>
        <v>2469200</v>
      </c>
      <c r="L127" s="86">
        <f>VLOOKUP($A127,'Data shares'!$C:$FA,96)</f>
        <v>68800</v>
      </c>
      <c r="M127" s="87">
        <f>VLOOKUP($A127,'Data shares'!$C:$FA,97)</f>
        <v>2.87E-2</v>
      </c>
      <c r="N127" s="86">
        <f>VLOOKUP($A127,'Data shares'!$C:$FA,78)</f>
        <v>3774400</v>
      </c>
      <c r="O127" s="87">
        <f>VLOOKUP($A127,'Data shares'!$C:$FA,81)</f>
        <v>-3.5999999999999997E-2</v>
      </c>
    </row>
    <row r="128" spans="1:15" x14ac:dyDescent="0.25">
      <c r="A128" s="100" t="str">
        <f>'OI(Value)'!A128</f>
        <v>LAURUSLABS</v>
      </c>
      <c r="B128" s="82">
        <f>VLOOKUP(A128,'Data shares'!$C$2:$CV$223,98,0)</f>
        <v>39827600</v>
      </c>
      <c r="C128" s="82">
        <f>VLOOKUP(A128,'Data shares'!$C$2:$CX$223,100,0)</f>
        <v>804100</v>
      </c>
      <c r="D128" s="141">
        <f>VLOOKUP(A128,'Data shares'!$C$2:$CY$546,101,0)</f>
        <v>2.06E-2</v>
      </c>
      <c r="E128" s="86">
        <f>VLOOKUP($A128,'Data shares'!$C:$FA,74)</f>
        <v>14968500</v>
      </c>
      <c r="F128" s="86">
        <f>VLOOKUP($A128,'Data shares'!$C:$FA,76)</f>
        <v>260100</v>
      </c>
      <c r="G128" s="87">
        <f>VLOOKUP(A128,'Data shares'!$C$2:$CA$223,77,0)</f>
        <v>1.77E-2</v>
      </c>
      <c r="H128" s="86">
        <f>VLOOKUP($A128,'Data shares'!$C:$FA,90)</f>
        <v>15289800</v>
      </c>
      <c r="I128" s="86">
        <f>VLOOKUP($A128,'Data shares'!$C:$FA,92)</f>
        <v>691900</v>
      </c>
      <c r="J128" s="87">
        <f>VLOOKUP($A128,'Data shares'!$C:$FA,93)</f>
        <v>4.7399999999999998E-2</v>
      </c>
      <c r="K128" s="86">
        <f>VLOOKUP($A128,'Data shares'!$C:$FA,94)</f>
        <v>9569300</v>
      </c>
      <c r="L128" s="86">
        <f>VLOOKUP($A128,'Data shares'!$C:$FA,96)</f>
        <v>-147900</v>
      </c>
      <c r="M128" s="87">
        <f>VLOOKUP($A128,'Data shares'!$C:$FA,97)</f>
        <v>-1.52E-2</v>
      </c>
      <c r="N128" s="86">
        <f>VLOOKUP($A128,'Data shares'!$C:$FA,78)</f>
        <v>13328000</v>
      </c>
      <c r="O128" s="87">
        <f>VLOOKUP($A128,'Data shares'!$C:$FA,81)</f>
        <v>3.2000000000000002E-3</v>
      </c>
    </row>
    <row r="129" spans="1:15" x14ac:dyDescent="0.25">
      <c r="A129" s="100" t="str">
        <f>'OI(Value)'!A129</f>
        <v>LICHSGFIN</v>
      </c>
      <c r="B129" s="82">
        <f>VLOOKUP(A129,'Data shares'!$C$2:$CV$223,98,0)</f>
        <v>51902000</v>
      </c>
      <c r="C129" s="82">
        <f>VLOOKUP(A129,'Data shares'!$C$2:$CX$223,100,0)</f>
        <v>-1615000</v>
      </c>
      <c r="D129" s="141">
        <f>VLOOKUP(A129,'Data shares'!$C$2:$CY$546,101,0)</f>
        <v>-3.0200000000000001E-2</v>
      </c>
      <c r="E129" s="86">
        <f>VLOOKUP($A129,'Data shares'!$C:$FA,74)</f>
        <v>31864000</v>
      </c>
      <c r="F129" s="86">
        <f>VLOOKUP($A129,'Data shares'!$C:$FA,76)</f>
        <v>-1451000</v>
      </c>
      <c r="G129" s="87">
        <f>VLOOKUP(A129,'Data shares'!$C$2:$CA$223,77,0)</f>
        <v>-4.36E-2</v>
      </c>
      <c r="H129" s="86">
        <f>VLOOKUP($A129,'Data shares'!$C:$FA,90)</f>
        <v>12132000</v>
      </c>
      <c r="I129" s="86">
        <f>VLOOKUP($A129,'Data shares'!$C:$FA,92)</f>
        <v>-4000</v>
      </c>
      <c r="J129" s="87">
        <f>VLOOKUP($A129,'Data shares'!$C:$FA,93)</f>
        <v>-2.9999999999999997E-4</v>
      </c>
      <c r="K129" s="86">
        <f>VLOOKUP($A129,'Data shares'!$C:$FA,94)</f>
        <v>7906000</v>
      </c>
      <c r="L129" s="86">
        <f>VLOOKUP($A129,'Data shares'!$C:$FA,96)</f>
        <v>-160000</v>
      </c>
      <c r="M129" s="87">
        <f>VLOOKUP($A129,'Data shares'!$C:$FA,97)</f>
        <v>-1.9800000000000002E-2</v>
      </c>
      <c r="N129" s="86">
        <f>VLOOKUP($A129,'Data shares'!$C:$FA,78)</f>
        <v>23045000</v>
      </c>
      <c r="O129" s="87">
        <f>VLOOKUP($A129,'Data shares'!$C:$FA,81)</f>
        <v>-6.6699999999999995E-2</v>
      </c>
    </row>
    <row r="130" spans="1:15" x14ac:dyDescent="0.25">
      <c r="A130" s="100" t="str">
        <f>'OI(Value)'!A130</f>
        <v>LICI</v>
      </c>
      <c r="B130" s="82">
        <f>VLOOKUP(A130,'Data shares'!$C$2:$CV$223,98,0)</f>
        <v>16210600</v>
      </c>
      <c r="C130" s="82">
        <f>VLOOKUP(A130,'Data shares'!$C$2:$CX$223,100,0)</f>
        <v>148400</v>
      </c>
      <c r="D130" s="141">
        <f>VLOOKUP(A130,'Data shares'!$C$2:$CY$546,101,0)</f>
        <v>9.1999999999999998E-3</v>
      </c>
      <c r="E130" s="86">
        <f>VLOOKUP($A130,'Data shares'!$C:$FA,74)</f>
        <v>8148700</v>
      </c>
      <c r="F130" s="86">
        <f>VLOOKUP($A130,'Data shares'!$C:$FA,76)</f>
        <v>219100</v>
      </c>
      <c r="G130" s="87">
        <f>VLOOKUP(A130,'Data shares'!$C$2:$CA$223,77,0)</f>
        <v>2.76E-2</v>
      </c>
      <c r="H130" s="86">
        <f>VLOOKUP($A130,'Data shares'!$C:$FA,90)</f>
        <v>5122600</v>
      </c>
      <c r="I130" s="86">
        <f>VLOOKUP($A130,'Data shares'!$C:$FA,92)</f>
        <v>-134400</v>
      </c>
      <c r="J130" s="87">
        <f>VLOOKUP($A130,'Data shares'!$C:$FA,93)</f>
        <v>-2.5600000000000001E-2</v>
      </c>
      <c r="K130" s="86">
        <f>VLOOKUP($A130,'Data shares'!$C:$FA,94)</f>
        <v>2939300</v>
      </c>
      <c r="L130" s="86">
        <f>VLOOKUP($A130,'Data shares'!$C:$FA,96)</f>
        <v>63700</v>
      </c>
      <c r="M130" s="87">
        <f>VLOOKUP($A130,'Data shares'!$C:$FA,97)</f>
        <v>2.2200000000000001E-2</v>
      </c>
      <c r="N130" s="86">
        <f>VLOOKUP($A130,'Data shares'!$C:$FA,78)</f>
        <v>7035700</v>
      </c>
      <c r="O130" s="87">
        <f>VLOOKUP($A130,'Data shares'!$C:$FA,81)</f>
        <v>1.95E-2</v>
      </c>
    </row>
    <row r="131" spans="1:15" x14ac:dyDescent="0.25">
      <c r="A131" s="100" t="str">
        <f>'OI(Value)'!A131</f>
        <v>LODHA</v>
      </c>
      <c r="B131" s="82">
        <f>VLOOKUP(A131,'Data shares'!$C$2:$CV$223,98,0)</f>
        <v>12225150</v>
      </c>
      <c r="C131" s="82">
        <f>VLOOKUP(A131,'Data shares'!$C$2:$CX$223,100,0)</f>
        <v>28350</v>
      </c>
      <c r="D131" s="141">
        <f>VLOOKUP(A131,'Data shares'!$C$2:$CY$546,101,0)</f>
        <v>2.3E-3</v>
      </c>
      <c r="E131" s="86">
        <f>VLOOKUP($A131,'Data shares'!$C:$FA,74)</f>
        <v>9057150</v>
      </c>
      <c r="F131" s="86">
        <f>VLOOKUP($A131,'Data shares'!$C:$FA,76)</f>
        <v>83250</v>
      </c>
      <c r="G131" s="87">
        <f>VLOOKUP(A131,'Data shares'!$C$2:$CA$223,77,0)</f>
        <v>9.2999999999999992E-3</v>
      </c>
      <c r="H131" s="86">
        <f>VLOOKUP($A131,'Data shares'!$C:$FA,90)</f>
        <v>1926000</v>
      </c>
      <c r="I131" s="86">
        <f>VLOOKUP($A131,'Data shares'!$C:$FA,92)</f>
        <v>-183150</v>
      </c>
      <c r="J131" s="87">
        <f>VLOOKUP($A131,'Data shares'!$C:$FA,93)</f>
        <v>-8.6800000000000002E-2</v>
      </c>
      <c r="K131" s="86">
        <f>VLOOKUP($A131,'Data shares'!$C:$FA,94)</f>
        <v>1242000</v>
      </c>
      <c r="L131" s="86">
        <f>VLOOKUP($A131,'Data shares'!$C:$FA,96)</f>
        <v>128250</v>
      </c>
      <c r="M131" s="87">
        <f>VLOOKUP($A131,'Data shares'!$C:$FA,97)</f>
        <v>0.1152</v>
      </c>
      <c r="N131" s="86">
        <f>VLOOKUP($A131,'Data shares'!$C:$FA,78)</f>
        <v>8466750</v>
      </c>
      <c r="O131" s="87">
        <f>VLOOKUP($A131,'Data shares'!$C:$FA,81)</f>
        <v>-1.46E-2</v>
      </c>
    </row>
    <row r="132" spans="1:15" x14ac:dyDescent="0.25">
      <c r="A132" s="100" t="str">
        <f>'OI(Value)'!A132</f>
        <v>LT</v>
      </c>
      <c r="B132" s="82">
        <f>VLOOKUP(A132,'Data shares'!$C$2:$CV$223,98,0)</f>
        <v>24609725</v>
      </c>
      <c r="C132" s="82">
        <f>VLOOKUP(A132,'Data shares'!$C$2:$CX$223,100,0)</f>
        <v>1163225</v>
      </c>
      <c r="D132" s="141">
        <f>VLOOKUP(A132,'Data shares'!$C$2:$CY$546,101,0)</f>
        <v>4.9599999999999998E-2</v>
      </c>
      <c r="E132" s="86">
        <f>VLOOKUP($A132,'Data shares'!$C:$FA,74)</f>
        <v>15232875</v>
      </c>
      <c r="F132" s="86">
        <f>VLOOKUP($A132,'Data shares'!$C:$FA,76)</f>
        <v>118825</v>
      </c>
      <c r="G132" s="87">
        <f>VLOOKUP(A132,'Data shares'!$C$2:$CA$223,77,0)</f>
        <v>7.9000000000000008E-3</v>
      </c>
      <c r="H132" s="86">
        <f>VLOOKUP($A132,'Data shares'!$C:$FA,90)</f>
        <v>6356000</v>
      </c>
      <c r="I132" s="86">
        <f>VLOOKUP($A132,'Data shares'!$C:$FA,92)</f>
        <v>926100</v>
      </c>
      <c r="J132" s="87">
        <f>VLOOKUP($A132,'Data shares'!$C:$FA,93)</f>
        <v>0.1706</v>
      </c>
      <c r="K132" s="86">
        <f>VLOOKUP($A132,'Data shares'!$C:$FA,94)</f>
        <v>3020850</v>
      </c>
      <c r="L132" s="86">
        <f>VLOOKUP($A132,'Data shares'!$C:$FA,96)</f>
        <v>118300</v>
      </c>
      <c r="M132" s="87">
        <f>VLOOKUP($A132,'Data shares'!$C:$FA,97)</f>
        <v>4.0800000000000003E-2</v>
      </c>
      <c r="N132" s="86">
        <f>VLOOKUP($A132,'Data shares'!$C:$FA,78)</f>
        <v>12733875</v>
      </c>
      <c r="O132" s="87">
        <f>VLOOKUP($A132,'Data shares'!$C:$FA,81)</f>
        <v>-2.3E-2</v>
      </c>
    </row>
    <row r="133" spans="1:15" x14ac:dyDescent="0.25">
      <c r="A133" s="100" t="str">
        <f>'OI(Value)'!A133</f>
        <v>LTF</v>
      </c>
      <c r="B133" s="82">
        <f>VLOOKUP(A133,'Data shares'!$C$2:$CV$223,98,0)</f>
        <v>105245194</v>
      </c>
      <c r="C133" s="82">
        <f>VLOOKUP(A133,'Data shares'!$C$2:$CX$223,100,0)</f>
        <v>-919172</v>
      </c>
      <c r="D133" s="141">
        <f>VLOOKUP(A133,'Data shares'!$C$2:$CY$546,101,0)</f>
        <v>-8.6999999999999994E-3</v>
      </c>
      <c r="E133" s="86">
        <f>VLOOKUP($A133,'Data shares'!$C:$FA,74)</f>
        <v>47448908</v>
      </c>
      <c r="F133" s="86">
        <f>VLOOKUP($A133,'Data shares'!$C:$FA,76)</f>
        <v>-1512618</v>
      </c>
      <c r="G133" s="87">
        <f>VLOOKUP(A133,'Data shares'!$C$2:$CA$223,77,0)</f>
        <v>-3.09E-2</v>
      </c>
      <c r="H133" s="86">
        <f>VLOOKUP($A133,'Data shares'!$C:$FA,90)</f>
        <v>29351036</v>
      </c>
      <c r="I133" s="86">
        <f>VLOOKUP($A133,'Data shares'!$C:$FA,92)</f>
        <v>481896</v>
      </c>
      <c r="J133" s="87">
        <f>VLOOKUP($A133,'Data shares'!$C:$FA,93)</f>
        <v>1.67E-2</v>
      </c>
      <c r="K133" s="86">
        <f>VLOOKUP($A133,'Data shares'!$C:$FA,94)</f>
        <v>28445250</v>
      </c>
      <c r="L133" s="86">
        <f>VLOOKUP($A133,'Data shares'!$C:$FA,96)</f>
        <v>111550</v>
      </c>
      <c r="M133" s="87">
        <f>VLOOKUP($A133,'Data shares'!$C:$FA,97)</f>
        <v>3.8999999999999998E-3</v>
      </c>
      <c r="N133" s="86">
        <f>VLOOKUP($A133,'Data shares'!$C:$FA,78)</f>
        <v>43093996</v>
      </c>
      <c r="O133" s="87">
        <f>VLOOKUP($A133,'Data shares'!$C:$FA,81)</f>
        <v>-3.6299999999999999E-2</v>
      </c>
    </row>
    <row r="134" spans="1:15" x14ac:dyDescent="0.25">
      <c r="A134" s="100" t="str">
        <f>'OI(Value)'!A134</f>
        <v>LTIM</v>
      </c>
      <c r="B134" s="82">
        <f>VLOOKUP(A134,'Data shares'!$C$2:$CV$223,98,0)</f>
        <v>4228050</v>
      </c>
      <c r="C134" s="82">
        <f>VLOOKUP(A134,'Data shares'!$C$2:$CX$223,100,0)</f>
        <v>-74250</v>
      </c>
      <c r="D134" s="141">
        <f>VLOOKUP(A134,'Data shares'!$C$2:$CY$546,101,0)</f>
        <v>-1.7299999999999999E-2</v>
      </c>
      <c r="E134" s="86">
        <f>VLOOKUP($A134,'Data shares'!$C:$FA,74)</f>
        <v>2808150</v>
      </c>
      <c r="F134" s="86">
        <f>VLOOKUP($A134,'Data shares'!$C:$FA,76)</f>
        <v>-4650</v>
      </c>
      <c r="G134" s="87">
        <f>VLOOKUP(A134,'Data shares'!$C$2:$CA$223,77,0)</f>
        <v>-1.6999999999999999E-3</v>
      </c>
      <c r="H134" s="86">
        <f>VLOOKUP($A134,'Data shares'!$C:$FA,90)</f>
        <v>853800</v>
      </c>
      <c r="I134" s="86">
        <f>VLOOKUP($A134,'Data shares'!$C:$FA,92)</f>
        <v>-93900</v>
      </c>
      <c r="J134" s="87">
        <f>VLOOKUP($A134,'Data shares'!$C:$FA,93)</f>
        <v>-9.9099999999999994E-2</v>
      </c>
      <c r="K134" s="86">
        <f>VLOOKUP($A134,'Data shares'!$C:$FA,94)</f>
        <v>566100</v>
      </c>
      <c r="L134" s="86">
        <f>VLOOKUP($A134,'Data shares'!$C:$FA,96)</f>
        <v>24300</v>
      </c>
      <c r="M134" s="87">
        <f>VLOOKUP($A134,'Data shares'!$C:$FA,97)</f>
        <v>4.4900000000000002E-2</v>
      </c>
      <c r="N134" s="86">
        <f>VLOOKUP($A134,'Data shares'!$C:$FA,78)</f>
        <v>2460000</v>
      </c>
      <c r="O134" s="87">
        <f>VLOOKUP($A134,'Data shares'!$C:$FA,81)</f>
        <v>-4.4699999999999997E-2</v>
      </c>
    </row>
    <row r="135" spans="1:15" x14ac:dyDescent="0.25">
      <c r="A135" s="100" t="str">
        <f>'OI(Value)'!A135</f>
        <v>LUPIN</v>
      </c>
      <c r="B135" s="82">
        <f>VLOOKUP(A135,'Data shares'!$C$2:$CV$223,98,0)</f>
        <v>17628150</v>
      </c>
      <c r="C135" s="82">
        <f>VLOOKUP(A135,'Data shares'!$C$2:$CX$223,100,0)</f>
        <v>304300</v>
      </c>
      <c r="D135" s="141">
        <f>VLOOKUP(A135,'Data shares'!$C$2:$CY$546,101,0)</f>
        <v>1.7600000000000001E-2</v>
      </c>
      <c r="E135" s="86">
        <f>VLOOKUP($A135,'Data shares'!$C:$FA,74)</f>
        <v>11161775</v>
      </c>
      <c r="F135" s="86">
        <f>VLOOKUP($A135,'Data shares'!$C:$FA,76)</f>
        <v>8075</v>
      </c>
      <c r="G135" s="87">
        <f>VLOOKUP(A135,'Data shares'!$C$2:$CA$223,77,0)</f>
        <v>6.9999999999999999E-4</v>
      </c>
      <c r="H135" s="86">
        <f>VLOOKUP($A135,'Data shares'!$C:$FA,90)</f>
        <v>3833075</v>
      </c>
      <c r="I135" s="86">
        <f>VLOOKUP($A135,'Data shares'!$C:$FA,92)</f>
        <v>256700</v>
      </c>
      <c r="J135" s="87">
        <f>VLOOKUP($A135,'Data shares'!$C:$FA,93)</f>
        <v>7.1800000000000003E-2</v>
      </c>
      <c r="K135" s="86">
        <f>VLOOKUP($A135,'Data shares'!$C:$FA,94)</f>
        <v>2633300</v>
      </c>
      <c r="L135" s="86">
        <f>VLOOKUP($A135,'Data shares'!$C:$FA,96)</f>
        <v>39525</v>
      </c>
      <c r="M135" s="87">
        <f>VLOOKUP($A135,'Data shares'!$C:$FA,97)</f>
        <v>1.52E-2</v>
      </c>
      <c r="N135" s="86">
        <f>VLOOKUP($A135,'Data shares'!$C:$FA,78)</f>
        <v>10521300</v>
      </c>
      <c r="O135" s="87">
        <f>VLOOKUP($A135,'Data shares'!$C:$FA,81)</f>
        <v>-1.2800000000000001E-2</v>
      </c>
    </row>
    <row r="136" spans="1:15" x14ac:dyDescent="0.25">
      <c r="A136" s="100" t="str">
        <f>'OI(Value)'!A136</f>
        <v>M&amp;M</v>
      </c>
      <c r="B136" s="82">
        <f>VLOOKUP(A136,'Data shares'!$C$2:$CV$223,98,0)</f>
        <v>32555800</v>
      </c>
      <c r="C136" s="82">
        <f>VLOOKUP(A136,'Data shares'!$C$2:$CX$223,100,0)</f>
        <v>335000</v>
      </c>
      <c r="D136" s="141">
        <f>VLOOKUP(A136,'Data shares'!$C$2:$CY$546,101,0)</f>
        <v>1.04E-2</v>
      </c>
      <c r="E136" s="86">
        <f>VLOOKUP($A136,'Data shares'!$C:$FA,74)</f>
        <v>19706800</v>
      </c>
      <c r="F136" s="86">
        <f>VLOOKUP($A136,'Data shares'!$C:$FA,76)</f>
        <v>-137600</v>
      </c>
      <c r="G136" s="87">
        <f>VLOOKUP(A136,'Data shares'!$C$2:$CA$223,77,0)</f>
        <v>-6.8999999999999999E-3</v>
      </c>
      <c r="H136" s="86">
        <f>VLOOKUP($A136,'Data shares'!$C:$FA,90)</f>
        <v>6939600</v>
      </c>
      <c r="I136" s="86">
        <f>VLOOKUP($A136,'Data shares'!$C:$FA,92)</f>
        <v>56800</v>
      </c>
      <c r="J136" s="87">
        <f>VLOOKUP($A136,'Data shares'!$C:$FA,93)</f>
        <v>8.3000000000000001E-3</v>
      </c>
      <c r="K136" s="86">
        <f>VLOOKUP($A136,'Data shares'!$C:$FA,94)</f>
        <v>5909400</v>
      </c>
      <c r="L136" s="86">
        <f>VLOOKUP($A136,'Data shares'!$C:$FA,96)</f>
        <v>415800</v>
      </c>
      <c r="M136" s="87">
        <f>VLOOKUP($A136,'Data shares'!$C:$FA,97)</f>
        <v>7.5700000000000003E-2</v>
      </c>
      <c r="N136" s="86">
        <f>VLOOKUP($A136,'Data shares'!$C:$FA,78)</f>
        <v>17186000</v>
      </c>
      <c r="O136" s="87">
        <f>VLOOKUP($A136,'Data shares'!$C:$FA,81)</f>
        <v>-1.72E-2</v>
      </c>
    </row>
    <row r="137" spans="1:15" x14ac:dyDescent="0.25">
      <c r="A137" s="100" t="str">
        <f>'OI(Value)'!A137</f>
        <v>MANAPPURAM</v>
      </c>
      <c r="B137" s="82">
        <f>VLOOKUP(A137,'Data shares'!$C$2:$CV$223,98,0)</f>
        <v>61485000</v>
      </c>
      <c r="C137" s="82">
        <f>VLOOKUP(A137,'Data shares'!$C$2:$CX$223,100,0)</f>
        <v>1887000</v>
      </c>
      <c r="D137" s="141">
        <f>VLOOKUP(A137,'Data shares'!$C$2:$CY$546,101,0)</f>
        <v>3.1699999999999999E-2</v>
      </c>
      <c r="E137" s="86">
        <f>VLOOKUP($A137,'Data shares'!$C:$FA,74)</f>
        <v>27228000</v>
      </c>
      <c r="F137" s="86">
        <f>VLOOKUP($A137,'Data shares'!$C:$FA,76)</f>
        <v>1341000</v>
      </c>
      <c r="G137" s="87">
        <f>VLOOKUP(A137,'Data shares'!$C$2:$CA$223,77,0)</f>
        <v>5.1799999999999999E-2</v>
      </c>
      <c r="H137" s="86">
        <f>VLOOKUP($A137,'Data shares'!$C:$FA,90)</f>
        <v>18825000</v>
      </c>
      <c r="I137" s="86">
        <f>VLOOKUP($A137,'Data shares'!$C:$FA,92)</f>
        <v>669000</v>
      </c>
      <c r="J137" s="87">
        <f>VLOOKUP($A137,'Data shares'!$C:$FA,93)</f>
        <v>3.6799999999999999E-2</v>
      </c>
      <c r="K137" s="86">
        <f>VLOOKUP($A137,'Data shares'!$C:$FA,94)</f>
        <v>15432000</v>
      </c>
      <c r="L137" s="86">
        <f>VLOOKUP($A137,'Data shares'!$C:$FA,96)</f>
        <v>-123000</v>
      </c>
      <c r="M137" s="87">
        <f>VLOOKUP($A137,'Data shares'!$C:$FA,97)</f>
        <v>-7.9000000000000008E-3</v>
      </c>
      <c r="N137" s="86">
        <f>VLOOKUP($A137,'Data shares'!$C:$FA,78)</f>
        <v>24804000</v>
      </c>
      <c r="O137" s="87">
        <f>VLOOKUP($A137,'Data shares'!$C:$FA,81)</f>
        <v>2.93E-2</v>
      </c>
    </row>
    <row r="138" spans="1:15" x14ac:dyDescent="0.25">
      <c r="A138" s="100" t="str">
        <f>'OI(Value)'!A138</f>
        <v>MANKIND</v>
      </c>
      <c r="B138" s="82">
        <f>VLOOKUP(A138,'Data shares'!$C$2:$CV$223,98,0)</f>
        <v>3032100</v>
      </c>
      <c r="C138" s="82">
        <f>VLOOKUP(A138,'Data shares'!$C$2:$CX$223,100,0)</f>
        <v>18900</v>
      </c>
      <c r="D138" s="141">
        <f>VLOOKUP(A138,'Data shares'!$C$2:$CY$546,101,0)</f>
        <v>6.3E-3</v>
      </c>
      <c r="E138" s="86">
        <f>VLOOKUP($A138,'Data shares'!$C:$FA,74)</f>
        <v>1844775</v>
      </c>
      <c r="F138" s="86">
        <f>VLOOKUP($A138,'Data shares'!$C:$FA,76)</f>
        <v>30375</v>
      </c>
      <c r="G138" s="87">
        <f>VLOOKUP(A138,'Data shares'!$C$2:$CA$223,77,0)</f>
        <v>1.67E-2</v>
      </c>
      <c r="H138" s="86">
        <f>VLOOKUP($A138,'Data shares'!$C:$FA,90)</f>
        <v>804375</v>
      </c>
      <c r="I138" s="86">
        <f>VLOOKUP($A138,'Data shares'!$C:$FA,92)</f>
        <v>-11025</v>
      </c>
      <c r="J138" s="87">
        <f>VLOOKUP($A138,'Data shares'!$C:$FA,93)</f>
        <v>-1.35E-2</v>
      </c>
      <c r="K138" s="86">
        <f>VLOOKUP($A138,'Data shares'!$C:$FA,94)</f>
        <v>382950</v>
      </c>
      <c r="L138" s="86">
        <f>VLOOKUP($A138,'Data shares'!$C:$FA,96)</f>
        <v>-450</v>
      </c>
      <c r="M138" s="87">
        <f>VLOOKUP($A138,'Data shares'!$C:$FA,97)</f>
        <v>-1.1999999999999999E-3</v>
      </c>
      <c r="N138" s="86">
        <f>VLOOKUP($A138,'Data shares'!$C:$FA,78)</f>
        <v>1743975</v>
      </c>
      <c r="O138" s="87">
        <f>VLOOKUP($A138,'Data shares'!$C:$FA,81)</f>
        <v>7.1000000000000004E-3</v>
      </c>
    </row>
    <row r="139" spans="1:15" x14ac:dyDescent="0.25">
      <c r="A139" s="100" t="str">
        <f>'OI(Value)'!A139</f>
        <v>MARICO</v>
      </c>
      <c r="B139" s="82">
        <f>VLOOKUP(A139,'Data shares'!$C$2:$CV$223,98,0)</f>
        <v>36283200</v>
      </c>
      <c r="C139" s="82">
        <f>VLOOKUP(A139,'Data shares'!$C$2:$CX$223,100,0)</f>
        <v>1809600</v>
      </c>
      <c r="D139" s="141">
        <f>VLOOKUP(A139,'Data shares'!$C$2:$CY$546,101,0)</f>
        <v>5.2499999999999998E-2</v>
      </c>
      <c r="E139" s="86">
        <f>VLOOKUP($A139,'Data shares'!$C:$FA,74)</f>
        <v>25098000</v>
      </c>
      <c r="F139" s="86">
        <f>VLOOKUP($A139,'Data shares'!$C:$FA,76)</f>
        <v>687600</v>
      </c>
      <c r="G139" s="87">
        <f>VLOOKUP(A139,'Data shares'!$C$2:$CA$223,77,0)</f>
        <v>2.8199999999999999E-2</v>
      </c>
      <c r="H139" s="86">
        <f>VLOOKUP($A139,'Data shares'!$C:$FA,90)</f>
        <v>6571200</v>
      </c>
      <c r="I139" s="86">
        <f>VLOOKUP($A139,'Data shares'!$C:$FA,92)</f>
        <v>-578400</v>
      </c>
      <c r="J139" s="87">
        <f>VLOOKUP($A139,'Data shares'!$C:$FA,93)</f>
        <v>-8.09E-2</v>
      </c>
      <c r="K139" s="86">
        <f>VLOOKUP($A139,'Data shares'!$C:$FA,94)</f>
        <v>4614000</v>
      </c>
      <c r="L139" s="86">
        <f>VLOOKUP($A139,'Data shares'!$C:$FA,96)</f>
        <v>1700400</v>
      </c>
      <c r="M139" s="87">
        <f>VLOOKUP($A139,'Data shares'!$C:$FA,97)</f>
        <v>0.58360000000000001</v>
      </c>
      <c r="N139" s="86">
        <f>VLOOKUP($A139,'Data shares'!$C:$FA,78)</f>
        <v>24088800</v>
      </c>
      <c r="O139" s="87">
        <f>VLOOKUP($A139,'Data shares'!$C:$FA,81)</f>
        <v>3.3999999999999998E-3</v>
      </c>
    </row>
    <row r="140" spans="1:15" x14ac:dyDescent="0.25">
      <c r="A140" s="100" t="str">
        <f>'OI(Value)'!A140</f>
        <v>MARUTI</v>
      </c>
      <c r="B140" s="82">
        <f>VLOOKUP(A140,'Data shares'!$C$2:$CV$223,98,0)</f>
        <v>13113950</v>
      </c>
      <c r="C140" s="82">
        <f>VLOOKUP(A140,'Data shares'!$C$2:$CX$223,100,0)</f>
        <v>-18800</v>
      </c>
      <c r="D140" s="141">
        <f>VLOOKUP(A140,'Data shares'!$C$2:$CY$546,101,0)</f>
        <v>-1.4E-3</v>
      </c>
      <c r="E140" s="86">
        <f>VLOOKUP($A140,'Data shares'!$C:$FA,74)</f>
        <v>3971700</v>
      </c>
      <c r="F140" s="86">
        <f>VLOOKUP($A140,'Data shares'!$C:$FA,76)</f>
        <v>-14050</v>
      </c>
      <c r="G140" s="87">
        <f>VLOOKUP(A140,'Data shares'!$C$2:$CA$223,77,0)</f>
        <v>-3.5000000000000001E-3</v>
      </c>
      <c r="H140" s="86">
        <f>VLOOKUP($A140,'Data shares'!$C:$FA,90)</f>
        <v>4336600</v>
      </c>
      <c r="I140" s="86">
        <f>VLOOKUP($A140,'Data shares'!$C:$FA,92)</f>
        <v>52400</v>
      </c>
      <c r="J140" s="87">
        <f>VLOOKUP($A140,'Data shares'!$C:$FA,93)</f>
        <v>1.2200000000000001E-2</v>
      </c>
      <c r="K140" s="86">
        <f>VLOOKUP($A140,'Data shares'!$C:$FA,94)</f>
        <v>4805650</v>
      </c>
      <c r="L140" s="86">
        <f>VLOOKUP($A140,'Data shares'!$C:$FA,96)</f>
        <v>-57150</v>
      </c>
      <c r="M140" s="87">
        <f>VLOOKUP($A140,'Data shares'!$C:$FA,97)</f>
        <v>-1.18E-2</v>
      </c>
      <c r="N140" s="86">
        <f>VLOOKUP($A140,'Data shares'!$C:$FA,78)</f>
        <v>3632450</v>
      </c>
      <c r="O140" s="87">
        <f>VLOOKUP($A140,'Data shares'!$C:$FA,81)</f>
        <v>-1.4E-2</v>
      </c>
    </row>
    <row r="141" spans="1:15" x14ac:dyDescent="0.25">
      <c r="A141" s="100" t="str">
        <f>'OI(Value)'!A141</f>
        <v>MAXHEALTH</v>
      </c>
      <c r="B141" s="82">
        <f>VLOOKUP(A141,'Data shares'!$C$2:$CV$223,98,0)</f>
        <v>19491150</v>
      </c>
      <c r="C141" s="82">
        <f>VLOOKUP(A141,'Data shares'!$C$2:$CX$223,100,0)</f>
        <v>485625</v>
      </c>
      <c r="D141" s="141">
        <f>VLOOKUP(A141,'Data shares'!$C$2:$CY$546,101,0)</f>
        <v>2.5600000000000001E-2</v>
      </c>
      <c r="E141" s="86">
        <f>VLOOKUP($A141,'Data shares'!$C:$FA,74)</f>
        <v>13316100</v>
      </c>
      <c r="F141" s="86">
        <f>VLOOKUP($A141,'Data shares'!$C:$FA,76)</f>
        <v>278775</v>
      </c>
      <c r="G141" s="87">
        <f>VLOOKUP(A141,'Data shares'!$C$2:$CA$223,77,0)</f>
        <v>2.1399999999999999E-2</v>
      </c>
      <c r="H141" s="86">
        <f>VLOOKUP($A141,'Data shares'!$C:$FA,90)</f>
        <v>4524975</v>
      </c>
      <c r="I141" s="86">
        <f>VLOOKUP($A141,'Data shares'!$C:$FA,92)</f>
        <v>130200</v>
      </c>
      <c r="J141" s="87">
        <f>VLOOKUP($A141,'Data shares'!$C:$FA,93)</f>
        <v>2.9600000000000001E-2</v>
      </c>
      <c r="K141" s="86">
        <f>VLOOKUP($A141,'Data shares'!$C:$FA,94)</f>
        <v>1650075</v>
      </c>
      <c r="L141" s="86">
        <f>VLOOKUP($A141,'Data shares'!$C:$FA,96)</f>
        <v>76650</v>
      </c>
      <c r="M141" s="87">
        <f>VLOOKUP($A141,'Data shares'!$C:$FA,97)</f>
        <v>4.87E-2</v>
      </c>
      <c r="N141" s="86">
        <f>VLOOKUP($A141,'Data shares'!$C:$FA,78)</f>
        <v>12130125</v>
      </c>
      <c r="O141" s="87">
        <f>VLOOKUP($A141,'Data shares'!$C:$FA,81)</f>
        <v>-9.2999999999999992E-3</v>
      </c>
    </row>
    <row r="142" spans="1:15" x14ac:dyDescent="0.25">
      <c r="A142" s="100" t="str">
        <f>'OI(Value)'!A142</f>
        <v>MAZDOCK</v>
      </c>
      <c r="B142" s="82">
        <f>VLOOKUP(A142,'Data shares'!$C$2:$CV$223,98,0)</f>
        <v>6475875</v>
      </c>
      <c r="C142" s="82">
        <f>VLOOKUP(A142,'Data shares'!$C$2:$CX$223,100,0)</f>
        <v>64225</v>
      </c>
      <c r="D142" s="141">
        <f>VLOOKUP(A142,'Data shares'!$C$2:$CY$546,101,0)</f>
        <v>0.01</v>
      </c>
      <c r="E142" s="86">
        <f>VLOOKUP($A142,'Data shares'!$C:$FA,74)</f>
        <v>3454325</v>
      </c>
      <c r="F142" s="86">
        <f>VLOOKUP($A142,'Data shares'!$C:$FA,76)</f>
        <v>184275</v>
      </c>
      <c r="G142" s="87">
        <f>VLOOKUP(A142,'Data shares'!$C$2:$CA$223,77,0)</f>
        <v>5.6399999999999999E-2</v>
      </c>
      <c r="H142" s="86">
        <f>VLOOKUP($A142,'Data shares'!$C:$FA,90)</f>
        <v>2069375</v>
      </c>
      <c r="I142" s="86">
        <f>VLOOKUP($A142,'Data shares'!$C:$FA,92)</f>
        <v>-135450</v>
      </c>
      <c r="J142" s="87">
        <f>VLOOKUP($A142,'Data shares'!$C:$FA,93)</f>
        <v>-6.1400000000000003E-2</v>
      </c>
      <c r="K142" s="86">
        <f>VLOOKUP($A142,'Data shares'!$C:$FA,94)</f>
        <v>952175</v>
      </c>
      <c r="L142" s="86">
        <f>VLOOKUP($A142,'Data shares'!$C:$FA,96)</f>
        <v>15400</v>
      </c>
      <c r="M142" s="87">
        <f>VLOOKUP($A142,'Data shares'!$C:$FA,97)</f>
        <v>1.6400000000000001E-2</v>
      </c>
      <c r="N142" s="86">
        <f>VLOOKUP($A142,'Data shares'!$C:$FA,78)</f>
        <v>3182550</v>
      </c>
      <c r="O142" s="87">
        <f>VLOOKUP($A142,'Data shares'!$C:$FA,81)</f>
        <v>4.3299999999999998E-2</v>
      </c>
    </row>
    <row r="143" spans="1:15" x14ac:dyDescent="0.25">
      <c r="A143" s="100" t="str">
        <f>'OI(Value)'!A143</f>
        <v>MCX</v>
      </c>
      <c r="B143" s="82">
        <f>VLOOKUP(A143,'Data shares'!$C$2:$CV$223,98,0)</f>
        <v>5397000</v>
      </c>
      <c r="C143" s="82">
        <f>VLOOKUP(A143,'Data shares'!$C$2:$CX$223,100,0)</f>
        <v>-43375</v>
      </c>
      <c r="D143" s="141">
        <f>VLOOKUP(A143,'Data shares'!$C$2:$CY$546,101,0)</f>
        <v>-8.0000000000000002E-3</v>
      </c>
      <c r="E143" s="86">
        <f>VLOOKUP($A143,'Data shares'!$C:$FA,74)</f>
        <v>1878500</v>
      </c>
      <c r="F143" s="86">
        <f>VLOOKUP($A143,'Data shares'!$C:$FA,76)</f>
        <v>14250</v>
      </c>
      <c r="G143" s="87">
        <f>VLOOKUP(A143,'Data shares'!$C$2:$CA$223,77,0)</f>
        <v>7.6E-3</v>
      </c>
      <c r="H143" s="86">
        <f>VLOOKUP($A143,'Data shares'!$C:$FA,90)</f>
        <v>2119250</v>
      </c>
      <c r="I143" s="86">
        <f>VLOOKUP($A143,'Data shares'!$C:$FA,92)</f>
        <v>23625</v>
      </c>
      <c r="J143" s="87">
        <f>VLOOKUP($A143,'Data shares'!$C:$FA,93)</f>
        <v>1.1299999999999999E-2</v>
      </c>
      <c r="K143" s="86">
        <f>VLOOKUP($A143,'Data shares'!$C:$FA,94)</f>
        <v>1399250</v>
      </c>
      <c r="L143" s="86">
        <f>VLOOKUP($A143,'Data shares'!$C:$FA,96)</f>
        <v>-81250</v>
      </c>
      <c r="M143" s="87">
        <f>VLOOKUP($A143,'Data shares'!$C:$FA,97)</f>
        <v>-5.4899999999999997E-2</v>
      </c>
      <c r="N143" s="86">
        <f>VLOOKUP($A143,'Data shares'!$C:$FA,78)</f>
        <v>1744375</v>
      </c>
      <c r="O143" s="87">
        <f>VLOOKUP($A143,'Data shares'!$C:$FA,81)</f>
        <v>-4.3E-3</v>
      </c>
    </row>
    <row r="144" spans="1:15" x14ac:dyDescent="0.25">
      <c r="A144" s="100" t="str">
        <f>'OI(Value)'!A144</f>
        <v>MFSL</v>
      </c>
      <c r="B144" s="82">
        <f>VLOOKUP(A144,'Data shares'!$C$2:$CV$223,98,0)</f>
        <v>8100000</v>
      </c>
      <c r="C144" s="82">
        <f>VLOOKUP(A144,'Data shares'!$C$2:$CX$223,100,0)</f>
        <v>-63200</v>
      </c>
      <c r="D144" s="141">
        <f>VLOOKUP(A144,'Data shares'!$C$2:$CY$546,101,0)</f>
        <v>-7.7000000000000002E-3</v>
      </c>
      <c r="E144" s="86">
        <f>VLOOKUP($A144,'Data shares'!$C:$FA,74)</f>
        <v>5216800</v>
      </c>
      <c r="F144" s="86">
        <f>VLOOKUP($A144,'Data shares'!$C:$FA,76)</f>
        <v>-6400</v>
      </c>
      <c r="G144" s="87">
        <f>VLOOKUP(A144,'Data shares'!$C$2:$CA$223,77,0)</f>
        <v>-1.1999999999999999E-3</v>
      </c>
      <c r="H144" s="86">
        <f>VLOOKUP($A144,'Data shares'!$C:$FA,90)</f>
        <v>1512000</v>
      </c>
      <c r="I144" s="86">
        <f>VLOOKUP($A144,'Data shares'!$C:$FA,92)</f>
        <v>-52000</v>
      </c>
      <c r="J144" s="87">
        <f>VLOOKUP($A144,'Data shares'!$C:$FA,93)</f>
        <v>-3.32E-2</v>
      </c>
      <c r="K144" s="86">
        <f>VLOOKUP($A144,'Data shares'!$C:$FA,94)</f>
        <v>1371200</v>
      </c>
      <c r="L144" s="86">
        <f>VLOOKUP($A144,'Data shares'!$C:$FA,96)</f>
        <v>-4800</v>
      </c>
      <c r="M144" s="87">
        <f>VLOOKUP($A144,'Data shares'!$C:$FA,97)</f>
        <v>-3.5000000000000001E-3</v>
      </c>
      <c r="N144" s="86">
        <f>VLOOKUP($A144,'Data shares'!$C:$FA,78)</f>
        <v>5016800</v>
      </c>
      <c r="O144" s="87">
        <f>VLOOKUP($A144,'Data shares'!$C:$FA,81)</f>
        <v>-2.8999999999999998E-3</v>
      </c>
    </row>
    <row r="145" spans="1:15" x14ac:dyDescent="0.25">
      <c r="A145" s="100" t="str">
        <f>'OI(Value)'!A145</f>
        <v>MIDCPNIFTY</v>
      </c>
      <c r="B145" s="82">
        <f>VLOOKUP(A145,'Data shares'!$C$2:$CV$223,98,0)</f>
        <v>21169680</v>
      </c>
      <c r="C145" s="82">
        <f>VLOOKUP(A145,'Data shares'!$C$2:$CX$223,100,0)</f>
        <v>2752960</v>
      </c>
      <c r="D145" s="141">
        <f>VLOOKUP(A145,'Data shares'!$C$2:$CY$546,101,0)</f>
        <v>0.14949999999999999</v>
      </c>
      <c r="E145" s="86">
        <f>VLOOKUP($A145,'Data shares'!$C:$FA,74)</f>
        <v>2672880</v>
      </c>
      <c r="F145" s="86">
        <f>VLOOKUP($A145,'Data shares'!$C:$FA,76)</f>
        <v>59780</v>
      </c>
      <c r="G145" s="87">
        <f>VLOOKUP(A145,'Data shares'!$C$2:$CA$223,77,0)</f>
        <v>2.29E-2</v>
      </c>
      <c r="H145" s="86">
        <f>VLOOKUP($A145,'Data shares'!$C:$FA,90)</f>
        <v>7932820</v>
      </c>
      <c r="I145" s="86">
        <f>VLOOKUP($A145,'Data shares'!$C:$FA,92)</f>
        <v>488880</v>
      </c>
      <c r="J145" s="87">
        <f>VLOOKUP($A145,'Data shares'!$C:$FA,93)</f>
        <v>6.5699999999999995E-2</v>
      </c>
      <c r="K145" s="86">
        <f>VLOOKUP($A145,'Data shares'!$C:$FA,94)</f>
        <v>10563980</v>
      </c>
      <c r="L145" s="86">
        <f>VLOOKUP($A145,'Data shares'!$C:$FA,96)</f>
        <v>2204300</v>
      </c>
      <c r="M145" s="87">
        <f>VLOOKUP($A145,'Data shares'!$C:$FA,97)</f>
        <v>0.26369999999999999</v>
      </c>
      <c r="N145" s="86">
        <f>VLOOKUP($A145,'Data shares'!$C:$FA,78)</f>
        <v>2481920</v>
      </c>
      <c r="O145" s="87">
        <f>VLOOKUP($A145,'Data shares'!$C:$FA,81)</f>
        <v>1.06E-2</v>
      </c>
    </row>
    <row r="146" spans="1:15" x14ac:dyDescent="0.25">
      <c r="A146" s="100" t="str">
        <f>'OI(Value)'!A146</f>
        <v>MOTHERSON</v>
      </c>
      <c r="B146" s="82">
        <f>VLOOKUP(A146,'Data shares'!$C$2:$CV$223,98,0)</f>
        <v>245784750</v>
      </c>
      <c r="C146" s="82">
        <f>VLOOKUP(A146,'Data shares'!$C$2:$CX$223,100,0)</f>
        <v>-110700</v>
      </c>
      <c r="D146" s="141">
        <f>VLOOKUP(A146,'Data shares'!$C$2:$CY$546,101,0)</f>
        <v>-5.0000000000000001E-4</v>
      </c>
      <c r="E146" s="86">
        <f>VLOOKUP($A146,'Data shares'!$C:$FA,74)</f>
        <v>161117700</v>
      </c>
      <c r="F146" s="86">
        <f>VLOOKUP($A146,'Data shares'!$C:$FA,76)</f>
        <v>-781050</v>
      </c>
      <c r="G146" s="87">
        <f>VLOOKUP(A146,'Data shares'!$C$2:$CA$223,77,0)</f>
        <v>-4.7999999999999996E-3</v>
      </c>
      <c r="H146" s="86">
        <f>VLOOKUP($A146,'Data shares'!$C:$FA,90)</f>
        <v>48800250</v>
      </c>
      <c r="I146" s="86">
        <f>VLOOKUP($A146,'Data shares'!$C:$FA,92)</f>
        <v>3929850</v>
      </c>
      <c r="J146" s="87">
        <f>VLOOKUP($A146,'Data shares'!$C:$FA,93)</f>
        <v>8.7599999999999997E-2</v>
      </c>
      <c r="K146" s="86">
        <f>VLOOKUP($A146,'Data shares'!$C:$FA,94)</f>
        <v>35866800</v>
      </c>
      <c r="L146" s="86">
        <f>VLOOKUP($A146,'Data shares'!$C:$FA,96)</f>
        <v>-3259500</v>
      </c>
      <c r="M146" s="87">
        <f>VLOOKUP($A146,'Data shares'!$C:$FA,97)</f>
        <v>-8.3299999999999999E-2</v>
      </c>
      <c r="N146" s="86">
        <f>VLOOKUP($A146,'Data shares'!$C:$FA,78)</f>
        <v>150595050</v>
      </c>
      <c r="O146" s="87">
        <f>VLOOKUP($A146,'Data shares'!$C:$FA,81)</f>
        <v>-1.24E-2</v>
      </c>
    </row>
    <row r="147" spans="1:15" x14ac:dyDescent="0.25">
      <c r="A147" s="100" t="str">
        <f>'OI(Value)'!A147</f>
        <v>MPHASIS</v>
      </c>
      <c r="B147" s="82">
        <f>VLOOKUP(A147,'Data shares'!$C$2:$CV$223,98,0)</f>
        <v>5617425</v>
      </c>
      <c r="C147" s="82">
        <f>VLOOKUP(A147,'Data shares'!$C$2:$CX$223,100,0)</f>
        <v>266750</v>
      </c>
      <c r="D147" s="141">
        <f>VLOOKUP(A147,'Data shares'!$C$2:$CY$546,101,0)</f>
        <v>4.99E-2</v>
      </c>
      <c r="E147" s="86">
        <f>VLOOKUP($A147,'Data shares'!$C:$FA,74)</f>
        <v>4164050</v>
      </c>
      <c r="F147" s="86">
        <f>VLOOKUP($A147,'Data shares'!$C:$FA,76)</f>
        <v>85800</v>
      </c>
      <c r="G147" s="87">
        <f>VLOOKUP(A147,'Data shares'!$C$2:$CA$223,77,0)</f>
        <v>2.1000000000000001E-2</v>
      </c>
      <c r="H147" s="86">
        <f>VLOOKUP($A147,'Data shares'!$C:$FA,90)</f>
        <v>833525</v>
      </c>
      <c r="I147" s="86">
        <f>VLOOKUP($A147,'Data shares'!$C:$FA,92)</f>
        <v>8800</v>
      </c>
      <c r="J147" s="87">
        <f>VLOOKUP($A147,'Data shares'!$C:$FA,93)</f>
        <v>1.0699999999999999E-2</v>
      </c>
      <c r="K147" s="86">
        <f>VLOOKUP($A147,'Data shares'!$C:$FA,94)</f>
        <v>619850</v>
      </c>
      <c r="L147" s="86">
        <f>VLOOKUP($A147,'Data shares'!$C:$FA,96)</f>
        <v>172150</v>
      </c>
      <c r="M147" s="87">
        <f>VLOOKUP($A147,'Data shares'!$C:$FA,97)</f>
        <v>0.38450000000000001</v>
      </c>
      <c r="N147" s="86">
        <f>VLOOKUP($A147,'Data shares'!$C:$FA,78)</f>
        <v>4032325</v>
      </c>
      <c r="O147" s="87">
        <f>VLOOKUP($A147,'Data shares'!$C:$FA,81)</f>
        <v>5.0000000000000001E-3</v>
      </c>
    </row>
    <row r="148" spans="1:15" x14ac:dyDescent="0.25">
      <c r="A148" s="100" t="str">
        <f>'OI(Value)'!A148</f>
        <v>MUTHOOTFIN</v>
      </c>
      <c r="B148" s="82">
        <f>VLOOKUP(A148,'Data shares'!$C$2:$CV$223,98,0)</f>
        <v>13098250</v>
      </c>
      <c r="C148" s="82">
        <f>VLOOKUP(A148,'Data shares'!$C$2:$CX$223,100,0)</f>
        <v>696575</v>
      </c>
      <c r="D148" s="141">
        <f>VLOOKUP(A148,'Data shares'!$C$2:$CY$546,101,0)</f>
        <v>5.62E-2</v>
      </c>
      <c r="E148" s="86">
        <f>VLOOKUP($A148,'Data shares'!$C:$FA,74)</f>
        <v>4090900</v>
      </c>
      <c r="F148" s="86">
        <f>VLOOKUP($A148,'Data shares'!$C:$FA,76)</f>
        <v>66275</v>
      </c>
      <c r="G148" s="87">
        <f>VLOOKUP(A148,'Data shares'!$C$2:$CA$223,77,0)</f>
        <v>1.6500000000000001E-2</v>
      </c>
      <c r="H148" s="86">
        <f>VLOOKUP($A148,'Data shares'!$C:$FA,90)</f>
        <v>5712300</v>
      </c>
      <c r="I148" s="86">
        <f>VLOOKUP($A148,'Data shares'!$C:$FA,92)</f>
        <v>627550</v>
      </c>
      <c r="J148" s="87">
        <f>VLOOKUP($A148,'Data shares'!$C:$FA,93)</f>
        <v>0.1234</v>
      </c>
      <c r="K148" s="86">
        <f>VLOOKUP($A148,'Data shares'!$C:$FA,94)</f>
        <v>3295050</v>
      </c>
      <c r="L148" s="86">
        <f>VLOOKUP($A148,'Data shares'!$C:$FA,96)</f>
        <v>2750</v>
      </c>
      <c r="M148" s="87">
        <f>VLOOKUP($A148,'Data shares'!$C:$FA,97)</f>
        <v>8.0000000000000004E-4</v>
      </c>
      <c r="N148" s="86">
        <f>VLOOKUP($A148,'Data shares'!$C:$FA,78)</f>
        <v>3564275</v>
      </c>
      <c r="O148" s="87">
        <f>VLOOKUP($A148,'Data shares'!$C:$FA,81)</f>
        <v>-5.7000000000000002E-3</v>
      </c>
    </row>
    <row r="149" spans="1:15" x14ac:dyDescent="0.25">
      <c r="A149" s="100" t="str">
        <f>'OI(Value)'!A149</f>
        <v>NATIONALUM</v>
      </c>
      <c r="B149" s="82">
        <f>VLOOKUP(A149,'Data shares'!$C$2:$CV$223,98,0)</f>
        <v>112890000</v>
      </c>
      <c r="C149" s="82">
        <f>VLOOKUP(A149,'Data shares'!$C$2:$CX$223,100,0)</f>
        <v>2752500</v>
      </c>
      <c r="D149" s="141">
        <f>VLOOKUP(A149,'Data shares'!$C$2:$CY$546,101,0)</f>
        <v>2.5000000000000001E-2</v>
      </c>
      <c r="E149" s="86">
        <f>VLOOKUP($A149,'Data shares'!$C:$FA,74)</f>
        <v>69498750</v>
      </c>
      <c r="F149" s="86">
        <f>VLOOKUP($A149,'Data shares'!$C:$FA,76)</f>
        <v>1035000</v>
      </c>
      <c r="G149" s="87">
        <f>VLOOKUP(A149,'Data shares'!$C$2:$CA$223,77,0)</f>
        <v>1.5100000000000001E-2</v>
      </c>
      <c r="H149" s="86">
        <f>VLOOKUP($A149,'Data shares'!$C:$FA,90)</f>
        <v>24495000</v>
      </c>
      <c r="I149" s="86">
        <f>VLOOKUP($A149,'Data shares'!$C:$FA,92)</f>
        <v>956250</v>
      </c>
      <c r="J149" s="87">
        <f>VLOOKUP($A149,'Data shares'!$C:$FA,93)</f>
        <v>4.0599999999999997E-2</v>
      </c>
      <c r="K149" s="86">
        <f>VLOOKUP($A149,'Data shares'!$C:$FA,94)</f>
        <v>18896250</v>
      </c>
      <c r="L149" s="86">
        <f>VLOOKUP($A149,'Data shares'!$C:$FA,96)</f>
        <v>761250</v>
      </c>
      <c r="M149" s="87">
        <f>VLOOKUP($A149,'Data shares'!$C:$FA,97)</f>
        <v>4.2000000000000003E-2</v>
      </c>
      <c r="N149" s="86">
        <f>VLOOKUP($A149,'Data shares'!$C:$FA,78)</f>
        <v>58991250</v>
      </c>
      <c r="O149" s="87">
        <f>VLOOKUP($A149,'Data shares'!$C:$FA,81)</f>
        <v>-3.4700000000000002E-2</v>
      </c>
    </row>
    <row r="150" spans="1:15" x14ac:dyDescent="0.25">
      <c r="A150" s="100" t="str">
        <f>'OI(Value)'!A150</f>
        <v>NAUKRI</v>
      </c>
      <c r="B150" s="82">
        <f>VLOOKUP(A150,'Data shares'!$C$2:$CV$223,98,0)</f>
        <v>15476250</v>
      </c>
      <c r="C150" s="82">
        <f>VLOOKUP(A150,'Data shares'!$C$2:$CX$223,100,0)</f>
        <v>-99750</v>
      </c>
      <c r="D150" s="141">
        <f>VLOOKUP(A150,'Data shares'!$C$2:$CY$546,101,0)</f>
        <v>-6.4000000000000003E-3</v>
      </c>
      <c r="E150" s="86">
        <f>VLOOKUP($A150,'Data shares'!$C:$FA,74)</f>
        <v>12421500</v>
      </c>
      <c r="F150" s="86">
        <f>VLOOKUP($A150,'Data shares'!$C:$FA,76)</f>
        <v>-31125</v>
      </c>
      <c r="G150" s="87">
        <f>VLOOKUP(A150,'Data shares'!$C$2:$CA$223,77,0)</f>
        <v>-2.5000000000000001E-3</v>
      </c>
      <c r="H150" s="86">
        <f>VLOOKUP($A150,'Data shares'!$C:$FA,90)</f>
        <v>1726500</v>
      </c>
      <c r="I150" s="86">
        <f>VLOOKUP($A150,'Data shares'!$C:$FA,92)</f>
        <v>-63000</v>
      </c>
      <c r="J150" s="87">
        <f>VLOOKUP($A150,'Data shares'!$C:$FA,93)</f>
        <v>-3.5200000000000002E-2</v>
      </c>
      <c r="K150" s="86">
        <f>VLOOKUP($A150,'Data shares'!$C:$FA,94)</f>
        <v>1328250</v>
      </c>
      <c r="L150" s="86">
        <f>VLOOKUP($A150,'Data shares'!$C:$FA,96)</f>
        <v>-5625</v>
      </c>
      <c r="M150" s="87">
        <f>VLOOKUP($A150,'Data shares'!$C:$FA,97)</f>
        <v>-4.1999999999999997E-3</v>
      </c>
      <c r="N150" s="86">
        <f>VLOOKUP($A150,'Data shares'!$C:$FA,78)</f>
        <v>11933250</v>
      </c>
      <c r="O150" s="87">
        <f>VLOOKUP($A150,'Data shares'!$C:$FA,81)</f>
        <v>-2.1899999999999999E-2</v>
      </c>
    </row>
    <row r="151" spans="1:15" x14ac:dyDescent="0.25">
      <c r="A151" s="100" t="str">
        <f>'OI(Value)'!A151</f>
        <v>NBCC</v>
      </c>
      <c r="B151" s="82">
        <f>VLOOKUP(A151,'Data shares'!$C$2:$CV$223,98,0)</f>
        <v>77655500</v>
      </c>
      <c r="C151" s="82">
        <f>VLOOKUP(A151,'Data shares'!$C$2:$CX$223,100,0)</f>
        <v>2366000</v>
      </c>
      <c r="D151" s="141">
        <f>VLOOKUP(A151,'Data shares'!$C$2:$CY$546,101,0)</f>
        <v>3.1399999999999997E-2</v>
      </c>
      <c r="E151" s="86">
        <f>VLOOKUP($A151,'Data shares'!$C:$FA,74)</f>
        <v>53365000</v>
      </c>
      <c r="F151" s="86">
        <f>VLOOKUP($A151,'Data shares'!$C:$FA,76)</f>
        <v>812500</v>
      </c>
      <c r="G151" s="87">
        <f>VLOOKUP(A151,'Data shares'!$C$2:$CA$223,77,0)</f>
        <v>1.55E-2</v>
      </c>
      <c r="H151" s="86">
        <f>VLOOKUP($A151,'Data shares'!$C:$FA,90)</f>
        <v>16412500</v>
      </c>
      <c r="I151" s="86">
        <f>VLOOKUP($A151,'Data shares'!$C:$FA,92)</f>
        <v>1215500</v>
      </c>
      <c r="J151" s="87">
        <f>VLOOKUP($A151,'Data shares'!$C:$FA,93)</f>
        <v>0.08</v>
      </c>
      <c r="K151" s="86">
        <f>VLOOKUP($A151,'Data shares'!$C:$FA,94)</f>
        <v>7878000</v>
      </c>
      <c r="L151" s="86">
        <f>VLOOKUP($A151,'Data shares'!$C:$FA,96)</f>
        <v>338000</v>
      </c>
      <c r="M151" s="87">
        <f>VLOOKUP($A151,'Data shares'!$C:$FA,97)</f>
        <v>4.48E-2</v>
      </c>
      <c r="N151" s="86">
        <f>VLOOKUP($A151,'Data shares'!$C:$FA,78)</f>
        <v>47495500</v>
      </c>
      <c r="O151" s="87">
        <f>VLOOKUP($A151,'Data shares'!$C:$FA,81)</f>
        <v>-1.2E-2</v>
      </c>
    </row>
    <row r="152" spans="1:15" x14ac:dyDescent="0.25">
      <c r="A152" s="100" t="str">
        <f>'OI(Value)'!A152</f>
        <v>NCC</v>
      </c>
      <c r="B152" s="82">
        <f>VLOOKUP(A152,'Data shares'!$C$2:$CV$223,98,0)</f>
        <v>28158300</v>
      </c>
      <c r="C152" s="82">
        <f>VLOOKUP(A152,'Data shares'!$C$2:$CX$223,100,0)</f>
        <v>820800</v>
      </c>
      <c r="D152" s="141">
        <f>VLOOKUP(A152,'Data shares'!$C$2:$CY$546,101,0)</f>
        <v>0.03</v>
      </c>
      <c r="E152" s="86">
        <f>VLOOKUP($A152,'Data shares'!$C:$FA,74)</f>
        <v>15017400</v>
      </c>
      <c r="F152" s="86">
        <f>VLOOKUP($A152,'Data shares'!$C:$FA,76)</f>
        <v>567000</v>
      </c>
      <c r="G152" s="87">
        <f>VLOOKUP(A152,'Data shares'!$C$2:$CA$223,77,0)</f>
        <v>3.9199999999999999E-2</v>
      </c>
      <c r="H152" s="86">
        <f>VLOOKUP($A152,'Data shares'!$C:$FA,90)</f>
        <v>7584300</v>
      </c>
      <c r="I152" s="86">
        <f>VLOOKUP($A152,'Data shares'!$C:$FA,92)</f>
        <v>340200</v>
      </c>
      <c r="J152" s="87">
        <f>VLOOKUP($A152,'Data shares'!$C:$FA,93)</f>
        <v>4.7E-2</v>
      </c>
      <c r="K152" s="86">
        <f>VLOOKUP($A152,'Data shares'!$C:$FA,94)</f>
        <v>5556600</v>
      </c>
      <c r="L152" s="86">
        <f>VLOOKUP($A152,'Data shares'!$C:$FA,96)</f>
        <v>-86400</v>
      </c>
      <c r="M152" s="87">
        <f>VLOOKUP($A152,'Data shares'!$C:$FA,97)</f>
        <v>-1.5299999999999999E-2</v>
      </c>
      <c r="N152" s="86">
        <f>VLOOKUP($A152,'Data shares'!$C:$FA,78)</f>
        <v>13232700</v>
      </c>
      <c r="O152" s="87">
        <f>VLOOKUP($A152,'Data shares'!$C:$FA,81)</f>
        <v>6.4000000000000003E-3</v>
      </c>
    </row>
    <row r="153" spans="1:15" x14ac:dyDescent="0.25">
      <c r="A153" s="100" t="str">
        <f>'OI(Value)'!A153</f>
        <v>NESTLEIND</v>
      </c>
      <c r="B153" s="82">
        <f>VLOOKUP(A153,'Data shares'!$C$2:$CV$223,98,0)</f>
        <v>29608000</v>
      </c>
      <c r="C153" s="82">
        <f>VLOOKUP(A153,'Data shares'!$C$2:$CX$223,100,0)</f>
        <v>1127000</v>
      </c>
      <c r="D153" s="141">
        <f>VLOOKUP(A153,'Data shares'!$C$2:$CY$546,101,0)</f>
        <v>3.9600000000000003E-2</v>
      </c>
      <c r="E153" s="86">
        <f>VLOOKUP($A153,'Data shares'!$C:$FA,74)</f>
        <v>21505500</v>
      </c>
      <c r="F153" s="86">
        <f>VLOOKUP($A153,'Data shares'!$C:$FA,76)</f>
        <v>409000</v>
      </c>
      <c r="G153" s="87">
        <f>VLOOKUP(A153,'Data shares'!$C$2:$CA$223,77,0)</f>
        <v>1.9400000000000001E-2</v>
      </c>
      <c r="H153" s="86">
        <f>VLOOKUP($A153,'Data shares'!$C:$FA,90)</f>
        <v>4367500</v>
      </c>
      <c r="I153" s="86">
        <f>VLOOKUP($A153,'Data shares'!$C:$FA,92)</f>
        <v>193000</v>
      </c>
      <c r="J153" s="87">
        <f>VLOOKUP($A153,'Data shares'!$C:$FA,93)</f>
        <v>4.6199999999999998E-2</v>
      </c>
      <c r="K153" s="86">
        <f>VLOOKUP($A153,'Data shares'!$C:$FA,94)</f>
        <v>3735000</v>
      </c>
      <c r="L153" s="86">
        <f>VLOOKUP($A153,'Data shares'!$C:$FA,96)</f>
        <v>525000</v>
      </c>
      <c r="M153" s="87">
        <f>VLOOKUP($A153,'Data shares'!$C:$FA,97)</f>
        <v>0.1636</v>
      </c>
      <c r="N153" s="86">
        <f>VLOOKUP($A153,'Data shares'!$C:$FA,78)</f>
        <v>20114500</v>
      </c>
      <c r="O153" s="87">
        <f>VLOOKUP($A153,'Data shares'!$C:$FA,81)</f>
        <v>8.5000000000000006E-3</v>
      </c>
    </row>
    <row r="154" spans="1:15" x14ac:dyDescent="0.25">
      <c r="A154" s="100" t="str">
        <f>'OI(Value)'!A154</f>
        <v>NHPC</v>
      </c>
      <c r="B154" s="82">
        <f>VLOOKUP(A154,'Data shares'!$C$2:$CV$223,98,0)</f>
        <v>87366400</v>
      </c>
      <c r="C154" s="82">
        <f>VLOOKUP(A154,'Data shares'!$C$2:$CX$223,100,0)</f>
        <v>-121600</v>
      </c>
      <c r="D154" s="141">
        <f>VLOOKUP(A154,'Data shares'!$C$2:$CY$546,101,0)</f>
        <v>-1.4E-3</v>
      </c>
      <c r="E154" s="86">
        <f>VLOOKUP($A154,'Data shares'!$C:$FA,74)</f>
        <v>59897600</v>
      </c>
      <c r="F154" s="86">
        <f>VLOOKUP($A154,'Data shares'!$C:$FA,76)</f>
        <v>672000</v>
      </c>
      <c r="G154" s="87">
        <f>VLOOKUP(A154,'Data shares'!$C$2:$CA$223,77,0)</f>
        <v>1.1299999999999999E-2</v>
      </c>
      <c r="H154" s="86">
        <f>VLOOKUP($A154,'Data shares'!$C:$FA,90)</f>
        <v>16934400</v>
      </c>
      <c r="I154" s="86">
        <f>VLOOKUP($A154,'Data shares'!$C:$FA,92)</f>
        <v>-1030400</v>
      </c>
      <c r="J154" s="87">
        <f>VLOOKUP($A154,'Data shares'!$C:$FA,93)</f>
        <v>-5.74E-2</v>
      </c>
      <c r="K154" s="86">
        <f>VLOOKUP($A154,'Data shares'!$C:$FA,94)</f>
        <v>10534400</v>
      </c>
      <c r="L154" s="86">
        <f>VLOOKUP($A154,'Data shares'!$C:$FA,96)</f>
        <v>236800</v>
      </c>
      <c r="M154" s="87">
        <f>VLOOKUP($A154,'Data shares'!$C:$FA,97)</f>
        <v>2.3E-2</v>
      </c>
      <c r="N154" s="86">
        <f>VLOOKUP($A154,'Data shares'!$C:$FA,78)</f>
        <v>53747200</v>
      </c>
      <c r="O154" s="87">
        <f>VLOOKUP($A154,'Data shares'!$C:$FA,81)</f>
        <v>-1.2800000000000001E-2</v>
      </c>
    </row>
    <row r="155" spans="1:15" x14ac:dyDescent="0.25">
      <c r="A155" s="100" t="str">
        <f>'OI(Value)'!A155</f>
        <v>NIFTY</v>
      </c>
      <c r="B155" s="82">
        <f>VLOOKUP(A155,'Data shares'!$C$2:$CV$223,98,0)</f>
        <v>559665925</v>
      </c>
      <c r="C155" s="82">
        <f>VLOOKUP(A155,'Data shares'!$C$2:$CX$223,100,0)</f>
        <v>76212100</v>
      </c>
      <c r="D155" s="141">
        <f>VLOOKUP(A155,'Data shares'!$C$2:$CY$546,101,0)</f>
        <v>0.15759999999999999</v>
      </c>
      <c r="E155" s="86">
        <f>VLOOKUP($A155,'Data shares'!$C:$FA,74)</f>
        <v>18065400</v>
      </c>
      <c r="F155" s="86">
        <f>VLOOKUP($A155,'Data shares'!$C:$FA,76)</f>
        <v>-38775</v>
      </c>
      <c r="G155" s="87">
        <f>VLOOKUP(A155,'Data shares'!$C$2:$CA$223,77,0)</f>
        <v>-2.0999999999999999E-3</v>
      </c>
      <c r="H155" s="86">
        <f>VLOOKUP($A155,'Data shares'!$C:$FA,90)</f>
        <v>237964100</v>
      </c>
      <c r="I155" s="86">
        <f>VLOOKUP($A155,'Data shares'!$C:$FA,92)</f>
        <v>20596000</v>
      </c>
      <c r="J155" s="87">
        <f>VLOOKUP($A155,'Data shares'!$C:$FA,93)</f>
        <v>9.4799999999999995E-2</v>
      </c>
      <c r="K155" s="86">
        <f>VLOOKUP($A155,'Data shares'!$C:$FA,94)</f>
        <v>303636425</v>
      </c>
      <c r="L155" s="86">
        <f>VLOOKUP($A155,'Data shares'!$C:$FA,96)</f>
        <v>55654875</v>
      </c>
      <c r="M155" s="87">
        <f>VLOOKUP($A155,'Data shares'!$C:$FA,97)</f>
        <v>0.22439999999999999</v>
      </c>
      <c r="N155" s="86">
        <f>VLOOKUP($A155,'Data shares'!$C:$FA,78)</f>
        <v>15889275</v>
      </c>
      <c r="O155" s="87">
        <f>VLOOKUP($A155,'Data shares'!$C:$FA,81)</f>
        <v>-2.1100000000000001E-2</v>
      </c>
    </row>
    <row r="156" spans="1:15" x14ac:dyDescent="0.25">
      <c r="A156" s="100" t="str">
        <f>'OI(Value)'!A156</f>
        <v>NIFTYNXT50</v>
      </c>
      <c r="B156" s="82">
        <f>VLOOKUP(A156,'Data shares'!$C$2:$CV$223,98,0)</f>
        <v>37925</v>
      </c>
      <c r="C156" s="82">
        <f>VLOOKUP(A156,'Data shares'!$C$2:$CX$223,100,0)</f>
        <v>1925</v>
      </c>
      <c r="D156" s="141">
        <f>VLOOKUP(A156,'Data shares'!$C$2:$CY$546,101,0)</f>
        <v>5.3499999999999999E-2</v>
      </c>
      <c r="E156" s="86">
        <f>VLOOKUP($A156,'Data shares'!$C:$FA,74)</f>
        <v>24050</v>
      </c>
      <c r="F156" s="86">
        <f>VLOOKUP($A156,'Data shares'!$C:$FA,76)</f>
        <v>-175</v>
      </c>
      <c r="G156" s="87">
        <f>VLOOKUP(A156,'Data shares'!$C$2:$CA$223,77,0)</f>
        <v>-7.1999999999999998E-3</v>
      </c>
      <c r="H156" s="86">
        <f>VLOOKUP($A156,'Data shares'!$C:$FA,90)</f>
        <v>9000</v>
      </c>
      <c r="I156" s="86">
        <f>VLOOKUP($A156,'Data shares'!$C:$FA,92)</f>
        <v>1625</v>
      </c>
      <c r="J156" s="87">
        <f>VLOOKUP($A156,'Data shares'!$C:$FA,93)</f>
        <v>0.2203</v>
      </c>
      <c r="K156" s="86">
        <f>VLOOKUP($A156,'Data shares'!$C:$FA,94)</f>
        <v>4875</v>
      </c>
      <c r="L156" s="86">
        <f>VLOOKUP($A156,'Data shares'!$C:$FA,96)</f>
        <v>475</v>
      </c>
      <c r="M156" s="87">
        <f>VLOOKUP($A156,'Data shares'!$C:$FA,97)</f>
        <v>0.108</v>
      </c>
      <c r="N156" s="86">
        <f>VLOOKUP($A156,'Data shares'!$C:$FA,78)</f>
        <v>21100</v>
      </c>
      <c r="O156" s="87">
        <f>VLOOKUP($A156,'Data shares'!$C:$FA,81)</f>
        <v>-1.6299999999999999E-2</v>
      </c>
    </row>
    <row r="157" spans="1:15" x14ac:dyDescent="0.25">
      <c r="A157" s="100" t="str">
        <f>'OI(Value)'!A157</f>
        <v>NMDC</v>
      </c>
      <c r="B157" s="82">
        <f>VLOOKUP(A157,'Data shares'!$C$2:$CV$223,98,0)</f>
        <v>489510000</v>
      </c>
      <c r="C157" s="82">
        <f>VLOOKUP(A157,'Data shares'!$C$2:$CX$223,100,0)</f>
        <v>-958500</v>
      </c>
      <c r="D157" s="141">
        <f>VLOOKUP(A157,'Data shares'!$C$2:$CY$546,101,0)</f>
        <v>-2E-3</v>
      </c>
      <c r="E157" s="86">
        <f>VLOOKUP($A157,'Data shares'!$C:$FA,74)</f>
        <v>263979000</v>
      </c>
      <c r="F157" s="86">
        <f>VLOOKUP($A157,'Data shares'!$C:$FA,76)</f>
        <v>-202500</v>
      </c>
      <c r="G157" s="87">
        <f>VLOOKUP(A157,'Data shares'!$C$2:$CA$223,77,0)</f>
        <v>-8.0000000000000004E-4</v>
      </c>
      <c r="H157" s="86">
        <f>VLOOKUP($A157,'Data shares'!$C:$FA,90)</f>
        <v>127737000</v>
      </c>
      <c r="I157" s="86">
        <f>VLOOKUP($A157,'Data shares'!$C:$FA,92)</f>
        <v>-3159000</v>
      </c>
      <c r="J157" s="87">
        <f>VLOOKUP($A157,'Data shares'!$C:$FA,93)</f>
        <v>-2.41E-2</v>
      </c>
      <c r="K157" s="86">
        <f>VLOOKUP($A157,'Data shares'!$C:$FA,94)</f>
        <v>97794000</v>
      </c>
      <c r="L157" s="86">
        <f>VLOOKUP($A157,'Data shares'!$C:$FA,96)</f>
        <v>2403000</v>
      </c>
      <c r="M157" s="87">
        <f>VLOOKUP($A157,'Data shares'!$C:$FA,97)</f>
        <v>2.52E-2</v>
      </c>
      <c r="N157" s="86">
        <f>VLOOKUP($A157,'Data shares'!$C:$FA,78)</f>
        <v>207157500</v>
      </c>
      <c r="O157" s="87">
        <f>VLOOKUP($A157,'Data shares'!$C:$FA,81)</f>
        <v>-3.2500000000000001E-2</v>
      </c>
    </row>
    <row r="158" spans="1:15" x14ac:dyDescent="0.25">
      <c r="A158" s="100" t="str">
        <f>'OI(Value)'!A158</f>
        <v>NTPC</v>
      </c>
      <c r="B158" s="82">
        <f>VLOOKUP(A158,'Data shares'!$C$2:$CV$223,98,0)</f>
        <v>173149500</v>
      </c>
      <c r="C158" s="82">
        <f>VLOOKUP(A158,'Data shares'!$C$2:$CX$223,100,0)</f>
        <v>10213500</v>
      </c>
      <c r="D158" s="141">
        <f>VLOOKUP(A158,'Data shares'!$C$2:$CY$546,101,0)</f>
        <v>6.2700000000000006E-2</v>
      </c>
      <c r="E158" s="86">
        <f>VLOOKUP($A158,'Data shares'!$C:$FA,74)</f>
        <v>105649500</v>
      </c>
      <c r="F158" s="86">
        <f>VLOOKUP($A158,'Data shares'!$C:$FA,76)</f>
        <v>2265000</v>
      </c>
      <c r="G158" s="87">
        <f>VLOOKUP(A158,'Data shares'!$C$2:$CA$223,77,0)</f>
        <v>2.1899999999999999E-2</v>
      </c>
      <c r="H158" s="86">
        <f>VLOOKUP($A158,'Data shares'!$C:$FA,90)</f>
        <v>44614500</v>
      </c>
      <c r="I158" s="86">
        <f>VLOOKUP($A158,'Data shares'!$C:$FA,92)</f>
        <v>2910000</v>
      </c>
      <c r="J158" s="87">
        <f>VLOOKUP($A158,'Data shares'!$C:$FA,93)</f>
        <v>6.9800000000000001E-2</v>
      </c>
      <c r="K158" s="86">
        <f>VLOOKUP($A158,'Data shares'!$C:$FA,94)</f>
        <v>22885500</v>
      </c>
      <c r="L158" s="86">
        <f>VLOOKUP($A158,'Data shares'!$C:$FA,96)</f>
        <v>5038500</v>
      </c>
      <c r="M158" s="87">
        <f>VLOOKUP($A158,'Data shares'!$C:$FA,97)</f>
        <v>0.2823</v>
      </c>
      <c r="N158" s="86">
        <f>VLOOKUP($A158,'Data shares'!$C:$FA,78)</f>
        <v>95095500</v>
      </c>
      <c r="O158" s="87">
        <f>VLOOKUP($A158,'Data shares'!$C:$FA,81)</f>
        <v>2.8E-3</v>
      </c>
    </row>
    <row r="159" spans="1:15" x14ac:dyDescent="0.25">
      <c r="A159" s="100" t="str">
        <f>'OI(Value)'!A159</f>
        <v>NUVAMA</v>
      </c>
      <c r="B159" s="82">
        <f>VLOOKUP(A159,'Data shares'!$C$2:$CV$223,98,0)</f>
        <v>710475</v>
      </c>
      <c r="C159" s="82">
        <f>VLOOKUP(A159,'Data shares'!$C$2:$CX$223,100,0)</f>
        <v>-130350</v>
      </c>
      <c r="D159" s="141">
        <f>VLOOKUP(A159,'Data shares'!$C$2:$CY$546,101,0)</f>
        <v>-0.155</v>
      </c>
      <c r="E159" s="86">
        <f>VLOOKUP($A159,'Data shares'!$C:$FA,74)</f>
        <v>218850</v>
      </c>
      <c r="F159" s="86">
        <f>VLOOKUP($A159,'Data shares'!$C:$FA,76)</f>
        <v>-12075</v>
      </c>
      <c r="G159" s="87">
        <f>VLOOKUP(A159,'Data shares'!$C$2:$CA$223,77,0)</f>
        <v>-5.2299999999999999E-2</v>
      </c>
      <c r="H159" s="86">
        <f>VLOOKUP($A159,'Data shares'!$C:$FA,90)</f>
        <v>303300</v>
      </c>
      <c r="I159" s="86">
        <f>VLOOKUP($A159,'Data shares'!$C:$FA,92)</f>
        <v>-110100</v>
      </c>
      <c r="J159" s="87">
        <f>VLOOKUP($A159,'Data shares'!$C:$FA,93)</f>
        <v>-0.26629999999999998</v>
      </c>
      <c r="K159" s="86">
        <f>VLOOKUP($A159,'Data shares'!$C:$FA,94)</f>
        <v>188325</v>
      </c>
      <c r="L159" s="86">
        <f>VLOOKUP($A159,'Data shares'!$C:$FA,96)</f>
        <v>-8175</v>
      </c>
      <c r="M159" s="87">
        <f>VLOOKUP($A159,'Data shares'!$C:$FA,97)</f>
        <v>-4.1599999999999998E-2</v>
      </c>
      <c r="N159" s="86">
        <f>VLOOKUP($A159,'Data shares'!$C:$FA,78)</f>
        <v>197325</v>
      </c>
      <c r="O159" s="87">
        <f>VLOOKUP($A159,'Data shares'!$C:$FA,81)</f>
        <v>-6.8699999999999997E-2</v>
      </c>
    </row>
    <row r="160" spans="1:15" x14ac:dyDescent="0.25">
      <c r="A160" s="100" t="str">
        <f>'OI(Value)'!A160</f>
        <v>NYKAA</v>
      </c>
      <c r="B160" s="82">
        <f>VLOOKUP(A160,'Data shares'!$C$2:$CV$223,98,0)</f>
        <v>81337500</v>
      </c>
      <c r="C160" s="82">
        <f>VLOOKUP(A160,'Data shares'!$C$2:$CX$223,100,0)</f>
        <v>434375</v>
      </c>
      <c r="D160" s="141">
        <f>VLOOKUP(A160,'Data shares'!$C$2:$CY$546,101,0)</f>
        <v>5.4000000000000003E-3</v>
      </c>
      <c r="E160" s="86">
        <f>VLOOKUP($A160,'Data shares'!$C:$FA,74)</f>
        <v>55531250</v>
      </c>
      <c r="F160" s="86">
        <f>VLOOKUP($A160,'Data shares'!$C:$FA,76)</f>
        <v>800000</v>
      </c>
      <c r="G160" s="87">
        <f>VLOOKUP(A160,'Data shares'!$C$2:$CA$223,77,0)</f>
        <v>1.46E-2</v>
      </c>
      <c r="H160" s="86">
        <f>VLOOKUP($A160,'Data shares'!$C:$FA,90)</f>
        <v>14340625</v>
      </c>
      <c r="I160" s="86">
        <f>VLOOKUP($A160,'Data shares'!$C:$FA,92)</f>
        <v>-596875</v>
      </c>
      <c r="J160" s="87">
        <f>VLOOKUP($A160,'Data shares'!$C:$FA,93)</f>
        <v>-0.04</v>
      </c>
      <c r="K160" s="86">
        <f>VLOOKUP($A160,'Data shares'!$C:$FA,94)</f>
        <v>11465625</v>
      </c>
      <c r="L160" s="86">
        <f>VLOOKUP($A160,'Data shares'!$C:$FA,96)</f>
        <v>231250</v>
      </c>
      <c r="M160" s="87">
        <f>VLOOKUP($A160,'Data shares'!$C:$FA,97)</f>
        <v>2.06E-2</v>
      </c>
      <c r="N160" s="86">
        <f>VLOOKUP($A160,'Data shares'!$C:$FA,78)</f>
        <v>50693750</v>
      </c>
      <c r="O160" s="87">
        <f>VLOOKUP($A160,'Data shares'!$C:$FA,81)</f>
        <v>-1.34E-2</v>
      </c>
    </row>
    <row r="161" spans="1:15" x14ac:dyDescent="0.25">
      <c r="A161" s="100" t="str">
        <f>'OI(Value)'!A161</f>
        <v>OBEROIRLTY</v>
      </c>
      <c r="B161" s="82">
        <f>VLOOKUP(A161,'Data shares'!$C$2:$CV$223,98,0)</f>
        <v>7815500</v>
      </c>
      <c r="C161" s="82">
        <f>VLOOKUP(A161,'Data shares'!$C$2:$CX$223,100,0)</f>
        <v>143150</v>
      </c>
      <c r="D161" s="141">
        <f>VLOOKUP(A161,'Data shares'!$C$2:$CY$546,101,0)</f>
        <v>1.8700000000000001E-2</v>
      </c>
      <c r="E161" s="86">
        <f>VLOOKUP($A161,'Data shares'!$C:$FA,74)</f>
        <v>5087250</v>
      </c>
      <c r="F161" s="86">
        <f>VLOOKUP($A161,'Data shares'!$C:$FA,76)</f>
        <v>-19950</v>
      </c>
      <c r="G161" s="87">
        <f>VLOOKUP(A161,'Data shares'!$C$2:$CA$223,77,0)</f>
        <v>-3.8999999999999998E-3</v>
      </c>
      <c r="H161" s="86">
        <f>VLOOKUP($A161,'Data shares'!$C:$FA,90)</f>
        <v>1751750</v>
      </c>
      <c r="I161" s="86">
        <f>VLOOKUP($A161,'Data shares'!$C:$FA,92)</f>
        <v>177100</v>
      </c>
      <c r="J161" s="87">
        <f>VLOOKUP($A161,'Data shares'!$C:$FA,93)</f>
        <v>0.1125</v>
      </c>
      <c r="K161" s="86">
        <f>VLOOKUP($A161,'Data shares'!$C:$FA,94)</f>
        <v>976500</v>
      </c>
      <c r="L161" s="86">
        <f>VLOOKUP($A161,'Data shares'!$C:$FA,96)</f>
        <v>-14000</v>
      </c>
      <c r="M161" s="87">
        <f>VLOOKUP($A161,'Data shares'!$C:$FA,97)</f>
        <v>-1.41E-2</v>
      </c>
      <c r="N161" s="86">
        <f>VLOOKUP($A161,'Data shares'!$C:$FA,78)</f>
        <v>4782750</v>
      </c>
      <c r="O161" s="87">
        <f>VLOOKUP($A161,'Data shares'!$C:$FA,81)</f>
        <v>-1.4200000000000001E-2</v>
      </c>
    </row>
    <row r="162" spans="1:15" x14ac:dyDescent="0.25">
      <c r="A162" s="100" t="str">
        <f>'OI(Value)'!A162</f>
        <v>OFSS</v>
      </c>
      <c r="B162" s="82">
        <f>VLOOKUP(A162,'Data shares'!$C$2:$CV$223,98,0)</f>
        <v>1551375</v>
      </c>
      <c r="C162" s="82">
        <f>VLOOKUP(A162,'Data shares'!$C$2:$CX$223,100,0)</f>
        <v>84525</v>
      </c>
      <c r="D162" s="141">
        <f>VLOOKUP(A162,'Data shares'!$C$2:$CY$546,101,0)</f>
        <v>5.7599999999999998E-2</v>
      </c>
      <c r="E162" s="86">
        <f>VLOOKUP($A162,'Data shares'!$C:$FA,74)</f>
        <v>951825</v>
      </c>
      <c r="F162" s="86">
        <f>VLOOKUP($A162,'Data shares'!$C:$FA,76)</f>
        <v>19125</v>
      </c>
      <c r="G162" s="87">
        <f>VLOOKUP(A162,'Data shares'!$C$2:$CA$223,77,0)</f>
        <v>2.0500000000000001E-2</v>
      </c>
      <c r="H162" s="86">
        <f>VLOOKUP($A162,'Data shares'!$C:$FA,90)</f>
        <v>380100</v>
      </c>
      <c r="I162" s="86">
        <f>VLOOKUP($A162,'Data shares'!$C:$FA,92)</f>
        <v>20625</v>
      </c>
      <c r="J162" s="87">
        <f>VLOOKUP($A162,'Data shares'!$C:$FA,93)</f>
        <v>5.74E-2</v>
      </c>
      <c r="K162" s="86">
        <f>VLOOKUP($A162,'Data shares'!$C:$FA,94)</f>
        <v>219450</v>
      </c>
      <c r="L162" s="86">
        <f>VLOOKUP($A162,'Data shares'!$C:$FA,96)</f>
        <v>44775</v>
      </c>
      <c r="M162" s="87">
        <f>VLOOKUP($A162,'Data shares'!$C:$FA,97)</f>
        <v>0.25629999999999997</v>
      </c>
      <c r="N162" s="86">
        <f>VLOOKUP($A162,'Data shares'!$C:$FA,78)</f>
        <v>887325</v>
      </c>
      <c r="O162" s="87">
        <f>VLOOKUP($A162,'Data shares'!$C:$FA,81)</f>
        <v>2.8E-3</v>
      </c>
    </row>
    <row r="163" spans="1:15" x14ac:dyDescent="0.25">
      <c r="A163" s="100" t="str">
        <f>'OI(Value)'!A163</f>
        <v>OIL</v>
      </c>
      <c r="B163" s="82">
        <f>VLOOKUP(A163,'Data shares'!$C$2:$CV$223,98,0)</f>
        <v>21571200</v>
      </c>
      <c r="C163" s="82">
        <f>VLOOKUP(A163,'Data shares'!$C$2:$CX$223,100,0)</f>
        <v>747600</v>
      </c>
      <c r="D163" s="141">
        <f>VLOOKUP(A163,'Data shares'!$C$2:$CY$546,101,0)</f>
        <v>3.5900000000000001E-2</v>
      </c>
      <c r="E163" s="86">
        <f>VLOOKUP($A163,'Data shares'!$C:$FA,74)</f>
        <v>12878600</v>
      </c>
      <c r="F163" s="86">
        <f>VLOOKUP($A163,'Data shares'!$C:$FA,76)</f>
        <v>765800</v>
      </c>
      <c r="G163" s="87">
        <f>VLOOKUP(A163,'Data shares'!$C$2:$CA$223,77,0)</f>
        <v>6.3200000000000006E-2</v>
      </c>
      <c r="H163" s="86">
        <f>VLOOKUP($A163,'Data shares'!$C:$FA,90)</f>
        <v>5635000</v>
      </c>
      <c r="I163" s="86">
        <f>VLOOKUP($A163,'Data shares'!$C:$FA,92)</f>
        <v>-112000</v>
      </c>
      <c r="J163" s="87">
        <f>VLOOKUP($A163,'Data shares'!$C:$FA,93)</f>
        <v>-1.95E-2</v>
      </c>
      <c r="K163" s="86">
        <f>VLOOKUP($A163,'Data shares'!$C:$FA,94)</f>
        <v>3057600</v>
      </c>
      <c r="L163" s="86">
        <f>VLOOKUP($A163,'Data shares'!$C:$FA,96)</f>
        <v>93800</v>
      </c>
      <c r="M163" s="87">
        <f>VLOOKUP($A163,'Data shares'!$C:$FA,97)</f>
        <v>3.1600000000000003E-2</v>
      </c>
      <c r="N163" s="86">
        <f>VLOOKUP($A163,'Data shares'!$C:$FA,78)</f>
        <v>11191600</v>
      </c>
      <c r="O163" s="87">
        <f>VLOOKUP($A163,'Data shares'!$C:$FA,81)</f>
        <v>4.4999999999999997E-3</v>
      </c>
    </row>
    <row r="164" spans="1:15" x14ac:dyDescent="0.25">
      <c r="A164" s="100" t="str">
        <f>'OI(Value)'!A164</f>
        <v>ONGC</v>
      </c>
      <c r="B164" s="82">
        <f>VLOOKUP(A164,'Data shares'!$C$2:$CV$223,98,0)</f>
        <v>158827500</v>
      </c>
      <c r="C164" s="82">
        <f>VLOOKUP(A164,'Data shares'!$C$2:$CX$223,100,0)</f>
        <v>3300750</v>
      </c>
      <c r="D164" s="141">
        <f>VLOOKUP(A164,'Data shares'!$C$2:$CY$546,101,0)</f>
        <v>2.12E-2</v>
      </c>
      <c r="E164" s="86">
        <f>VLOOKUP($A164,'Data shares'!$C:$FA,74)</f>
        <v>84096000</v>
      </c>
      <c r="F164" s="86">
        <f>VLOOKUP($A164,'Data shares'!$C:$FA,76)</f>
        <v>-171000</v>
      </c>
      <c r="G164" s="87">
        <f>VLOOKUP(A164,'Data shares'!$C$2:$CA$223,77,0)</f>
        <v>-2E-3</v>
      </c>
      <c r="H164" s="86">
        <f>VLOOKUP($A164,'Data shares'!$C:$FA,90)</f>
        <v>52843500</v>
      </c>
      <c r="I164" s="86">
        <f>VLOOKUP($A164,'Data shares'!$C:$FA,92)</f>
        <v>2875500</v>
      </c>
      <c r="J164" s="87">
        <f>VLOOKUP($A164,'Data shares'!$C:$FA,93)</f>
        <v>5.7500000000000002E-2</v>
      </c>
      <c r="K164" s="86">
        <f>VLOOKUP($A164,'Data shares'!$C:$FA,94)</f>
        <v>21888000</v>
      </c>
      <c r="L164" s="86">
        <f>VLOOKUP($A164,'Data shares'!$C:$FA,96)</f>
        <v>596250</v>
      </c>
      <c r="M164" s="87">
        <f>VLOOKUP($A164,'Data shares'!$C:$FA,97)</f>
        <v>2.8000000000000001E-2</v>
      </c>
      <c r="N164" s="86">
        <f>VLOOKUP($A164,'Data shares'!$C:$FA,78)</f>
        <v>76799250</v>
      </c>
      <c r="O164" s="87">
        <f>VLOOKUP($A164,'Data shares'!$C:$FA,81)</f>
        <v>-1.4999999999999999E-2</v>
      </c>
    </row>
    <row r="165" spans="1:15" x14ac:dyDescent="0.25">
      <c r="A165" s="100" t="str">
        <f>'OI(Value)'!A165</f>
        <v>PAGEIND</v>
      </c>
      <c r="B165" s="82">
        <f>VLOOKUP(A165,'Data shares'!$C$2:$CV$223,98,0)</f>
        <v>448245</v>
      </c>
      <c r="C165" s="82">
        <f>VLOOKUP(A165,'Data shares'!$C$2:$CX$223,100,0)</f>
        <v>11265</v>
      </c>
      <c r="D165" s="141">
        <f>VLOOKUP(A165,'Data shares'!$C$2:$CY$546,101,0)</f>
        <v>2.58E-2</v>
      </c>
      <c r="E165" s="86">
        <f>VLOOKUP($A165,'Data shares'!$C:$FA,74)</f>
        <v>293280</v>
      </c>
      <c r="F165" s="86">
        <f>VLOOKUP($A165,'Data shares'!$C:$FA,76)</f>
        <v>-270</v>
      </c>
      <c r="G165" s="87">
        <f>VLOOKUP(A165,'Data shares'!$C$2:$CA$223,77,0)</f>
        <v>-8.9999999999999998E-4</v>
      </c>
      <c r="H165" s="86">
        <f>VLOOKUP($A165,'Data shares'!$C:$FA,90)</f>
        <v>115410</v>
      </c>
      <c r="I165" s="86">
        <f>VLOOKUP($A165,'Data shares'!$C:$FA,92)</f>
        <v>9135</v>
      </c>
      <c r="J165" s="87">
        <f>VLOOKUP($A165,'Data shares'!$C:$FA,93)</f>
        <v>8.5999999999999993E-2</v>
      </c>
      <c r="K165" s="86">
        <f>VLOOKUP($A165,'Data shares'!$C:$FA,94)</f>
        <v>39555</v>
      </c>
      <c r="L165" s="86">
        <f>VLOOKUP($A165,'Data shares'!$C:$FA,96)</f>
        <v>2400</v>
      </c>
      <c r="M165" s="87">
        <f>VLOOKUP($A165,'Data shares'!$C:$FA,97)</f>
        <v>6.4600000000000005E-2</v>
      </c>
      <c r="N165" s="86">
        <f>VLOOKUP($A165,'Data shares'!$C:$FA,78)</f>
        <v>274965</v>
      </c>
      <c r="O165" s="87">
        <f>VLOOKUP($A165,'Data shares'!$C:$FA,81)</f>
        <v>-1.1900000000000001E-2</v>
      </c>
    </row>
    <row r="166" spans="1:15" x14ac:dyDescent="0.25">
      <c r="A166" s="100" t="str">
        <f>'OI(Value)'!A166</f>
        <v>PATANJALI</v>
      </c>
      <c r="B166" s="82">
        <f>VLOOKUP(A166,'Data shares'!$C$2:$CV$223,98,0)</f>
        <v>15084600</v>
      </c>
      <c r="C166" s="82">
        <f>VLOOKUP(A166,'Data shares'!$C$2:$CX$223,100,0)</f>
        <v>126000</v>
      </c>
      <c r="D166" s="141">
        <f>VLOOKUP(A166,'Data shares'!$C$2:$CY$546,101,0)</f>
        <v>8.3999999999999995E-3</v>
      </c>
      <c r="E166" s="86">
        <f>VLOOKUP($A166,'Data shares'!$C:$FA,74)</f>
        <v>11360700</v>
      </c>
      <c r="F166" s="86">
        <f>VLOOKUP($A166,'Data shares'!$C:$FA,76)</f>
        <v>35400</v>
      </c>
      <c r="G166" s="87">
        <f>VLOOKUP(A166,'Data shares'!$C$2:$CA$223,77,0)</f>
        <v>3.0999999999999999E-3</v>
      </c>
      <c r="H166" s="86">
        <f>VLOOKUP($A166,'Data shares'!$C:$FA,90)</f>
        <v>2595000</v>
      </c>
      <c r="I166" s="86">
        <f>VLOOKUP($A166,'Data shares'!$C:$FA,92)</f>
        <v>97200</v>
      </c>
      <c r="J166" s="87">
        <f>VLOOKUP($A166,'Data shares'!$C:$FA,93)</f>
        <v>3.8899999999999997E-2</v>
      </c>
      <c r="K166" s="86">
        <f>VLOOKUP($A166,'Data shares'!$C:$FA,94)</f>
        <v>1128900</v>
      </c>
      <c r="L166" s="86">
        <f>VLOOKUP($A166,'Data shares'!$C:$FA,96)</f>
        <v>-6600</v>
      </c>
      <c r="M166" s="87">
        <f>VLOOKUP($A166,'Data shares'!$C:$FA,97)</f>
        <v>-5.7999999999999996E-3</v>
      </c>
      <c r="N166" s="86">
        <f>VLOOKUP($A166,'Data shares'!$C:$FA,78)</f>
        <v>10102800</v>
      </c>
      <c r="O166" s="87">
        <f>VLOOKUP($A166,'Data shares'!$C:$FA,81)</f>
        <v>-5.1999999999999998E-3</v>
      </c>
    </row>
    <row r="167" spans="1:15" x14ac:dyDescent="0.25">
      <c r="A167" s="100" t="str">
        <f>'OI(Value)'!A167</f>
        <v>PAYTM</v>
      </c>
      <c r="B167" s="82">
        <f>VLOOKUP(A167,'Data shares'!$C$2:$CV$223,98,0)</f>
        <v>53291125</v>
      </c>
      <c r="C167" s="82">
        <f>VLOOKUP(A167,'Data shares'!$C$2:$CX$223,100,0)</f>
        <v>2394675</v>
      </c>
      <c r="D167" s="141">
        <f>VLOOKUP(A167,'Data shares'!$C$2:$CY$546,101,0)</f>
        <v>4.7E-2</v>
      </c>
      <c r="E167" s="86">
        <f>VLOOKUP($A167,'Data shares'!$C:$FA,74)</f>
        <v>28214100</v>
      </c>
      <c r="F167" s="86">
        <f>VLOOKUP($A167,'Data shares'!$C:$FA,76)</f>
        <v>313200</v>
      </c>
      <c r="G167" s="87">
        <f>VLOOKUP(A167,'Data shares'!$C$2:$CA$223,77,0)</f>
        <v>1.12E-2</v>
      </c>
      <c r="H167" s="86">
        <f>VLOOKUP($A167,'Data shares'!$C:$FA,90)</f>
        <v>13148600</v>
      </c>
      <c r="I167" s="86">
        <f>VLOOKUP($A167,'Data shares'!$C:$FA,92)</f>
        <v>1440575</v>
      </c>
      <c r="J167" s="87">
        <f>VLOOKUP($A167,'Data shares'!$C:$FA,93)</f>
        <v>0.123</v>
      </c>
      <c r="K167" s="86">
        <f>VLOOKUP($A167,'Data shares'!$C:$FA,94)</f>
        <v>11928425</v>
      </c>
      <c r="L167" s="86">
        <f>VLOOKUP($A167,'Data shares'!$C:$FA,96)</f>
        <v>640900</v>
      </c>
      <c r="M167" s="87">
        <f>VLOOKUP($A167,'Data shares'!$C:$FA,97)</f>
        <v>5.6800000000000003E-2</v>
      </c>
      <c r="N167" s="86">
        <f>VLOOKUP($A167,'Data shares'!$C:$FA,78)</f>
        <v>26349400</v>
      </c>
      <c r="O167" s="87">
        <f>VLOOKUP($A167,'Data shares'!$C:$FA,81)</f>
        <v>-4.4000000000000003E-3</v>
      </c>
    </row>
    <row r="168" spans="1:15" x14ac:dyDescent="0.25">
      <c r="A168" s="100" t="str">
        <f>'OI(Value)'!A168</f>
        <v>PERSISTENT</v>
      </c>
      <c r="B168" s="82">
        <f>VLOOKUP(A168,'Data shares'!$C$2:$CV$223,98,0)</f>
        <v>5022700</v>
      </c>
      <c r="C168" s="82">
        <f>VLOOKUP(A168,'Data shares'!$C$2:$CX$223,100,0)</f>
        <v>-123500</v>
      </c>
      <c r="D168" s="141">
        <f>VLOOKUP(A168,'Data shares'!$C$2:$CY$546,101,0)</f>
        <v>-2.4E-2</v>
      </c>
      <c r="E168" s="86">
        <f>VLOOKUP($A168,'Data shares'!$C:$FA,74)</f>
        <v>3016600</v>
      </c>
      <c r="F168" s="86">
        <f>VLOOKUP($A168,'Data shares'!$C:$FA,76)</f>
        <v>45500</v>
      </c>
      <c r="G168" s="87">
        <f>VLOOKUP(A168,'Data shares'!$C$2:$CA$223,77,0)</f>
        <v>1.5299999999999999E-2</v>
      </c>
      <c r="H168" s="86">
        <f>VLOOKUP($A168,'Data shares'!$C:$FA,90)</f>
        <v>1238800</v>
      </c>
      <c r="I168" s="86">
        <f>VLOOKUP($A168,'Data shares'!$C:$FA,92)</f>
        <v>-148000</v>
      </c>
      <c r="J168" s="87">
        <f>VLOOKUP($A168,'Data shares'!$C:$FA,93)</f>
        <v>-0.1067</v>
      </c>
      <c r="K168" s="86">
        <f>VLOOKUP($A168,'Data shares'!$C:$FA,94)</f>
        <v>767300</v>
      </c>
      <c r="L168" s="86">
        <f>VLOOKUP($A168,'Data shares'!$C:$FA,96)</f>
        <v>-21000</v>
      </c>
      <c r="M168" s="87">
        <f>VLOOKUP($A168,'Data shares'!$C:$FA,97)</f>
        <v>-2.6599999999999999E-2</v>
      </c>
      <c r="N168" s="86">
        <f>VLOOKUP($A168,'Data shares'!$C:$FA,78)</f>
        <v>2748100</v>
      </c>
      <c r="O168" s="87">
        <f>VLOOKUP($A168,'Data shares'!$C:$FA,81)</f>
        <v>-9.7999999999999997E-3</v>
      </c>
    </row>
    <row r="169" spans="1:15" x14ac:dyDescent="0.25">
      <c r="A169" s="100" t="str">
        <f>'OI(Value)'!A169</f>
        <v>PETRONET</v>
      </c>
      <c r="B169" s="82">
        <f>VLOOKUP(A169,'Data shares'!$C$2:$CV$223,98,0)</f>
        <v>70903800</v>
      </c>
      <c r="C169" s="82">
        <f>VLOOKUP(A169,'Data shares'!$C$2:$CX$223,100,0)</f>
        <v>347400</v>
      </c>
      <c r="D169" s="141">
        <f>VLOOKUP(A169,'Data shares'!$C$2:$CY$546,101,0)</f>
        <v>4.8999999999999998E-3</v>
      </c>
      <c r="E169" s="86">
        <f>VLOOKUP($A169,'Data shares'!$C:$FA,74)</f>
        <v>39729600</v>
      </c>
      <c r="F169" s="86">
        <f>VLOOKUP($A169,'Data shares'!$C:$FA,76)</f>
        <v>-45000</v>
      </c>
      <c r="G169" s="87">
        <f>VLOOKUP(A169,'Data shares'!$C$2:$CA$223,77,0)</f>
        <v>-1.1000000000000001E-3</v>
      </c>
      <c r="H169" s="86">
        <f>VLOOKUP($A169,'Data shares'!$C:$FA,90)</f>
        <v>14720400</v>
      </c>
      <c r="I169" s="86">
        <f>VLOOKUP($A169,'Data shares'!$C:$FA,92)</f>
        <v>-178200</v>
      </c>
      <c r="J169" s="87">
        <f>VLOOKUP($A169,'Data shares'!$C:$FA,93)</f>
        <v>-1.2E-2</v>
      </c>
      <c r="K169" s="86">
        <f>VLOOKUP($A169,'Data shares'!$C:$FA,94)</f>
        <v>16453800</v>
      </c>
      <c r="L169" s="86">
        <f>VLOOKUP($A169,'Data shares'!$C:$FA,96)</f>
        <v>570600</v>
      </c>
      <c r="M169" s="87">
        <f>VLOOKUP($A169,'Data shares'!$C:$FA,97)</f>
        <v>3.5900000000000001E-2</v>
      </c>
      <c r="N169" s="86">
        <f>VLOOKUP($A169,'Data shares'!$C:$FA,78)</f>
        <v>37467000</v>
      </c>
      <c r="O169" s="87">
        <f>VLOOKUP($A169,'Data shares'!$C:$FA,81)</f>
        <v>-1.52E-2</v>
      </c>
    </row>
    <row r="170" spans="1:15" x14ac:dyDescent="0.25">
      <c r="A170" s="100" t="str">
        <f>'OI(Value)'!A170</f>
        <v>PFC</v>
      </c>
      <c r="B170" s="82">
        <f>VLOOKUP(A170,'Data shares'!$C$2:$CV$223,98,0)</f>
        <v>102358100</v>
      </c>
      <c r="C170" s="82">
        <f>VLOOKUP(A170,'Data shares'!$C$2:$CX$223,100,0)</f>
        <v>6566300</v>
      </c>
      <c r="D170" s="141">
        <f>VLOOKUP(A170,'Data shares'!$C$2:$CY$546,101,0)</f>
        <v>6.8500000000000005E-2</v>
      </c>
      <c r="E170" s="86">
        <f>VLOOKUP($A170,'Data shares'!$C:$FA,74)</f>
        <v>55283800</v>
      </c>
      <c r="F170" s="86">
        <f>VLOOKUP($A170,'Data shares'!$C:$FA,76)</f>
        <v>-486200</v>
      </c>
      <c r="G170" s="87">
        <f>VLOOKUP(A170,'Data shares'!$C$2:$CA$223,77,0)</f>
        <v>-8.6999999999999994E-3</v>
      </c>
      <c r="H170" s="86">
        <f>VLOOKUP($A170,'Data shares'!$C:$FA,90)</f>
        <v>26302900</v>
      </c>
      <c r="I170" s="86">
        <f>VLOOKUP($A170,'Data shares'!$C:$FA,92)</f>
        <v>4979000</v>
      </c>
      <c r="J170" s="87">
        <f>VLOOKUP($A170,'Data shares'!$C:$FA,93)</f>
        <v>0.23350000000000001</v>
      </c>
      <c r="K170" s="86">
        <f>VLOOKUP($A170,'Data shares'!$C:$FA,94)</f>
        <v>20771400</v>
      </c>
      <c r="L170" s="86">
        <f>VLOOKUP($A170,'Data shares'!$C:$FA,96)</f>
        <v>2073500</v>
      </c>
      <c r="M170" s="87">
        <f>VLOOKUP($A170,'Data shares'!$C:$FA,97)</f>
        <v>0.1109</v>
      </c>
      <c r="N170" s="86">
        <f>VLOOKUP($A170,'Data shares'!$C:$FA,78)</f>
        <v>44749900</v>
      </c>
      <c r="O170" s="87">
        <f>VLOOKUP($A170,'Data shares'!$C:$FA,81)</f>
        <v>-2.5000000000000001E-2</v>
      </c>
    </row>
    <row r="171" spans="1:15" x14ac:dyDescent="0.25">
      <c r="A171" s="100" t="str">
        <f>'OI(Value)'!A171</f>
        <v>PGEL</v>
      </c>
      <c r="B171" s="82">
        <f>VLOOKUP(A171,'Data shares'!$C$2:$CV$223,98,0)</f>
        <v>35054600</v>
      </c>
      <c r="C171" s="82">
        <f>VLOOKUP(A171,'Data shares'!$C$2:$CX$223,100,0)</f>
        <v>10112900</v>
      </c>
      <c r="D171" s="141">
        <f>VLOOKUP(A171,'Data shares'!$C$2:$CY$546,101,0)</f>
        <v>0.40550000000000003</v>
      </c>
      <c r="E171" s="86">
        <f>VLOOKUP($A171,'Data shares'!$C:$FA,74)</f>
        <v>13855800</v>
      </c>
      <c r="F171" s="86">
        <f>VLOOKUP($A171,'Data shares'!$C:$FA,76)</f>
        <v>1863400</v>
      </c>
      <c r="G171" s="87">
        <f>VLOOKUP(A171,'Data shares'!$C$2:$CA$223,77,0)</f>
        <v>0.15540000000000001</v>
      </c>
      <c r="H171" s="86">
        <f>VLOOKUP($A171,'Data shares'!$C:$FA,90)</f>
        <v>14520800</v>
      </c>
      <c r="I171" s="86">
        <f>VLOOKUP($A171,'Data shares'!$C:$FA,92)</f>
        <v>5627300</v>
      </c>
      <c r="J171" s="87">
        <f>VLOOKUP($A171,'Data shares'!$C:$FA,93)</f>
        <v>0.63270000000000004</v>
      </c>
      <c r="K171" s="86">
        <f>VLOOKUP($A171,'Data shares'!$C:$FA,94)</f>
        <v>6678000</v>
      </c>
      <c r="L171" s="86">
        <f>VLOOKUP($A171,'Data shares'!$C:$FA,96)</f>
        <v>2622200</v>
      </c>
      <c r="M171" s="87">
        <f>VLOOKUP($A171,'Data shares'!$C:$FA,97)</f>
        <v>0.64649999999999996</v>
      </c>
      <c r="N171" s="86">
        <f>VLOOKUP($A171,'Data shares'!$C:$FA,78)</f>
        <v>10037300</v>
      </c>
      <c r="O171" s="87">
        <f>VLOOKUP($A171,'Data shares'!$C:$FA,81)</f>
        <v>8.3199999999999996E-2</v>
      </c>
    </row>
    <row r="172" spans="1:15" x14ac:dyDescent="0.25">
      <c r="A172" s="100" t="str">
        <f>'OI(Value)'!A172</f>
        <v>PHOENIXLTD</v>
      </c>
      <c r="B172" s="82">
        <f>VLOOKUP(A172,'Data shares'!$C$2:$CV$223,98,0)</f>
        <v>5858650</v>
      </c>
      <c r="C172" s="82">
        <f>VLOOKUP(A172,'Data shares'!$C$2:$CX$223,100,0)</f>
        <v>145250</v>
      </c>
      <c r="D172" s="141">
        <f>VLOOKUP(A172,'Data shares'!$C$2:$CY$546,101,0)</f>
        <v>2.5399999999999999E-2</v>
      </c>
      <c r="E172" s="86">
        <f>VLOOKUP($A172,'Data shares'!$C:$FA,74)</f>
        <v>4403000</v>
      </c>
      <c r="F172" s="86">
        <f>VLOOKUP($A172,'Data shares'!$C:$FA,76)</f>
        <v>-16800</v>
      </c>
      <c r="G172" s="87">
        <f>VLOOKUP(A172,'Data shares'!$C$2:$CA$223,77,0)</f>
        <v>-3.8E-3</v>
      </c>
      <c r="H172" s="86">
        <f>VLOOKUP($A172,'Data shares'!$C:$FA,90)</f>
        <v>884800</v>
      </c>
      <c r="I172" s="86">
        <f>VLOOKUP($A172,'Data shares'!$C:$FA,92)</f>
        <v>60200</v>
      </c>
      <c r="J172" s="87">
        <f>VLOOKUP($A172,'Data shares'!$C:$FA,93)</f>
        <v>7.2999999999999995E-2</v>
      </c>
      <c r="K172" s="86">
        <f>VLOOKUP($A172,'Data shares'!$C:$FA,94)</f>
        <v>570850</v>
      </c>
      <c r="L172" s="86">
        <f>VLOOKUP($A172,'Data shares'!$C:$FA,96)</f>
        <v>101850</v>
      </c>
      <c r="M172" s="87">
        <f>VLOOKUP($A172,'Data shares'!$C:$FA,97)</f>
        <v>0.2172</v>
      </c>
      <c r="N172" s="86">
        <f>VLOOKUP($A172,'Data shares'!$C:$FA,78)</f>
        <v>4173400</v>
      </c>
      <c r="O172" s="87">
        <f>VLOOKUP($A172,'Data shares'!$C:$FA,81)</f>
        <v>-3.1800000000000002E-2</v>
      </c>
    </row>
    <row r="173" spans="1:15" x14ac:dyDescent="0.25">
      <c r="A173" s="100" t="str">
        <f>'OI(Value)'!A173</f>
        <v>PIDILITIND</v>
      </c>
      <c r="B173" s="82">
        <f>VLOOKUP(A173,'Data shares'!$C$2:$CV$223,98,0)</f>
        <v>5701250</v>
      </c>
      <c r="C173" s="82">
        <f>VLOOKUP(A173,'Data shares'!$C$2:$CX$223,100,0)</f>
        <v>-27000</v>
      </c>
      <c r="D173" s="141">
        <f>VLOOKUP(A173,'Data shares'!$C$2:$CY$546,101,0)</f>
        <v>-4.7000000000000002E-3</v>
      </c>
      <c r="E173" s="86">
        <f>VLOOKUP($A173,'Data shares'!$C:$FA,74)</f>
        <v>3916500</v>
      </c>
      <c r="F173" s="86">
        <f>VLOOKUP($A173,'Data shares'!$C:$FA,76)</f>
        <v>5250</v>
      </c>
      <c r="G173" s="87">
        <f>VLOOKUP(A173,'Data shares'!$C$2:$CA$223,77,0)</f>
        <v>1.2999999999999999E-3</v>
      </c>
      <c r="H173" s="86">
        <f>VLOOKUP($A173,'Data shares'!$C:$FA,90)</f>
        <v>1006750</v>
      </c>
      <c r="I173" s="86">
        <f>VLOOKUP($A173,'Data shares'!$C:$FA,92)</f>
        <v>-21750</v>
      </c>
      <c r="J173" s="87">
        <f>VLOOKUP($A173,'Data shares'!$C:$FA,93)</f>
        <v>-2.1100000000000001E-2</v>
      </c>
      <c r="K173" s="86">
        <f>VLOOKUP($A173,'Data shares'!$C:$FA,94)</f>
        <v>778000</v>
      </c>
      <c r="L173" s="86">
        <f>VLOOKUP($A173,'Data shares'!$C:$FA,96)</f>
        <v>-10500</v>
      </c>
      <c r="M173" s="87">
        <f>VLOOKUP($A173,'Data shares'!$C:$FA,97)</f>
        <v>-1.3299999999999999E-2</v>
      </c>
      <c r="N173" s="86">
        <f>VLOOKUP($A173,'Data shares'!$C:$FA,78)</f>
        <v>3773000</v>
      </c>
      <c r="O173" s="87">
        <f>VLOOKUP($A173,'Data shares'!$C:$FA,81)</f>
        <v>-1.1000000000000001E-3</v>
      </c>
    </row>
    <row r="174" spans="1:15" x14ac:dyDescent="0.25">
      <c r="A174" s="100" t="str">
        <f>'OI(Value)'!A174</f>
        <v>PIIND</v>
      </c>
      <c r="B174" s="82">
        <f>VLOOKUP(A174,'Data shares'!$C$2:$CV$223,98,0)</f>
        <v>3620750</v>
      </c>
      <c r="C174" s="82">
        <f>VLOOKUP(A174,'Data shares'!$C$2:$CX$223,100,0)</f>
        <v>-154350</v>
      </c>
      <c r="D174" s="141">
        <f>VLOOKUP(A174,'Data shares'!$C$2:$CY$546,101,0)</f>
        <v>-4.0899999999999999E-2</v>
      </c>
      <c r="E174" s="86">
        <f>VLOOKUP($A174,'Data shares'!$C:$FA,74)</f>
        <v>2060450</v>
      </c>
      <c r="F174" s="86">
        <f>VLOOKUP($A174,'Data shares'!$C:$FA,76)</f>
        <v>12425</v>
      </c>
      <c r="G174" s="87">
        <f>VLOOKUP(A174,'Data shares'!$C$2:$CA$223,77,0)</f>
        <v>6.1000000000000004E-3</v>
      </c>
      <c r="H174" s="86">
        <f>VLOOKUP($A174,'Data shares'!$C:$FA,90)</f>
        <v>942200</v>
      </c>
      <c r="I174" s="86">
        <f>VLOOKUP($A174,'Data shares'!$C:$FA,92)</f>
        <v>-117250</v>
      </c>
      <c r="J174" s="87">
        <f>VLOOKUP($A174,'Data shares'!$C:$FA,93)</f>
        <v>-0.11070000000000001</v>
      </c>
      <c r="K174" s="86">
        <f>VLOOKUP($A174,'Data shares'!$C:$FA,94)</f>
        <v>618100</v>
      </c>
      <c r="L174" s="86">
        <f>VLOOKUP($A174,'Data shares'!$C:$FA,96)</f>
        <v>-49525</v>
      </c>
      <c r="M174" s="87">
        <f>VLOOKUP($A174,'Data shares'!$C:$FA,97)</f>
        <v>-7.4200000000000002E-2</v>
      </c>
      <c r="N174" s="86">
        <f>VLOOKUP($A174,'Data shares'!$C:$FA,78)</f>
        <v>1896650</v>
      </c>
      <c r="O174" s="87">
        <f>VLOOKUP($A174,'Data shares'!$C:$FA,81)</f>
        <v>-1.5699999999999999E-2</v>
      </c>
    </row>
    <row r="175" spans="1:15" x14ac:dyDescent="0.25">
      <c r="A175" s="100" t="str">
        <f>'OI(Value)'!A175</f>
        <v>PNB</v>
      </c>
      <c r="B175" s="82">
        <f>VLOOKUP(A175,'Data shares'!$C$2:$CV$223,98,0)</f>
        <v>471136000</v>
      </c>
      <c r="C175" s="82">
        <f>VLOOKUP(A175,'Data shares'!$C$2:$CX$223,100,0)</f>
        <v>12624000</v>
      </c>
      <c r="D175" s="141">
        <f>VLOOKUP(A175,'Data shares'!$C$2:$CY$546,101,0)</f>
        <v>2.75E-2</v>
      </c>
      <c r="E175" s="86">
        <f>VLOOKUP($A175,'Data shares'!$C:$FA,74)</f>
        <v>266032000</v>
      </c>
      <c r="F175" s="86">
        <f>VLOOKUP($A175,'Data shares'!$C:$FA,76)</f>
        <v>6048000</v>
      </c>
      <c r="G175" s="87">
        <f>VLOOKUP(A175,'Data shares'!$C$2:$CA$223,77,0)</f>
        <v>2.3300000000000001E-2</v>
      </c>
      <c r="H175" s="86">
        <f>VLOOKUP($A175,'Data shares'!$C:$FA,90)</f>
        <v>128280000</v>
      </c>
      <c r="I175" s="86">
        <f>VLOOKUP($A175,'Data shares'!$C:$FA,92)</f>
        <v>6336000</v>
      </c>
      <c r="J175" s="87">
        <f>VLOOKUP($A175,'Data shares'!$C:$FA,93)</f>
        <v>5.1999999999999998E-2</v>
      </c>
      <c r="K175" s="86">
        <f>VLOOKUP($A175,'Data shares'!$C:$FA,94)</f>
        <v>76824000</v>
      </c>
      <c r="L175" s="86">
        <f>VLOOKUP($A175,'Data shares'!$C:$FA,96)</f>
        <v>240000</v>
      </c>
      <c r="M175" s="87">
        <f>VLOOKUP($A175,'Data shares'!$C:$FA,97)</f>
        <v>3.0999999999999999E-3</v>
      </c>
      <c r="N175" s="86">
        <f>VLOOKUP($A175,'Data shares'!$C:$FA,78)</f>
        <v>238208000</v>
      </c>
      <c r="O175" s="87">
        <f>VLOOKUP($A175,'Data shares'!$C:$FA,81)</f>
        <v>2.5999999999999999E-3</v>
      </c>
    </row>
    <row r="176" spans="1:15" x14ac:dyDescent="0.25">
      <c r="A176" s="100" t="str">
        <f>'OI(Value)'!A176</f>
        <v>PNBHOUSING</v>
      </c>
      <c r="B176" s="82">
        <f>VLOOKUP(A176,'Data shares'!$C$2:$CV$223,98,0)</f>
        <v>33213700</v>
      </c>
      <c r="C176" s="82">
        <f>VLOOKUP(A176,'Data shares'!$C$2:$CX$223,100,0)</f>
        <v>1846000</v>
      </c>
      <c r="D176" s="141">
        <f>VLOOKUP(A176,'Data shares'!$C$2:$CY$546,101,0)</f>
        <v>5.8900000000000001E-2</v>
      </c>
      <c r="E176" s="86">
        <f>VLOOKUP($A176,'Data shares'!$C:$FA,74)</f>
        <v>16172000</v>
      </c>
      <c r="F176" s="86">
        <f>VLOOKUP($A176,'Data shares'!$C:$FA,76)</f>
        <v>709150</v>
      </c>
      <c r="G176" s="87">
        <f>VLOOKUP(A176,'Data shares'!$C$2:$CA$223,77,0)</f>
        <v>4.5900000000000003E-2</v>
      </c>
      <c r="H176" s="86">
        <f>VLOOKUP($A176,'Data shares'!$C:$FA,90)</f>
        <v>12051650</v>
      </c>
      <c r="I176" s="86">
        <f>VLOOKUP($A176,'Data shares'!$C:$FA,92)</f>
        <v>738400</v>
      </c>
      <c r="J176" s="87">
        <f>VLOOKUP($A176,'Data shares'!$C:$FA,93)</f>
        <v>6.5299999999999997E-2</v>
      </c>
      <c r="K176" s="86">
        <f>VLOOKUP($A176,'Data shares'!$C:$FA,94)</f>
        <v>4990050</v>
      </c>
      <c r="L176" s="86">
        <f>VLOOKUP($A176,'Data shares'!$C:$FA,96)</f>
        <v>398450</v>
      </c>
      <c r="M176" s="87">
        <f>VLOOKUP($A176,'Data shares'!$C:$FA,97)</f>
        <v>8.6800000000000002E-2</v>
      </c>
      <c r="N176" s="86">
        <f>VLOOKUP($A176,'Data shares'!$C:$FA,78)</f>
        <v>13752700</v>
      </c>
      <c r="O176" s="87">
        <f>VLOOKUP($A176,'Data shares'!$C:$FA,81)</f>
        <v>1.34E-2</v>
      </c>
    </row>
    <row r="177" spans="1:15" x14ac:dyDescent="0.25">
      <c r="A177" s="100" t="str">
        <f>'OI(Value)'!A177</f>
        <v>POLICYBZR</v>
      </c>
      <c r="B177" s="82">
        <f>VLOOKUP(A177,'Data shares'!$C$2:$CV$223,98,0)</f>
        <v>9344650</v>
      </c>
      <c r="C177" s="82">
        <f>VLOOKUP(A177,'Data shares'!$C$2:$CX$223,100,0)</f>
        <v>-82600</v>
      </c>
      <c r="D177" s="141">
        <f>VLOOKUP(A177,'Data shares'!$C$2:$CY$546,101,0)</f>
        <v>-8.8000000000000005E-3</v>
      </c>
      <c r="E177" s="86">
        <f>VLOOKUP($A177,'Data shares'!$C:$FA,74)</f>
        <v>7505750</v>
      </c>
      <c r="F177" s="86">
        <f>VLOOKUP($A177,'Data shares'!$C:$FA,76)</f>
        <v>-91700</v>
      </c>
      <c r="G177" s="87">
        <f>VLOOKUP(A177,'Data shares'!$C$2:$CA$223,77,0)</f>
        <v>-1.21E-2</v>
      </c>
      <c r="H177" s="86">
        <f>VLOOKUP($A177,'Data shares'!$C:$FA,90)</f>
        <v>977900</v>
      </c>
      <c r="I177" s="86">
        <f>VLOOKUP($A177,'Data shares'!$C:$FA,92)</f>
        <v>3850</v>
      </c>
      <c r="J177" s="87">
        <f>VLOOKUP($A177,'Data shares'!$C:$FA,93)</f>
        <v>4.0000000000000001E-3</v>
      </c>
      <c r="K177" s="86">
        <f>VLOOKUP($A177,'Data shares'!$C:$FA,94)</f>
        <v>861000</v>
      </c>
      <c r="L177" s="86">
        <f>VLOOKUP($A177,'Data shares'!$C:$FA,96)</f>
        <v>5250</v>
      </c>
      <c r="M177" s="87">
        <f>VLOOKUP($A177,'Data shares'!$C:$FA,97)</f>
        <v>6.1000000000000004E-3</v>
      </c>
      <c r="N177" s="86">
        <f>VLOOKUP($A177,'Data shares'!$C:$FA,78)</f>
        <v>6988450</v>
      </c>
      <c r="O177" s="87">
        <f>VLOOKUP($A177,'Data shares'!$C:$FA,81)</f>
        <v>-2.5000000000000001E-2</v>
      </c>
    </row>
    <row r="178" spans="1:15" x14ac:dyDescent="0.25">
      <c r="A178" s="100" t="str">
        <f>'OI(Value)'!A178</f>
        <v>POLYCAB</v>
      </c>
      <c r="B178" s="82">
        <f>VLOOKUP(A178,'Data shares'!$C$2:$CV$223,98,0)</f>
        <v>3204875</v>
      </c>
      <c r="C178" s="82">
        <f>VLOOKUP(A178,'Data shares'!$C$2:$CX$223,100,0)</f>
        <v>7875</v>
      </c>
      <c r="D178" s="141">
        <f>VLOOKUP(A178,'Data shares'!$C$2:$CY$546,101,0)</f>
        <v>2.5000000000000001E-3</v>
      </c>
      <c r="E178" s="86">
        <f>VLOOKUP($A178,'Data shares'!$C:$FA,74)</f>
        <v>1679625</v>
      </c>
      <c r="F178" s="86">
        <f>VLOOKUP($A178,'Data shares'!$C:$FA,76)</f>
        <v>-31125</v>
      </c>
      <c r="G178" s="87">
        <f>VLOOKUP(A178,'Data shares'!$C$2:$CA$223,77,0)</f>
        <v>-1.8200000000000001E-2</v>
      </c>
      <c r="H178" s="86">
        <f>VLOOKUP($A178,'Data shares'!$C:$FA,90)</f>
        <v>853750</v>
      </c>
      <c r="I178" s="86">
        <f>VLOOKUP($A178,'Data shares'!$C:$FA,92)</f>
        <v>2375</v>
      </c>
      <c r="J178" s="87">
        <f>VLOOKUP($A178,'Data shares'!$C:$FA,93)</f>
        <v>2.8E-3</v>
      </c>
      <c r="K178" s="86">
        <f>VLOOKUP($A178,'Data shares'!$C:$FA,94)</f>
        <v>671500</v>
      </c>
      <c r="L178" s="86">
        <f>VLOOKUP($A178,'Data shares'!$C:$FA,96)</f>
        <v>36625</v>
      </c>
      <c r="M178" s="87">
        <f>VLOOKUP($A178,'Data shares'!$C:$FA,97)</f>
        <v>5.7700000000000001E-2</v>
      </c>
      <c r="N178" s="86">
        <f>VLOOKUP($A178,'Data shares'!$C:$FA,78)</f>
        <v>1596375</v>
      </c>
      <c r="O178" s="87">
        <f>VLOOKUP($A178,'Data shares'!$C:$FA,81)</f>
        <v>-1.9699999999999999E-2</v>
      </c>
    </row>
    <row r="179" spans="1:15" x14ac:dyDescent="0.25">
      <c r="A179" s="100" t="str">
        <f>'OI(Value)'!A179</f>
        <v>POONAWALLA</v>
      </c>
      <c r="B179" s="82">
        <f>VLOOKUP(A179,'Data shares'!$C$2:$CV$223,98,0)</f>
        <v>14130400</v>
      </c>
      <c r="C179" s="82">
        <f>VLOOKUP(A179,'Data shares'!$C$2:$CX$223,100,0)</f>
        <v>-153000</v>
      </c>
      <c r="D179" s="141">
        <f>VLOOKUP(A179,'Data shares'!$C$2:$CY$546,101,0)</f>
        <v>-1.0699999999999999E-2</v>
      </c>
      <c r="E179" s="86">
        <f>VLOOKUP($A179,'Data shares'!$C:$FA,74)</f>
        <v>9190200</v>
      </c>
      <c r="F179" s="86">
        <f>VLOOKUP($A179,'Data shares'!$C:$FA,76)</f>
        <v>-79900</v>
      </c>
      <c r="G179" s="87">
        <f>VLOOKUP(A179,'Data shares'!$C$2:$CA$223,77,0)</f>
        <v>-8.6E-3</v>
      </c>
      <c r="H179" s="86">
        <f>VLOOKUP($A179,'Data shares'!$C:$FA,90)</f>
        <v>2714900</v>
      </c>
      <c r="I179" s="86">
        <f>VLOOKUP($A179,'Data shares'!$C:$FA,92)</f>
        <v>-1700</v>
      </c>
      <c r="J179" s="87">
        <f>VLOOKUP($A179,'Data shares'!$C:$FA,93)</f>
        <v>-5.9999999999999995E-4</v>
      </c>
      <c r="K179" s="86">
        <f>VLOOKUP($A179,'Data shares'!$C:$FA,94)</f>
        <v>2225300</v>
      </c>
      <c r="L179" s="86">
        <f>VLOOKUP($A179,'Data shares'!$C:$FA,96)</f>
        <v>-71400</v>
      </c>
      <c r="M179" s="87">
        <f>VLOOKUP($A179,'Data shares'!$C:$FA,97)</f>
        <v>-3.1099999999999999E-2</v>
      </c>
      <c r="N179" s="86">
        <f>VLOOKUP($A179,'Data shares'!$C:$FA,78)</f>
        <v>9190200</v>
      </c>
      <c r="O179" s="87">
        <f>VLOOKUP($A179,'Data shares'!$C:$FA,81)</f>
        <v>-8.6E-3</v>
      </c>
    </row>
    <row r="180" spans="1:15" x14ac:dyDescent="0.25">
      <c r="A180" s="100" t="str">
        <f>'OI(Value)'!A180</f>
        <v>POWERGRID</v>
      </c>
      <c r="B180" s="82">
        <f>VLOOKUP(A180,'Data shares'!$C$2:$CV$223,98,0)</f>
        <v>107494400</v>
      </c>
      <c r="C180" s="82">
        <f>VLOOKUP(A180,'Data shares'!$C$2:$CX$223,100,0)</f>
        <v>222300</v>
      </c>
      <c r="D180" s="141">
        <f>VLOOKUP(A180,'Data shares'!$C$2:$CY$546,101,0)</f>
        <v>2.0999999999999999E-3</v>
      </c>
      <c r="E180" s="86">
        <f>VLOOKUP($A180,'Data shares'!$C:$FA,74)</f>
        <v>74611100</v>
      </c>
      <c r="F180" s="86">
        <f>VLOOKUP($A180,'Data shares'!$C:$FA,76)</f>
        <v>-68400</v>
      </c>
      <c r="G180" s="87">
        <f>VLOOKUP(A180,'Data shares'!$C$2:$CA$223,77,0)</f>
        <v>-8.9999999999999998E-4</v>
      </c>
      <c r="H180" s="86">
        <f>VLOOKUP($A180,'Data shares'!$C:$FA,90)</f>
        <v>21635300</v>
      </c>
      <c r="I180" s="86">
        <f>VLOOKUP($A180,'Data shares'!$C:$FA,92)</f>
        <v>-68400</v>
      </c>
      <c r="J180" s="87">
        <f>VLOOKUP($A180,'Data shares'!$C:$FA,93)</f>
        <v>-3.2000000000000002E-3</v>
      </c>
      <c r="K180" s="86">
        <f>VLOOKUP($A180,'Data shares'!$C:$FA,94)</f>
        <v>11248000</v>
      </c>
      <c r="L180" s="86">
        <f>VLOOKUP($A180,'Data shares'!$C:$FA,96)</f>
        <v>359100</v>
      </c>
      <c r="M180" s="87">
        <f>VLOOKUP($A180,'Data shares'!$C:$FA,97)</f>
        <v>3.3000000000000002E-2</v>
      </c>
      <c r="N180" s="86">
        <f>VLOOKUP($A180,'Data shares'!$C:$FA,78)</f>
        <v>69939000</v>
      </c>
      <c r="O180" s="87">
        <f>VLOOKUP($A180,'Data shares'!$C:$FA,81)</f>
        <v>-1.49E-2</v>
      </c>
    </row>
    <row r="181" spans="1:15" x14ac:dyDescent="0.25">
      <c r="A181" s="100" t="str">
        <f>'OI(Value)'!A181</f>
        <v>PPLPHARMA</v>
      </c>
      <c r="B181" s="82">
        <f>VLOOKUP(A181,'Data shares'!$C$2:$CV$223,98,0)</f>
        <v>25045000</v>
      </c>
      <c r="C181" s="82">
        <f>VLOOKUP(A181,'Data shares'!$C$2:$CX$223,100,0)</f>
        <v>137500</v>
      </c>
      <c r="D181" s="141">
        <f>VLOOKUP(A181,'Data shares'!$C$2:$CY$546,101,0)</f>
        <v>5.4999999999999997E-3</v>
      </c>
      <c r="E181" s="86">
        <f>VLOOKUP($A181,'Data shares'!$C:$FA,74)</f>
        <v>12890000</v>
      </c>
      <c r="F181" s="86">
        <f>VLOOKUP($A181,'Data shares'!$C:$FA,76)</f>
        <v>52500</v>
      </c>
      <c r="G181" s="87">
        <f>VLOOKUP(A181,'Data shares'!$C$2:$CA$223,77,0)</f>
        <v>4.1000000000000003E-3</v>
      </c>
      <c r="H181" s="86">
        <f>VLOOKUP($A181,'Data shares'!$C:$FA,90)</f>
        <v>7577500</v>
      </c>
      <c r="I181" s="86">
        <f>VLOOKUP($A181,'Data shares'!$C:$FA,92)</f>
        <v>-67500</v>
      </c>
      <c r="J181" s="87">
        <f>VLOOKUP($A181,'Data shares'!$C:$FA,93)</f>
        <v>-8.8000000000000005E-3</v>
      </c>
      <c r="K181" s="86">
        <f>VLOOKUP($A181,'Data shares'!$C:$FA,94)</f>
        <v>4577500</v>
      </c>
      <c r="L181" s="86">
        <f>VLOOKUP($A181,'Data shares'!$C:$FA,96)</f>
        <v>152500</v>
      </c>
      <c r="M181" s="87">
        <f>VLOOKUP($A181,'Data shares'!$C:$FA,97)</f>
        <v>3.4500000000000003E-2</v>
      </c>
      <c r="N181" s="86">
        <f>VLOOKUP($A181,'Data shares'!$C:$FA,78)</f>
        <v>11667500</v>
      </c>
      <c r="O181" s="87">
        <f>VLOOKUP($A181,'Data shares'!$C:$FA,81)</f>
        <v>-1.12E-2</v>
      </c>
    </row>
    <row r="182" spans="1:15" x14ac:dyDescent="0.25">
      <c r="A182" s="100" t="str">
        <f>'OI(Value)'!A182</f>
        <v>PRESTIGE</v>
      </c>
      <c r="B182" s="82">
        <f>VLOOKUP(A182,'Data shares'!$C$2:$CV$223,98,0)</f>
        <v>8215200</v>
      </c>
      <c r="C182" s="82">
        <f>VLOOKUP(A182,'Data shares'!$C$2:$CX$223,100,0)</f>
        <v>120600</v>
      </c>
      <c r="D182" s="141">
        <f>VLOOKUP(A182,'Data shares'!$C$2:$CY$546,101,0)</f>
        <v>1.49E-2</v>
      </c>
      <c r="E182" s="86">
        <f>VLOOKUP($A182,'Data shares'!$C:$FA,74)</f>
        <v>5215950</v>
      </c>
      <c r="F182" s="86">
        <f>VLOOKUP($A182,'Data shares'!$C:$FA,76)</f>
        <v>121500</v>
      </c>
      <c r="G182" s="87">
        <f>VLOOKUP(A182,'Data shares'!$C$2:$CA$223,77,0)</f>
        <v>2.3800000000000002E-2</v>
      </c>
      <c r="H182" s="86">
        <f>VLOOKUP($A182,'Data shares'!$C:$FA,90)</f>
        <v>2083050</v>
      </c>
      <c r="I182" s="86">
        <f>VLOOKUP($A182,'Data shares'!$C:$FA,92)</f>
        <v>16650</v>
      </c>
      <c r="J182" s="87">
        <f>VLOOKUP($A182,'Data shares'!$C:$FA,93)</f>
        <v>8.0999999999999996E-3</v>
      </c>
      <c r="K182" s="86">
        <f>VLOOKUP($A182,'Data shares'!$C:$FA,94)</f>
        <v>916200</v>
      </c>
      <c r="L182" s="86">
        <f>VLOOKUP($A182,'Data shares'!$C:$FA,96)</f>
        <v>-17550</v>
      </c>
      <c r="M182" s="87">
        <f>VLOOKUP($A182,'Data shares'!$C:$FA,97)</f>
        <v>-1.8800000000000001E-2</v>
      </c>
      <c r="N182" s="86">
        <f>VLOOKUP($A182,'Data shares'!$C:$FA,78)</f>
        <v>5026950</v>
      </c>
      <c r="O182" s="87">
        <f>VLOOKUP($A182,'Data shares'!$C:$FA,81)</f>
        <v>1.12E-2</v>
      </c>
    </row>
    <row r="183" spans="1:15" x14ac:dyDescent="0.25">
      <c r="A183" s="100" t="str">
        <f>'OI(Value)'!A183</f>
        <v>RBLBANK</v>
      </c>
      <c r="B183" s="82">
        <f>VLOOKUP(A183,'Data shares'!$C$2:$CV$223,98,0)</f>
        <v>119170450</v>
      </c>
      <c r="C183" s="82">
        <f>VLOOKUP(A183,'Data shares'!$C$2:$CX$223,100,0)</f>
        <v>-1511300</v>
      </c>
      <c r="D183" s="141">
        <f>VLOOKUP(A183,'Data shares'!$C$2:$CY$546,101,0)</f>
        <v>-1.2500000000000001E-2</v>
      </c>
      <c r="E183" s="86">
        <f>VLOOKUP($A183,'Data shares'!$C:$FA,74)</f>
        <v>90195400</v>
      </c>
      <c r="F183" s="86">
        <f>VLOOKUP($A183,'Data shares'!$C:$FA,76)</f>
        <v>-993775</v>
      </c>
      <c r="G183" s="87">
        <f>VLOOKUP(A183,'Data shares'!$C$2:$CA$223,77,0)</f>
        <v>-1.09E-2</v>
      </c>
      <c r="H183" s="86">
        <f>VLOOKUP($A183,'Data shares'!$C:$FA,90)</f>
        <v>18719800</v>
      </c>
      <c r="I183" s="86">
        <f>VLOOKUP($A183,'Data shares'!$C:$FA,92)</f>
        <v>-438150</v>
      </c>
      <c r="J183" s="87">
        <f>VLOOKUP($A183,'Data shares'!$C:$FA,93)</f>
        <v>-2.29E-2</v>
      </c>
      <c r="K183" s="86">
        <f>VLOOKUP($A183,'Data shares'!$C:$FA,94)</f>
        <v>10255250</v>
      </c>
      <c r="L183" s="86">
        <f>VLOOKUP($A183,'Data shares'!$C:$FA,96)</f>
        <v>-79375</v>
      </c>
      <c r="M183" s="87">
        <f>VLOOKUP($A183,'Data shares'!$C:$FA,97)</f>
        <v>-7.7000000000000002E-3</v>
      </c>
      <c r="N183" s="86">
        <f>VLOOKUP($A183,'Data shares'!$C:$FA,78)</f>
        <v>84889975</v>
      </c>
      <c r="O183" s="87">
        <f>VLOOKUP($A183,'Data shares'!$C:$FA,81)</f>
        <v>-1.0800000000000001E-2</v>
      </c>
    </row>
    <row r="184" spans="1:15" x14ac:dyDescent="0.25">
      <c r="A184" s="100" t="str">
        <f>'OI(Value)'!A184</f>
        <v>RECLTD</v>
      </c>
      <c r="B184" s="82">
        <f>VLOOKUP(A184,'Data shares'!$C$2:$CV$223,98,0)</f>
        <v>141451050</v>
      </c>
      <c r="C184" s="82">
        <f>VLOOKUP(A184,'Data shares'!$C$2:$CX$223,100,0)</f>
        <v>800700</v>
      </c>
      <c r="D184" s="141">
        <f>VLOOKUP(A184,'Data shares'!$C$2:$CY$546,101,0)</f>
        <v>5.7000000000000002E-3</v>
      </c>
      <c r="E184" s="86">
        <f>VLOOKUP($A184,'Data shares'!$C:$FA,74)</f>
        <v>88064250</v>
      </c>
      <c r="F184" s="86">
        <f>VLOOKUP($A184,'Data shares'!$C:$FA,76)</f>
        <v>271575</v>
      </c>
      <c r="G184" s="87">
        <f>VLOOKUP(A184,'Data shares'!$C$2:$CA$223,77,0)</f>
        <v>3.0999999999999999E-3</v>
      </c>
      <c r="H184" s="86">
        <f>VLOOKUP($A184,'Data shares'!$C:$FA,90)</f>
        <v>32452575</v>
      </c>
      <c r="I184" s="86">
        <f>VLOOKUP($A184,'Data shares'!$C:$FA,92)</f>
        <v>293250</v>
      </c>
      <c r="J184" s="87">
        <f>VLOOKUP($A184,'Data shares'!$C:$FA,93)</f>
        <v>9.1000000000000004E-3</v>
      </c>
      <c r="K184" s="86">
        <f>VLOOKUP($A184,'Data shares'!$C:$FA,94)</f>
        <v>20934225</v>
      </c>
      <c r="L184" s="86">
        <f>VLOOKUP($A184,'Data shares'!$C:$FA,96)</f>
        <v>235875</v>
      </c>
      <c r="M184" s="87">
        <f>VLOOKUP($A184,'Data shares'!$C:$FA,97)</f>
        <v>1.14E-2</v>
      </c>
      <c r="N184" s="86">
        <f>VLOOKUP($A184,'Data shares'!$C:$FA,78)</f>
        <v>80896200</v>
      </c>
      <c r="O184" s="87">
        <f>VLOOKUP($A184,'Data shares'!$C:$FA,81)</f>
        <v>-1.66E-2</v>
      </c>
    </row>
    <row r="185" spans="1:15" x14ac:dyDescent="0.25">
      <c r="A185" s="100" t="str">
        <f>'OI(Value)'!A185</f>
        <v>RELIANCE</v>
      </c>
      <c r="B185" s="82">
        <f>VLOOKUP(A185,'Data shares'!$C$2:$CV$223,98,0)</f>
        <v>224671000</v>
      </c>
      <c r="C185" s="82">
        <f>VLOOKUP(A185,'Data shares'!$C$2:$CX$223,100,0)</f>
        <v>2969500</v>
      </c>
      <c r="D185" s="141">
        <f>VLOOKUP(A185,'Data shares'!$C$2:$CY$546,101,0)</f>
        <v>1.34E-2</v>
      </c>
      <c r="E185" s="86">
        <f>VLOOKUP($A185,'Data shares'!$C:$FA,74)</f>
        <v>122806500</v>
      </c>
      <c r="F185" s="86">
        <f>VLOOKUP($A185,'Data shares'!$C:$FA,76)</f>
        <v>-985000</v>
      </c>
      <c r="G185" s="87">
        <f>VLOOKUP(A185,'Data shares'!$C$2:$CA$223,77,0)</f>
        <v>-8.0000000000000002E-3</v>
      </c>
      <c r="H185" s="86">
        <f>VLOOKUP($A185,'Data shares'!$C:$FA,90)</f>
        <v>62328500</v>
      </c>
      <c r="I185" s="86">
        <f>VLOOKUP($A185,'Data shares'!$C:$FA,92)</f>
        <v>4764500</v>
      </c>
      <c r="J185" s="87">
        <f>VLOOKUP($A185,'Data shares'!$C:$FA,93)</f>
        <v>8.2799999999999999E-2</v>
      </c>
      <c r="K185" s="86">
        <f>VLOOKUP($A185,'Data shares'!$C:$FA,94)</f>
        <v>39536000</v>
      </c>
      <c r="L185" s="86">
        <f>VLOOKUP($A185,'Data shares'!$C:$FA,96)</f>
        <v>-810000</v>
      </c>
      <c r="M185" s="87">
        <f>VLOOKUP($A185,'Data shares'!$C:$FA,97)</f>
        <v>-2.01E-2</v>
      </c>
      <c r="N185" s="86">
        <f>VLOOKUP($A185,'Data shares'!$C:$FA,78)</f>
        <v>96165500</v>
      </c>
      <c r="O185" s="87">
        <f>VLOOKUP($A185,'Data shares'!$C:$FA,81)</f>
        <v>-3.44E-2</v>
      </c>
    </row>
    <row r="186" spans="1:15" x14ac:dyDescent="0.25">
      <c r="A186" s="100" t="str">
        <f>'OI(Value)'!A186</f>
        <v>RVNL</v>
      </c>
      <c r="B186" s="82">
        <f>VLOOKUP(A186,'Data shares'!$C$2:$CV$223,98,0)</f>
        <v>37625500</v>
      </c>
      <c r="C186" s="82">
        <f>VLOOKUP(A186,'Data shares'!$C$2:$CX$223,100,0)</f>
        <v>2932875</v>
      </c>
      <c r="D186" s="141">
        <f>VLOOKUP(A186,'Data shares'!$C$2:$CY$546,101,0)</f>
        <v>8.4500000000000006E-2</v>
      </c>
      <c r="E186" s="86">
        <f>VLOOKUP($A186,'Data shares'!$C:$FA,74)</f>
        <v>23798500</v>
      </c>
      <c r="F186" s="86">
        <f>VLOOKUP($A186,'Data shares'!$C:$FA,76)</f>
        <v>2288000</v>
      </c>
      <c r="G186" s="87">
        <f>VLOOKUP(A186,'Data shares'!$C$2:$CA$223,77,0)</f>
        <v>0.10639999999999999</v>
      </c>
      <c r="H186" s="86">
        <f>VLOOKUP($A186,'Data shares'!$C:$FA,90)</f>
        <v>8618500</v>
      </c>
      <c r="I186" s="86">
        <f>VLOOKUP($A186,'Data shares'!$C:$FA,92)</f>
        <v>356125</v>
      </c>
      <c r="J186" s="87">
        <f>VLOOKUP($A186,'Data shares'!$C:$FA,93)</f>
        <v>4.3099999999999999E-2</v>
      </c>
      <c r="K186" s="86">
        <f>VLOOKUP($A186,'Data shares'!$C:$FA,94)</f>
        <v>5208500</v>
      </c>
      <c r="L186" s="86">
        <f>VLOOKUP($A186,'Data shares'!$C:$FA,96)</f>
        <v>288750</v>
      </c>
      <c r="M186" s="87">
        <f>VLOOKUP($A186,'Data shares'!$C:$FA,97)</f>
        <v>5.8700000000000002E-2</v>
      </c>
      <c r="N186" s="86">
        <f>VLOOKUP($A186,'Data shares'!$C:$FA,78)</f>
        <v>18478625</v>
      </c>
      <c r="O186" s="87">
        <f>VLOOKUP($A186,'Data shares'!$C:$FA,81)</f>
        <v>4.9700000000000001E-2</v>
      </c>
    </row>
    <row r="187" spans="1:15" x14ac:dyDescent="0.25">
      <c r="A187" s="100" t="str">
        <f>'OI(Value)'!A187</f>
        <v>SAIL</v>
      </c>
      <c r="B187" s="82">
        <f>VLOOKUP(A187,'Data shares'!$C$2:$CV$223,98,0)</f>
        <v>230906300</v>
      </c>
      <c r="C187" s="82">
        <f>VLOOKUP(A187,'Data shares'!$C$2:$CX$223,100,0)</f>
        <v>-16360700</v>
      </c>
      <c r="D187" s="141">
        <f>VLOOKUP(A187,'Data shares'!$C$2:$CY$546,101,0)</f>
        <v>-6.6199999999999995E-2</v>
      </c>
      <c r="E187" s="86">
        <f>VLOOKUP($A187,'Data shares'!$C:$FA,74)</f>
        <v>172330200</v>
      </c>
      <c r="F187" s="86">
        <f>VLOOKUP($A187,'Data shares'!$C:$FA,76)</f>
        <v>-15970600</v>
      </c>
      <c r="G187" s="87">
        <f>VLOOKUP(A187,'Data shares'!$C$2:$CA$223,77,0)</f>
        <v>-8.48E-2</v>
      </c>
      <c r="H187" s="86">
        <f>VLOOKUP($A187,'Data shares'!$C:$FA,90)</f>
        <v>35734100</v>
      </c>
      <c r="I187" s="86">
        <f>VLOOKUP($A187,'Data shares'!$C:$FA,92)</f>
        <v>-1259600</v>
      </c>
      <c r="J187" s="87">
        <f>VLOOKUP($A187,'Data shares'!$C:$FA,93)</f>
        <v>-3.4000000000000002E-2</v>
      </c>
      <c r="K187" s="86">
        <f>VLOOKUP($A187,'Data shares'!$C:$FA,94)</f>
        <v>22842000</v>
      </c>
      <c r="L187" s="86">
        <f>VLOOKUP($A187,'Data shares'!$C:$FA,96)</f>
        <v>869500</v>
      </c>
      <c r="M187" s="87">
        <f>VLOOKUP($A187,'Data shares'!$C:$FA,97)</f>
        <v>3.9600000000000003E-2</v>
      </c>
      <c r="N187" s="86">
        <f>VLOOKUP($A187,'Data shares'!$C:$FA,78)</f>
        <v>117913600</v>
      </c>
      <c r="O187" s="87">
        <f>VLOOKUP($A187,'Data shares'!$C:$FA,81)</f>
        <v>-0.1206</v>
      </c>
    </row>
    <row r="188" spans="1:15" x14ac:dyDescent="0.25">
      <c r="A188" s="100" t="str">
        <f>'OI(Value)'!A188</f>
        <v>SBICARD</v>
      </c>
      <c r="B188" s="82">
        <f>VLOOKUP(A188,'Data shares'!$C$2:$CV$223,98,0)</f>
        <v>23062400</v>
      </c>
      <c r="C188" s="82">
        <f>VLOOKUP(A188,'Data shares'!$C$2:$CX$223,100,0)</f>
        <v>287200</v>
      </c>
      <c r="D188" s="141">
        <f>VLOOKUP(A188,'Data shares'!$C$2:$CY$546,101,0)</f>
        <v>1.26E-2</v>
      </c>
      <c r="E188" s="86">
        <f>VLOOKUP($A188,'Data shares'!$C:$FA,74)</f>
        <v>13415200</v>
      </c>
      <c r="F188" s="86">
        <f>VLOOKUP($A188,'Data shares'!$C:$FA,76)</f>
        <v>271200</v>
      </c>
      <c r="G188" s="87">
        <f>VLOOKUP(A188,'Data shares'!$C$2:$CA$223,77,0)</f>
        <v>2.06E-2</v>
      </c>
      <c r="H188" s="86">
        <f>VLOOKUP($A188,'Data shares'!$C:$FA,90)</f>
        <v>5829600</v>
      </c>
      <c r="I188" s="86">
        <f>VLOOKUP($A188,'Data shares'!$C:$FA,92)</f>
        <v>-381600</v>
      </c>
      <c r="J188" s="87">
        <f>VLOOKUP($A188,'Data shares'!$C:$FA,93)</f>
        <v>-6.1400000000000003E-2</v>
      </c>
      <c r="K188" s="86">
        <f>VLOOKUP($A188,'Data shares'!$C:$FA,94)</f>
        <v>3817600</v>
      </c>
      <c r="L188" s="86">
        <f>VLOOKUP($A188,'Data shares'!$C:$FA,96)</f>
        <v>397600</v>
      </c>
      <c r="M188" s="87">
        <f>VLOOKUP($A188,'Data shares'!$C:$FA,97)</f>
        <v>0.1163</v>
      </c>
      <c r="N188" s="86">
        <f>VLOOKUP($A188,'Data shares'!$C:$FA,78)</f>
        <v>12144800</v>
      </c>
      <c r="O188" s="87">
        <f>VLOOKUP($A188,'Data shares'!$C:$FA,81)</f>
        <v>5.4000000000000003E-3</v>
      </c>
    </row>
    <row r="189" spans="1:15" x14ac:dyDescent="0.25">
      <c r="A189" s="100" t="str">
        <f>'OI(Value)'!A189</f>
        <v>ZYDUSLIFE</v>
      </c>
      <c r="B189" s="82">
        <f>VLOOKUP(A189,'Data shares'!$C$2:$CV$223,98,0)</f>
        <v>14229000</v>
      </c>
      <c r="C189" s="82">
        <f>VLOOKUP(A189,'Data shares'!$C$2:$CX$223,100,0)</f>
        <v>80100</v>
      </c>
      <c r="D189" s="141">
        <f>VLOOKUP(A189,'Data shares'!$C$2:$CY$546,101,0)</f>
        <v>5.7000000000000002E-3</v>
      </c>
      <c r="E189" s="86">
        <f>VLOOKUP($A189,'Data shares'!$C:$FA,74)</f>
        <v>8392500</v>
      </c>
      <c r="F189" s="86">
        <f>VLOOKUP($A189,'Data shares'!$C:$FA,76)</f>
        <v>194400</v>
      </c>
      <c r="G189" s="87">
        <f>VLOOKUP(A189,'Data shares'!$C$2:$CA$223,77,0)</f>
        <v>2.3699999999999999E-2</v>
      </c>
      <c r="H189" s="86">
        <f>VLOOKUP($A189,'Data shares'!$C:$FA,90)</f>
        <v>2946600</v>
      </c>
      <c r="I189" s="86">
        <f>VLOOKUP($A189,'Data shares'!$C:$FA,92)</f>
        <v>-120600</v>
      </c>
      <c r="J189" s="87">
        <f>VLOOKUP($A189,'Data shares'!$C:$FA,93)</f>
        <v>-3.9300000000000002E-2</v>
      </c>
      <c r="K189" s="86">
        <f>VLOOKUP($A189,'Data shares'!$C:$FA,94)</f>
        <v>2889900</v>
      </c>
      <c r="L189" s="86">
        <f>VLOOKUP($A189,'Data shares'!$C:$FA,96)</f>
        <v>6300</v>
      </c>
      <c r="M189" s="87">
        <f>VLOOKUP($A189,'Data shares'!$C:$FA,97)</f>
        <v>2.2000000000000001E-3</v>
      </c>
      <c r="N189" s="86">
        <f>VLOOKUP($A189,'Data shares'!$C:$FA,78)</f>
        <v>7093800</v>
      </c>
      <c r="O189" s="87">
        <f>VLOOKUP($A189,'Data shares'!$C:$FA,81)</f>
        <v>-5.5999999999999999E-3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19648974112</v>
      </c>
      <c r="C216" s="119">
        <f>SUM(C7:C215)</f>
        <v>302415610</v>
      </c>
      <c r="D216" s="120">
        <f>C216*100/(B216-C216)</f>
        <v>1.5631493837456258</v>
      </c>
      <c r="E216" s="119">
        <f>SUM(E7:E215)</f>
        <v>12377160595</v>
      </c>
      <c r="F216" s="119">
        <f>SUM(F7:F215)</f>
        <v>102640336</v>
      </c>
      <c r="G216" s="120">
        <f>F216*100/(E216-F216)</f>
        <v>0.8362064979667243</v>
      </c>
      <c r="H216" s="119">
        <f>SUM(H7:H215)</f>
        <v>4404317588</v>
      </c>
      <c r="I216" s="119">
        <f>SUM(I7:I215)</f>
        <v>96890628</v>
      </c>
      <c r="J216" s="120">
        <f>I216*100/(H216-I216)</f>
        <v>2.2493852803484335</v>
      </c>
      <c r="K216" s="119">
        <f>SUM(K7:K215)</f>
        <v>2867495929</v>
      </c>
      <c r="L216" s="119">
        <f>SUM(L7:L215)</f>
        <v>102884646</v>
      </c>
      <c r="M216" s="120">
        <f>L216*100/(K216-L216)</f>
        <v>3.7214868734947575</v>
      </c>
      <c r="N216" s="119">
        <f>SUM(N7:N215)</f>
        <v>10492881202</v>
      </c>
      <c r="O216" s="120">
        <f>(N216-FII!V3)/N216*100</f>
        <v>-21.192049268375964</v>
      </c>
    </row>
    <row r="217" spans="1:15" s="89" customFormat="1" ht="16.5" customHeight="1" x14ac:dyDescent="0.25">
      <c r="A217" s="118" t="s">
        <v>409</v>
      </c>
      <c r="B217" s="121">
        <f>B216/10000000</f>
        <v>1964.8974112000001</v>
      </c>
      <c r="C217" s="121">
        <f>C216/10000000</f>
        <v>30.241561000000001</v>
      </c>
      <c r="D217" s="120">
        <f>D216</f>
        <v>1.5631493837456258</v>
      </c>
      <c r="E217" s="121">
        <f>E216/10000000</f>
        <v>1237.7160595</v>
      </c>
      <c r="F217" s="121">
        <f>F216/10000000</f>
        <v>10.264033599999999</v>
      </c>
      <c r="G217" s="120">
        <f>G216</f>
        <v>0.8362064979667243</v>
      </c>
      <c r="H217" s="121">
        <f>H216/10000000</f>
        <v>440.43175880000001</v>
      </c>
      <c r="I217" s="121">
        <f>I216/10000000</f>
        <v>9.6890628000000003</v>
      </c>
      <c r="J217" s="120">
        <f>J216</f>
        <v>2.2493852803484335</v>
      </c>
      <c r="K217" s="121">
        <f>K216/10000000</f>
        <v>286.74959289999998</v>
      </c>
      <c r="L217" s="121">
        <f>L216/10000000</f>
        <v>10.288464599999999</v>
      </c>
      <c r="M217" s="120">
        <f>M216</f>
        <v>3.7214868734947575</v>
      </c>
      <c r="N217" s="121">
        <f>N216/10000000</f>
        <v>1049.2881202000001</v>
      </c>
      <c r="O217" s="120">
        <f>O216</f>
        <v>-21.192049268375964</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1237.7160595</v>
      </c>
      <c r="C227" s="37">
        <f>F217</f>
        <v>10.264033599999999</v>
      </c>
      <c r="D227" s="39">
        <f>C227/B227</f>
        <v>8.2927207102300657E-3</v>
      </c>
    </row>
    <row r="228" spans="1:4" x14ac:dyDescent="0.25">
      <c r="A228" s="36" t="s">
        <v>404</v>
      </c>
      <c r="B228" s="37">
        <f>H217</f>
        <v>440.43175880000001</v>
      </c>
      <c r="C228" s="37">
        <f>I217</f>
        <v>9.6890628000000003</v>
      </c>
      <c r="D228" s="39">
        <f>C228/B228</f>
        <v>2.1999010303886377E-2</v>
      </c>
    </row>
    <row r="229" spans="1:4" x14ac:dyDescent="0.25">
      <c r="A229" s="36" t="s">
        <v>405</v>
      </c>
      <c r="B229" s="37">
        <f>K217</f>
        <v>286.74959289999998</v>
      </c>
      <c r="C229" s="37">
        <f>L217</f>
        <v>10.288464599999999</v>
      </c>
      <c r="D229" s="39">
        <f>C229/B229</f>
        <v>3.5879613623681625E-2</v>
      </c>
    </row>
    <row r="230" spans="1:4" x14ac:dyDescent="0.25">
      <c r="A230" s="36" t="s">
        <v>406</v>
      </c>
      <c r="B230" s="40">
        <f>SUM(B227:B229)</f>
        <v>1964.8974111999999</v>
      </c>
      <c r="C230" s="40">
        <f>SUM(C227:C229)</f>
        <v>30.241560999999997</v>
      </c>
      <c r="D230" s="41">
        <f>C230/B230</f>
        <v>1.5390910908438169E-2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45889</v>
      </c>
      <c r="C6" s="76" t="s">
        <v>333</v>
      </c>
      <c r="D6" s="76" t="s">
        <v>328</v>
      </c>
      <c r="E6" s="3">
        <f>B6</f>
        <v>45889</v>
      </c>
      <c r="F6" s="76" t="s">
        <v>333</v>
      </c>
      <c r="G6" s="76" t="s">
        <v>328</v>
      </c>
      <c r="H6" s="3">
        <f>E6</f>
        <v>45889</v>
      </c>
      <c r="I6" s="76" t="s">
        <v>333</v>
      </c>
      <c r="J6" s="76" t="s">
        <v>328</v>
      </c>
      <c r="K6" s="3">
        <f>E6</f>
        <v>45889</v>
      </c>
      <c r="L6" s="76" t="s">
        <v>333</v>
      </c>
      <c r="M6" s="76" t="s">
        <v>328</v>
      </c>
      <c r="N6" s="76" t="s">
        <v>339</v>
      </c>
      <c r="O6" s="76" t="s">
        <v>328</v>
      </c>
    </row>
    <row r="7" spans="1:15" x14ac:dyDescent="0.25">
      <c r="A7" s="97" t="str">
        <f>'Data Vlaue (Cr)'!C2</f>
        <v>360ONE</v>
      </c>
      <c r="B7" s="142">
        <f>VLOOKUP(A7,'Data Vlaue (Cr)'!C2:CW223,99,0)</f>
        <v>820</v>
      </c>
      <c r="C7" s="90">
        <f>VLOOKUP(A7,'Data Vlaue (Cr)'!C2:CY223,101,0)</f>
        <v>-8</v>
      </c>
      <c r="D7" s="139">
        <f>VLOOKUP(A7,'Data Vlaue (Cr)'!C2:CZ223,102,0)</f>
        <v>-9.5999999999999992E-3</v>
      </c>
      <c r="E7" s="91">
        <f>VLOOKUP($A7,'Data Vlaue (Cr)'!$C:$FB,75)</f>
        <v>608</v>
      </c>
      <c r="F7" s="91">
        <f>VLOOKUP($A7,'Data Vlaue (Cr)'!$C:$FB,77)</f>
        <v>0</v>
      </c>
      <c r="G7" s="92">
        <f>VLOOKUP(A7,'Data Vlaue (Cr)'!C2:CB223,78,0)</f>
        <v>6.9999999999999999E-4</v>
      </c>
      <c r="H7" s="91">
        <f>VLOOKUP($A7,'Data Vlaue (Cr)'!$C:$FB,91)</f>
        <v>134</v>
      </c>
      <c r="I7" s="91">
        <f>VLOOKUP($A7,'Data Vlaue (Cr)'!$C:$FB,93)</f>
        <v>0</v>
      </c>
      <c r="J7" s="92">
        <f>VLOOKUP($A7,'Data Vlaue (Cr)'!$C:$FB,94)</f>
        <v>-4.0000000000000002E-4</v>
      </c>
      <c r="K7" s="91">
        <f>VLOOKUP($A7,'Data Vlaue (Cr)'!$C:$FB,95)</f>
        <v>78</v>
      </c>
      <c r="L7" s="91">
        <f>VLOOKUP($A7,'Data Vlaue (Cr)'!$C:$FB,97)</f>
        <v>-8</v>
      </c>
      <c r="M7" s="92">
        <f>VLOOKUP($A7,'Data Vlaue (Cr)'!$C:$FB,98)</f>
        <v>-9.6600000000000005E-2</v>
      </c>
      <c r="N7" s="91">
        <f>VLOOKUP($A7,'Data Vlaue (Cr)'!$C:$FB,79)</f>
        <v>589</v>
      </c>
      <c r="O7" s="92">
        <f>VLOOKUP($A7,'Data Vlaue (Cr)'!$C:$FB,82)</f>
        <v>-2.7000000000000001E-3</v>
      </c>
    </row>
    <row r="8" spans="1:15" x14ac:dyDescent="0.25">
      <c r="A8" s="97" t="str">
        <f>'Data Vlaue (Cr)'!C3</f>
        <v>ABB</v>
      </c>
      <c r="B8" s="142">
        <f>VLOOKUP(A8,'Data Vlaue (Cr)'!C3:CW224,99,0)</f>
        <v>3057</v>
      </c>
      <c r="C8" s="90">
        <f>VLOOKUP(A8,'Data Vlaue (Cr)'!C3:CY224,101,0)</f>
        <v>-41</v>
      </c>
      <c r="D8" s="139">
        <f>VLOOKUP(A8,'Data Vlaue (Cr)'!C3:CZ224,102,0)</f>
        <v>-1.34E-2</v>
      </c>
      <c r="E8" s="91">
        <f>VLOOKUP($A8,'Data Vlaue (Cr)'!$C:$FB,75)</f>
        <v>1526</v>
      </c>
      <c r="F8" s="91">
        <f>VLOOKUP($A8,'Data Vlaue (Cr)'!$C:$FB,77)</f>
        <v>5</v>
      </c>
      <c r="G8" s="92">
        <f>VLOOKUP(A8,'Data Vlaue (Cr)'!C3:CB224,78,0)</f>
        <v>3.3999999999999998E-3</v>
      </c>
      <c r="H8" s="91">
        <f>VLOOKUP($A8,'Data Vlaue (Cr)'!$C:$FB,91)</f>
        <v>970</v>
      </c>
      <c r="I8" s="91">
        <f>VLOOKUP($A8,'Data Vlaue (Cr)'!$C:$FB,93)</f>
        <v>-33</v>
      </c>
      <c r="J8" s="92">
        <f>VLOOKUP($A8,'Data Vlaue (Cr)'!$C:$FB,94)</f>
        <v>-3.2899999999999999E-2</v>
      </c>
      <c r="K8" s="91">
        <f>VLOOKUP($A8,'Data Vlaue (Cr)'!$C:$FB,95)</f>
        <v>561</v>
      </c>
      <c r="L8" s="91">
        <f>VLOOKUP($A8,'Data Vlaue (Cr)'!$C:$FB,97)</f>
        <v>-14</v>
      </c>
      <c r="M8" s="92">
        <f>VLOOKUP($A8,'Data Vlaue (Cr)'!$C:$FB,98)</f>
        <v>-2.3699999999999999E-2</v>
      </c>
      <c r="N8" s="91">
        <f>VLOOKUP($A8,'Data Vlaue (Cr)'!$C:$FB,79)</f>
        <v>1381</v>
      </c>
      <c r="O8" s="92">
        <f>VLOOKUP($A8,'Data Vlaue (Cr)'!$C:$FB,82)</f>
        <v>-9.4000000000000004E-3</v>
      </c>
    </row>
    <row r="9" spans="1:15" x14ac:dyDescent="0.25">
      <c r="A9" s="97" t="str">
        <f>'Data Vlaue (Cr)'!C4</f>
        <v>ABCAPITAL</v>
      </c>
      <c r="B9" s="142">
        <f>VLOOKUP(A9,'Data Vlaue (Cr)'!C4:CW225,99,0)</f>
        <v>2621</v>
      </c>
      <c r="C9" s="90">
        <f>VLOOKUP(A9,'Data Vlaue (Cr)'!C4:CY225,101,0)</f>
        <v>50</v>
      </c>
      <c r="D9" s="139">
        <f>VLOOKUP(A9,'Data Vlaue (Cr)'!C4:CZ225,102,0)</f>
        <v>1.9300000000000001E-2</v>
      </c>
      <c r="E9" s="91">
        <f>VLOOKUP($A9,'Data Vlaue (Cr)'!$C:$FB,75)</f>
        <v>1374</v>
      </c>
      <c r="F9" s="91">
        <f>VLOOKUP($A9,'Data Vlaue (Cr)'!$C:$FB,77)</f>
        <v>4</v>
      </c>
      <c r="G9" s="92">
        <f>VLOOKUP(A9,'Data Vlaue (Cr)'!C4:CB225,78,0)</f>
        <v>3.2000000000000002E-3</v>
      </c>
      <c r="H9" s="91">
        <f>VLOOKUP($A9,'Data Vlaue (Cr)'!$C:$FB,91)</f>
        <v>738</v>
      </c>
      <c r="I9" s="91">
        <f>VLOOKUP($A9,'Data Vlaue (Cr)'!$C:$FB,93)</f>
        <v>55</v>
      </c>
      <c r="J9" s="92">
        <f>VLOOKUP($A9,'Data Vlaue (Cr)'!$C:$FB,94)</f>
        <v>8.09E-2</v>
      </c>
      <c r="K9" s="91">
        <f>VLOOKUP($A9,'Data Vlaue (Cr)'!$C:$FB,95)</f>
        <v>509</v>
      </c>
      <c r="L9" s="91">
        <f>VLOOKUP($A9,'Data Vlaue (Cr)'!$C:$FB,97)</f>
        <v>-10</v>
      </c>
      <c r="M9" s="92">
        <f>VLOOKUP($A9,'Data Vlaue (Cr)'!$C:$FB,98)</f>
        <v>-1.9199999999999998E-2</v>
      </c>
      <c r="N9" s="91">
        <f>VLOOKUP($A9,'Data Vlaue (Cr)'!$C:$FB,79)</f>
        <v>1248</v>
      </c>
      <c r="O9" s="92">
        <f>VLOOKUP($A9,'Data Vlaue (Cr)'!$C:$FB,82)</f>
        <v>-1.9E-2</v>
      </c>
    </row>
    <row r="10" spans="1:15" x14ac:dyDescent="0.25">
      <c r="A10" s="97" t="str">
        <f>'Data Vlaue (Cr)'!C5</f>
        <v>ABFRL</v>
      </c>
      <c r="B10" s="142">
        <f>VLOOKUP(A10,'Data Vlaue (Cr)'!C5:CW226,99,0)</f>
        <v>584</v>
      </c>
      <c r="C10" s="90">
        <f>VLOOKUP(A10,'Data Vlaue (Cr)'!C5:CY226,101,0)</f>
        <v>-12</v>
      </c>
      <c r="D10" s="139">
        <f>VLOOKUP(A10,'Data Vlaue (Cr)'!C5:CZ226,102,0)</f>
        <v>-1.9699999999999999E-2</v>
      </c>
      <c r="E10" s="91">
        <f>VLOOKUP($A10,'Data Vlaue (Cr)'!$C:$FB,75)</f>
        <v>328</v>
      </c>
      <c r="F10" s="91">
        <f>VLOOKUP($A10,'Data Vlaue (Cr)'!$C:$FB,77)</f>
        <v>-1</v>
      </c>
      <c r="G10" s="92">
        <f>VLOOKUP(A10,'Data Vlaue (Cr)'!C5:CB226,78,0)</f>
        <v>-3.3999999999999998E-3</v>
      </c>
      <c r="H10" s="91">
        <f>VLOOKUP($A10,'Data Vlaue (Cr)'!$C:$FB,91)</f>
        <v>156</v>
      </c>
      <c r="I10" s="91">
        <f>VLOOKUP($A10,'Data Vlaue (Cr)'!$C:$FB,93)</f>
        <v>-8</v>
      </c>
      <c r="J10" s="92">
        <f>VLOOKUP($A10,'Data Vlaue (Cr)'!$C:$FB,94)</f>
        <v>-4.7800000000000002E-2</v>
      </c>
      <c r="K10" s="91">
        <f>VLOOKUP($A10,'Data Vlaue (Cr)'!$C:$FB,95)</f>
        <v>99</v>
      </c>
      <c r="L10" s="91">
        <f>VLOOKUP($A10,'Data Vlaue (Cr)'!$C:$FB,97)</f>
        <v>-3</v>
      </c>
      <c r="M10" s="92">
        <f>VLOOKUP($A10,'Data Vlaue (Cr)'!$C:$FB,98)</f>
        <v>-2.7300000000000001E-2</v>
      </c>
      <c r="N10" s="91">
        <f>VLOOKUP($A10,'Data Vlaue (Cr)'!$C:$FB,79)</f>
        <v>328</v>
      </c>
      <c r="O10" s="92">
        <f>VLOOKUP($A10,'Data Vlaue (Cr)'!$C:$FB,82)</f>
        <v>-3.3999999999999998E-3</v>
      </c>
    </row>
    <row r="11" spans="1:15" x14ac:dyDescent="0.25">
      <c r="A11" s="97" t="str">
        <f>'Data Vlaue (Cr)'!C6</f>
        <v>ADANIENSOL</v>
      </c>
      <c r="B11" s="142">
        <f>VLOOKUP(A11,'Data Vlaue (Cr)'!C6:CW227,99,0)</f>
        <v>2134</v>
      </c>
      <c r="C11" s="90">
        <f>VLOOKUP(A11,'Data Vlaue (Cr)'!C6:CY227,101,0)</f>
        <v>20</v>
      </c>
      <c r="D11" s="139">
        <f>VLOOKUP(A11,'Data Vlaue (Cr)'!C6:CZ227,102,0)</f>
        <v>9.2999999999999992E-3</v>
      </c>
      <c r="E11" s="91">
        <f>VLOOKUP($A11,'Data Vlaue (Cr)'!$C:$FB,75)</f>
        <v>1627</v>
      </c>
      <c r="F11" s="91">
        <f>VLOOKUP($A11,'Data Vlaue (Cr)'!$C:$FB,77)</f>
        <v>6</v>
      </c>
      <c r="G11" s="92">
        <f>VLOOKUP(A11,'Data Vlaue (Cr)'!C6:CB227,78,0)</f>
        <v>4.0000000000000001E-3</v>
      </c>
      <c r="H11" s="91">
        <f>VLOOKUP($A11,'Data Vlaue (Cr)'!$C:$FB,91)</f>
        <v>296</v>
      </c>
      <c r="I11" s="91">
        <f>VLOOKUP($A11,'Data Vlaue (Cr)'!$C:$FB,93)</f>
        <v>8</v>
      </c>
      <c r="J11" s="92">
        <f>VLOOKUP($A11,'Data Vlaue (Cr)'!$C:$FB,94)</f>
        <v>2.69E-2</v>
      </c>
      <c r="K11" s="91">
        <f>VLOOKUP($A11,'Data Vlaue (Cr)'!$C:$FB,95)</f>
        <v>212</v>
      </c>
      <c r="L11" s="91">
        <f>VLOOKUP($A11,'Data Vlaue (Cr)'!$C:$FB,97)</f>
        <v>5</v>
      </c>
      <c r="M11" s="92">
        <f>VLOOKUP($A11,'Data Vlaue (Cr)'!$C:$FB,98)</f>
        <v>2.6100000000000002E-2</v>
      </c>
      <c r="N11" s="91">
        <f>VLOOKUP($A11,'Data Vlaue (Cr)'!$C:$FB,79)</f>
        <v>1559</v>
      </c>
      <c r="O11" s="92">
        <f>VLOOKUP($A11,'Data Vlaue (Cr)'!$C:$FB,82)</f>
        <v>-8.3000000000000001E-3</v>
      </c>
    </row>
    <row r="12" spans="1:15" x14ac:dyDescent="0.25">
      <c r="A12" s="97" t="str">
        <f>'Data Vlaue (Cr)'!C7</f>
        <v>ADANIENT</v>
      </c>
      <c r="B12" s="142">
        <f>VLOOKUP(A12,'Data Vlaue (Cr)'!C7:CW228,99,0)</f>
        <v>8365</v>
      </c>
      <c r="C12" s="90">
        <f>VLOOKUP(A12,'Data Vlaue (Cr)'!C7:CY228,101,0)</f>
        <v>-10</v>
      </c>
      <c r="D12" s="139">
        <f>VLOOKUP(A12,'Data Vlaue (Cr)'!C7:CZ228,102,0)</f>
        <v>-1.1999999999999999E-3</v>
      </c>
      <c r="E12" s="91">
        <f>VLOOKUP($A12,'Data Vlaue (Cr)'!$C:$FB,75)</f>
        <v>4070</v>
      </c>
      <c r="F12" s="91">
        <f>VLOOKUP($A12,'Data Vlaue (Cr)'!$C:$FB,77)</f>
        <v>-47</v>
      </c>
      <c r="G12" s="92">
        <f>VLOOKUP(A12,'Data Vlaue (Cr)'!C7:CB228,78,0)</f>
        <v>-1.15E-2</v>
      </c>
      <c r="H12" s="91">
        <f>VLOOKUP($A12,'Data Vlaue (Cr)'!$C:$FB,91)</f>
        <v>2222</v>
      </c>
      <c r="I12" s="91">
        <f>VLOOKUP($A12,'Data Vlaue (Cr)'!$C:$FB,93)</f>
        <v>58</v>
      </c>
      <c r="J12" s="92">
        <f>VLOOKUP($A12,'Data Vlaue (Cr)'!$C:$FB,94)</f>
        <v>2.6800000000000001E-2</v>
      </c>
      <c r="K12" s="91">
        <f>VLOOKUP($A12,'Data Vlaue (Cr)'!$C:$FB,95)</f>
        <v>2073</v>
      </c>
      <c r="L12" s="91">
        <f>VLOOKUP($A12,'Data Vlaue (Cr)'!$C:$FB,97)</f>
        <v>-20</v>
      </c>
      <c r="M12" s="92">
        <f>VLOOKUP($A12,'Data Vlaue (Cr)'!$C:$FB,98)</f>
        <v>-9.7999999999999997E-3</v>
      </c>
      <c r="N12" s="91">
        <f>VLOOKUP($A12,'Data Vlaue (Cr)'!$C:$FB,79)</f>
        <v>3769</v>
      </c>
      <c r="O12" s="92">
        <f>VLOOKUP($A12,'Data Vlaue (Cr)'!$C:$FB,82)</f>
        <v>-2.5100000000000001E-2</v>
      </c>
    </row>
    <row r="13" spans="1:15" x14ac:dyDescent="0.25">
      <c r="A13" s="97" t="str">
        <f>'Data Vlaue (Cr)'!C8</f>
        <v>ADANIGREEN</v>
      </c>
      <c r="B13" s="142">
        <f>VLOOKUP(A13,'Data Vlaue (Cr)'!C8:CW229,99,0)</f>
        <v>2801</v>
      </c>
      <c r="C13" s="90">
        <f>VLOOKUP(A13,'Data Vlaue (Cr)'!C8:CY229,101,0)</f>
        <v>-39</v>
      </c>
      <c r="D13" s="139">
        <f>VLOOKUP(A13,'Data Vlaue (Cr)'!C8:CZ229,102,0)</f>
        <v>-1.3599999999999999E-2</v>
      </c>
      <c r="E13" s="91">
        <f>VLOOKUP($A13,'Data Vlaue (Cr)'!$C:$FB,75)</f>
        <v>1895</v>
      </c>
      <c r="F13" s="91">
        <f>VLOOKUP($A13,'Data Vlaue (Cr)'!$C:$FB,77)</f>
        <v>-30</v>
      </c>
      <c r="G13" s="92">
        <f>VLOOKUP(A13,'Data Vlaue (Cr)'!C8:CB229,78,0)</f>
        <v>-1.5699999999999999E-2</v>
      </c>
      <c r="H13" s="91">
        <f>VLOOKUP($A13,'Data Vlaue (Cr)'!$C:$FB,91)</f>
        <v>509</v>
      </c>
      <c r="I13" s="91">
        <f>VLOOKUP($A13,'Data Vlaue (Cr)'!$C:$FB,93)</f>
        <v>-9</v>
      </c>
      <c r="J13" s="92">
        <f>VLOOKUP($A13,'Data Vlaue (Cr)'!$C:$FB,94)</f>
        <v>-1.72E-2</v>
      </c>
      <c r="K13" s="91">
        <f>VLOOKUP($A13,'Data Vlaue (Cr)'!$C:$FB,95)</f>
        <v>396</v>
      </c>
      <c r="L13" s="91">
        <f>VLOOKUP($A13,'Data Vlaue (Cr)'!$C:$FB,97)</f>
        <v>1</v>
      </c>
      <c r="M13" s="92">
        <f>VLOOKUP($A13,'Data Vlaue (Cr)'!$C:$FB,98)</f>
        <v>1.5E-3</v>
      </c>
      <c r="N13" s="91">
        <f>VLOOKUP($A13,'Data Vlaue (Cr)'!$C:$FB,79)</f>
        <v>1808</v>
      </c>
      <c r="O13" s="92">
        <f>VLOOKUP($A13,'Data Vlaue (Cr)'!$C:$FB,82)</f>
        <v>-2.07E-2</v>
      </c>
    </row>
    <row r="14" spans="1:15" x14ac:dyDescent="0.25">
      <c r="A14" s="97" t="str">
        <f>'Data Vlaue (Cr)'!C9</f>
        <v>ADANIPORTS</v>
      </c>
      <c r="B14" s="142">
        <f>VLOOKUP(A14,'Data Vlaue (Cr)'!C9:CW230,99,0)</f>
        <v>5619</v>
      </c>
      <c r="C14" s="90">
        <f>VLOOKUP(A14,'Data Vlaue (Cr)'!C9:CY230,101,0)</f>
        <v>-82</v>
      </c>
      <c r="D14" s="139">
        <f>VLOOKUP(A14,'Data Vlaue (Cr)'!C9:CZ230,102,0)</f>
        <v>-1.44E-2</v>
      </c>
      <c r="E14" s="91">
        <f>VLOOKUP($A14,'Data Vlaue (Cr)'!$C:$FB,75)</f>
        <v>3443</v>
      </c>
      <c r="F14" s="91">
        <f>VLOOKUP($A14,'Data Vlaue (Cr)'!$C:$FB,77)</f>
        <v>-32</v>
      </c>
      <c r="G14" s="92">
        <f>VLOOKUP(A14,'Data Vlaue (Cr)'!C9:CB230,78,0)</f>
        <v>-9.2999999999999992E-3</v>
      </c>
      <c r="H14" s="91">
        <f>VLOOKUP($A14,'Data Vlaue (Cr)'!$C:$FB,91)</f>
        <v>1236</v>
      </c>
      <c r="I14" s="91">
        <f>VLOOKUP($A14,'Data Vlaue (Cr)'!$C:$FB,93)</f>
        <v>-20</v>
      </c>
      <c r="J14" s="92">
        <f>VLOOKUP($A14,'Data Vlaue (Cr)'!$C:$FB,94)</f>
        <v>-1.61E-2</v>
      </c>
      <c r="K14" s="91">
        <f>VLOOKUP($A14,'Data Vlaue (Cr)'!$C:$FB,95)</f>
        <v>940</v>
      </c>
      <c r="L14" s="91">
        <f>VLOOKUP($A14,'Data Vlaue (Cr)'!$C:$FB,97)</f>
        <v>-29</v>
      </c>
      <c r="M14" s="92">
        <f>VLOOKUP($A14,'Data Vlaue (Cr)'!$C:$FB,98)</f>
        <v>-3.0099999999999998E-2</v>
      </c>
      <c r="N14" s="91">
        <f>VLOOKUP($A14,'Data Vlaue (Cr)'!$C:$FB,79)</f>
        <v>3151</v>
      </c>
      <c r="O14" s="92">
        <f>VLOOKUP($A14,'Data Vlaue (Cr)'!$C:$FB,82)</f>
        <v>-1.9199999999999998E-2</v>
      </c>
    </row>
    <row r="15" spans="1:15" x14ac:dyDescent="0.25">
      <c r="A15" s="97" t="str">
        <f>'Data Vlaue (Cr)'!C10</f>
        <v>ALKEM</v>
      </c>
      <c r="B15" s="142">
        <f>VLOOKUP(A15,'Data Vlaue (Cr)'!C10:CW231,99,0)</f>
        <v>1486</v>
      </c>
      <c r="C15" s="90">
        <f>VLOOKUP(A15,'Data Vlaue (Cr)'!C10:CY231,101,0)</f>
        <v>35</v>
      </c>
      <c r="D15" s="139">
        <f>VLOOKUP(A15,'Data Vlaue (Cr)'!C10:CZ231,102,0)</f>
        <v>2.4500000000000001E-2</v>
      </c>
      <c r="E15" s="91">
        <f>VLOOKUP($A15,'Data Vlaue (Cr)'!$C:$FB,75)</f>
        <v>887</v>
      </c>
      <c r="F15" s="91">
        <f>VLOOKUP($A15,'Data Vlaue (Cr)'!$C:$FB,77)</f>
        <v>3</v>
      </c>
      <c r="G15" s="92">
        <f>VLOOKUP(A15,'Data Vlaue (Cr)'!C10:CB231,78,0)</f>
        <v>3.3E-3</v>
      </c>
      <c r="H15" s="91">
        <f>VLOOKUP($A15,'Data Vlaue (Cr)'!$C:$FB,91)</f>
        <v>338</v>
      </c>
      <c r="I15" s="91">
        <f>VLOOKUP($A15,'Data Vlaue (Cr)'!$C:$FB,93)</f>
        <v>45</v>
      </c>
      <c r="J15" s="92">
        <f>VLOOKUP($A15,'Data Vlaue (Cr)'!$C:$FB,94)</f>
        <v>0.15179999999999999</v>
      </c>
      <c r="K15" s="91">
        <f>VLOOKUP($A15,'Data Vlaue (Cr)'!$C:$FB,95)</f>
        <v>260</v>
      </c>
      <c r="L15" s="91">
        <f>VLOOKUP($A15,'Data Vlaue (Cr)'!$C:$FB,97)</f>
        <v>-12</v>
      </c>
      <c r="M15" s="92">
        <f>VLOOKUP($A15,'Data Vlaue (Cr)'!$C:$FB,98)</f>
        <v>-4.41E-2</v>
      </c>
      <c r="N15" s="91">
        <f>VLOOKUP($A15,'Data Vlaue (Cr)'!$C:$FB,79)</f>
        <v>778</v>
      </c>
      <c r="O15" s="92">
        <f>VLOOKUP($A15,'Data Vlaue (Cr)'!$C:$FB,82)</f>
        <v>-2.7000000000000001E-3</v>
      </c>
    </row>
    <row r="16" spans="1:15" x14ac:dyDescent="0.25">
      <c r="A16" s="97" t="str">
        <f>'Data Vlaue (Cr)'!C11</f>
        <v>AMBER</v>
      </c>
      <c r="B16" s="142">
        <f>VLOOKUP(A16,'Data Vlaue (Cr)'!C11:CW232,99,0)</f>
        <v>1649</v>
      </c>
      <c r="C16" s="90">
        <f>VLOOKUP(A16,'Data Vlaue (Cr)'!C11:CY232,101,0)</f>
        <v>-49</v>
      </c>
      <c r="D16" s="139">
        <f>VLOOKUP(A16,'Data Vlaue (Cr)'!C11:CZ232,102,0)</f>
        <v>-2.9000000000000001E-2</v>
      </c>
      <c r="E16" s="91">
        <f>VLOOKUP($A16,'Data Vlaue (Cr)'!$C:$FB,75)</f>
        <v>532</v>
      </c>
      <c r="F16" s="91">
        <f>VLOOKUP($A16,'Data Vlaue (Cr)'!$C:$FB,77)</f>
        <v>8</v>
      </c>
      <c r="G16" s="92">
        <f>VLOOKUP(A16,'Data Vlaue (Cr)'!C11:CB232,78,0)</f>
        <v>1.52E-2</v>
      </c>
      <c r="H16" s="91">
        <f>VLOOKUP($A16,'Data Vlaue (Cr)'!$C:$FB,91)</f>
        <v>747</v>
      </c>
      <c r="I16" s="91">
        <f>VLOOKUP($A16,'Data Vlaue (Cr)'!$C:$FB,93)</f>
        <v>-10</v>
      </c>
      <c r="J16" s="92">
        <f>VLOOKUP($A16,'Data Vlaue (Cr)'!$C:$FB,94)</f>
        <v>-1.2800000000000001E-2</v>
      </c>
      <c r="K16" s="91">
        <f>VLOOKUP($A16,'Data Vlaue (Cr)'!$C:$FB,95)</f>
        <v>370</v>
      </c>
      <c r="L16" s="91">
        <f>VLOOKUP($A16,'Data Vlaue (Cr)'!$C:$FB,97)</f>
        <v>-48</v>
      </c>
      <c r="M16" s="92">
        <f>VLOOKUP($A16,'Data Vlaue (Cr)'!$C:$FB,98)</f>
        <v>-0.1139</v>
      </c>
      <c r="N16" s="91">
        <f>VLOOKUP($A16,'Data Vlaue (Cr)'!$C:$FB,79)</f>
        <v>501</v>
      </c>
      <c r="O16" s="92">
        <f>VLOOKUP($A16,'Data Vlaue (Cr)'!$C:$FB,82)</f>
        <v>-2.0999999999999999E-3</v>
      </c>
    </row>
    <row r="17" spans="1:15" x14ac:dyDescent="0.25">
      <c r="A17" s="97" t="str">
        <f>'Data Vlaue (Cr)'!C12</f>
        <v>AMBUJACEM</v>
      </c>
      <c r="B17" s="142">
        <f>VLOOKUP(A17,'Data Vlaue (Cr)'!C12:CW233,99,0)</f>
        <v>2804</v>
      </c>
      <c r="C17" s="90">
        <f>VLOOKUP(A17,'Data Vlaue (Cr)'!C12:CY233,101,0)</f>
        <v>60</v>
      </c>
      <c r="D17" s="139">
        <f>VLOOKUP(A17,'Data Vlaue (Cr)'!C12:CZ233,102,0)</f>
        <v>2.1999999999999999E-2</v>
      </c>
      <c r="E17" s="91">
        <f>VLOOKUP($A17,'Data Vlaue (Cr)'!$C:$FB,75)</f>
        <v>1775</v>
      </c>
      <c r="F17" s="91">
        <f>VLOOKUP($A17,'Data Vlaue (Cr)'!$C:$FB,77)</f>
        <v>28</v>
      </c>
      <c r="G17" s="92">
        <f>VLOOKUP(A17,'Data Vlaue (Cr)'!C12:CB233,78,0)</f>
        <v>1.61E-2</v>
      </c>
      <c r="H17" s="91">
        <f>VLOOKUP($A17,'Data Vlaue (Cr)'!$C:$FB,91)</f>
        <v>665</v>
      </c>
      <c r="I17" s="91">
        <f>VLOOKUP($A17,'Data Vlaue (Cr)'!$C:$FB,93)</f>
        <v>17</v>
      </c>
      <c r="J17" s="92">
        <f>VLOOKUP($A17,'Data Vlaue (Cr)'!$C:$FB,94)</f>
        <v>2.58E-2</v>
      </c>
      <c r="K17" s="91">
        <f>VLOOKUP($A17,'Data Vlaue (Cr)'!$C:$FB,95)</f>
        <v>365</v>
      </c>
      <c r="L17" s="91">
        <f>VLOOKUP($A17,'Data Vlaue (Cr)'!$C:$FB,97)</f>
        <v>16</v>
      </c>
      <c r="M17" s="92">
        <f>VLOOKUP($A17,'Data Vlaue (Cr)'!$C:$FB,98)</f>
        <v>4.4900000000000002E-2</v>
      </c>
      <c r="N17" s="91">
        <f>VLOOKUP($A17,'Data Vlaue (Cr)'!$C:$FB,79)</f>
        <v>1634</v>
      </c>
      <c r="O17" s="92">
        <f>VLOOKUP($A17,'Data Vlaue (Cr)'!$C:$FB,82)</f>
        <v>-1.95E-2</v>
      </c>
    </row>
    <row r="18" spans="1:15" x14ac:dyDescent="0.25">
      <c r="A18" s="97" t="str">
        <f>'Data Vlaue (Cr)'!C13</f>
        <v>ANGELONE</v>
      </c>
      <c r="B18" s="142">
        <f>VLOOKUP(A18,'Data Vlaue (Cr)'!C13:CW234,99,0)</f>
        <v>1528</v>
      </c>
      <c r="C18" s="90">
        <f>VLOOKUP(A18,'Data Vlaue (Cr)'!C13:CY234,101,0)</f>
        <v>-11</v>
      </c>
      <c r="D18" s="139">
        <f>VLOOKUP(A18,'Data Vlaue (Cr)'!C13:CZ234,102,0)</f>
        <v>-7.4000000000000003E-3</v>
      </c>
      <c r="E18" s="91">
        <f>VLOOKUP($A18,'Data Vlaue (Cr)'!$C:$FB,75)</f>
        <v>703</v>
      </c>
      <c r="F18" s="91">
        <f>VLOOKUP($A18,'Data Vlaue (Cr)'!$C:$FB,77)</f>
        <v>5</v>
      </c>
      <c r="G18" s="92">
        <f>VLOOKUP(A18,'Data Vlaue (Cr)'!C13:CB234,78,0)</f>
        <v>7.7999999999999996E-3</v>
      </c>
      <c r="H18" s="91">
        <f>VLOOKUP($A18,'Data Vlaue (Cr)'!$C:$FB,91)</f>
        <v>433</v>
      </c>
      <c r="I18" s="91">
        <f>VLOOKUP($A18,'Data Vlaue (Cr)'!$C:$FB,93)</f>
        <v>-18</v>
      </c>
      <c r="J18" s="92">
        <f>VLOOKUP($A18,'Data Vlaue (Cr)'!$C:$FB,94)</f>
        <v>-3.9600000000000003E-2</v>
      </c>
      <c r="K18" s="91">
        <f>VLOOKUP($A18,'Data Vlaue (Cr)'!$C:$FB,95)</f>
        <v>392</v>
      </c>
      <c r="L18" s="91">
        <f>VLOOKUP($A18,'Data Vlaue (Cr)'!$C:$FB,97)</f>
        <v>1</v>
      </c>
      <c r="M18" s="92">
        <f>VLOOKUP($A18,'Data Vlaue (Cr)'!$C:$FB,98)</f>
        <v>2.5999999999999999E-3</v>
      </c>
      <c r="N18" s="91">
        <f>VLOOKUP($A18,'Data Vlaue (Cr)'!$C:$FB,79)</f>
        <v>643</v>
      </c>
      <c r="O18" s="92">
        <f>VLOOKUP($A18,'Data Vlaue (Cr)'!$C:$FB,82)</f>
        <v>3.7000000000000002E-3</v>
      </c>
    </row>
    <row r="19" spans="1:15" x14ac:dyDescent="0.25">
      <c r="A19" s="97" t="str">
        <f>'Data Vlaue (Cr)'!C14</f>
        <v>APLAPOLLO</v>
      </c>
      <c r="B19" s="142">
        <f>VLOOKUP(A19,'Data Vlaue (Cr)'!C14:CW235,99,0)</f>
        <v>1656</v>
      </c>
      <c r="C19" s="90">
        <f>VLOOKUP(A19,'Data Vlaue (Cr)'!C14:CY235,101,0)</f>
        <v>24</v>
      </c>
      <c r="D19" s="139">
        <f>VLOOKUP(A19,'Data Vlaue (Cr)'!C14:CZ235,102,0)</f>
        <v>1.49E-2</v>
      </c>
      <c r="E19" s="91">
        <f>VLOOKUP($A19,'Data Vlaue (Cr)'!$C:$FB,75)</f>
        <v>1090</v>
      </c>
      <c r="F19" s="91">
        <f>VLOOKUP($A19,'Data Vlaue (Cr)'!$C:$FB,77)</f>
        <v>21</v>
      </c>
      <c r="G19" s="92">
        <f>VLOOKUP(A19,'Data Vlaue (Cr)'!C14:CB235,78,0)</f>
        <v>1.9199999999999998E-2</v>
      </c>
      <c r="H19" s="91">
        <f>VLOOKUP($A19,'Data Vlaue (Cr)'!$C:$FB,91)</f>
        <v>271</v>
      </c>
      <c r="I19" s="91">
        <f>VLOOKUP($A19,'Data Vlaue (Cr)'!$C:$FB,93)</f>
        <v>-4</v>
      </c>
      <c r="J19" s="92">
        <f>VLOOKUP($A19,'Data Vlaue (Cr)'!$C:$FB,94)</f>
        <v>-1.37E-2</v>
      </c>
      <c r="K19" s="91">
        <f>VLOOKUP($A19,'Data Vlaue (Cr)'!$C:$FB,95)</f>
        <v>296</v>
      </c>
      <c r="L19" s="91">
        <f>VLOOKUP($A19,'Data Vlaue (Cr)'!$C:$FB,97)</f>
        <v>8</v>
      </c>
      <c r="M19" s="92">
        <f>VLOOKUP($A19,'Data Vlaue (Cr)'!$C:$FB,98)</f>
        <v>2.6499999999999999E-2</v>
      </c>
      <c r="N19" s="91">
        <f>VLOOKUP($A19,'Data Vlaue (Cr)'!$C:$FB,79)</f>
        <v>1028</v>
      </c>
      <c r="O19" s="92">
        <f>VLOOKUP($A19,'Data Vlaue (Cr)'!$C:$FB,82)</f>
        <v>-8.0000000000000004E-4</v>
      </c>
    </row>
    <row r="20" spans="1:15" x14ac:dyDescent="0.25">
      <c r="A20" s="97" t="str">
        <f>'Data Vlaue (Cr)'!C15</f>
        <v>APOLLOHOSP</v>
      </c>
      <c r="B20" s="142">
        <f>VLOOKUP(A20,'Data Vlaue (Cr)'!C15:CW236,99,0)</f>
        <v>6216</v>
      </c>
      <c r="C20" s="90">
        <f>VLOOKUP(A20,'Data Vlaue (Cr)'!C15:CY236,101,0)</f>
        <v>31</v>
      </c>
      <c r="D20" s="139">
        <f>VLOOKUP(A20,'Data Vlaue (Cr)'!C15:CZ236,102,0)</f>
        <v>5.0000000000000001E-3</v>
      </c>
      <c r="E20" s="91">
        <f>VLOOKUP($A20,'Data Vlaue (Cr)'!$C:$FB,75)</f>
        <v>2700</v>
      </c>
      <c r="F20" s="91">
        <f>VLOOKUP($A20,'Data Vlaue (Cr)'!$C:$FB,77)</f>
        <v>-90</v>
      </c>
      <c r="G20" s="92">
        <f>VLOOKUP(A20,'Data Vlaue (Cr)'!C15:CB236,78,0)</f>
        <v>-3.2199999999999999E-2</v>
      </c>
      <c r="H20" s="91">
        <f>VLOOKUP($A20,'Data Vlaue (Cr)'!$C:$FB,91)</f>
        <v>1612</v>
      </c>
      <c r="I20" s="91">
        <f>VLOOKUP($A20,'Data Vlaue (Cr)'!$C:$FB,93)</f>
        <v>15</v>
      </c>
      <c r="J20" s="92">
        <f>VLOOKUP($A20,'Data Vlaue (Cr)'!$C:$FB,94)</f>
        <v>9.2999999999999992E-3</v>
      </c>
      <c r="K20" s="91">
        <f>VLOOKUP($A20,'Data Vlaue (Cr)'!$C:$FB,95)</f>
        <v>1905</v>
      </c>
      <c r="L20" s="91">
        <f>VLOOKUP($A20,'Data Vlaue (Cr)'!$C:$FB,97)</f>
        <v>106</v>
      </c>
      <c r="M20" s="92">
        <f>VLOOKUP($A20,'Data Vlaue (Cr)'!$C:$FB,98)</f>
        <v>5.8999999999999997E-2</v>
      </c>
      <c r="N20" s="91">
        <f>VLOOKUP($A20,'Data Vlaue (Cr)'!$C:$FB,79)</f>
        <v>2460</v>
      </c>
      <c r="O20" s="92">
        <f>VLOOKUP($A20,'Data Vlaue (Cr)'!$C:$FB,82)</f>
        <v>-4.0500000000000001E-2</v>
      </c>
    </row>
    <row r="21" spans="1:15" x14ac:dyDescent="0.25">
      <c r="A21" s="97" t="str">
        <f>'Data Vlaue (Cr)'!C16</f>
        <v>ASHOKLEY</v>
      </c>
      <c r="B21" s="142">
        <f>VLOOKUP(A21,'Data Vlaue (Cr)'!C16:CW237,99,0)</f>
        <v>2873</v>
      </c>
      <c r="C21" s="90">
        <f>VLOOKUP(A21,'Data Vlaue (Cr)'!C16:CY237,101,0)</f>
        <v>7</v>
      </c>
      <c r="D21" s="139">
        <f>VLOOKUP(A21,'Data Vlaue (Cr)'!C16:CZ237,102,0)</f>
        <v>2.5999999999999999E-3</v>
      </c>
      <c r="E21" s="91">
        <f>VLOOKUP($A21,'Data Vlaue (Cr)'!$C:$FB,75)</f>
        <v>1426</v>
      </c>
      <c r="F21" s="91">
        <f>VLOOKUP($A21,'Data Vlaue (Cr)'!$C:$FB,77)</f>
        <v>7</v>
      </c>
      <c r="G21" s="92">
        <f>VLOOKUP(A21,'Data Vlaue (Cr)'!C16:CB237,78,0)</f>
        <v>4.7000000000000002E-3</v>
      </c>
      <c r="H21" s="91">
        <f>VLOOKUP($A21,'Data Vlaue (Cr)'!$C:$FB,91)</f>
        <v>689</v>
      </c>
      <c r="I21" s="91">
        <f>VLOOKUP($A21,'Data Vlaue (Cr)'!$C:$FB,93)</f>
        <v>-6</v>
      </c>
      <c r="J21" s="92">
        <f>VLOOKUP($A21,'Data Vlaue (Cr)'!$C:$FB,94)</f>
        <v>-8.0000000000000002E-3</v>
      </c>
      <c r="K21" s="91">
        <f>VLOOKUP($A21,'Data Vlaue (Cr)'!$C:$FB,95)</f>
        <v>758</v>
      </c>
      <c r="L21" s="91">
        <f>VLOOKUP($A21,'Data Vlaue (Cr)'!$C:$FB,97)</f>
        <v>6</v>
      </c>
      <c r="M21" s="92">
        <f>VLOOKUP($A21,'Data Vlaue (Cr)'!$C:$FB,98)</f>
        <v>8.0999999999999996E-3</v>
      </c>
      <c r="N21" s="91">
        <f>VLOOKUP($A21,'Data Vlaue (Cr)'!$C:$FB,79)</f>
        <v>1307</v>
      </c>
      <c r="O21" s="92">
        <f>VLOOKUP($A21,'Data Vlaue (Cr)'!$C:$FB,82)</f>
        <v>-1.7299999999999999E-2</v>
      </c>
    </row>
    <row r="22" spans="1:15" x14ac:dyDescent="0.25">
      <c r="A22" s="97" t="str">
        <f>'Data Vlaue (Cr)'!C17</f>
        <v>ASIANPAINT</v>
      </c>
      <c r="B22" s="142">
        <f>VLOOKUP(A22,'Data Vlaue (Cr)'!C17:CW238,99,0)</f>
        <v>6421</v>
      </c>
      <c r="C22" s="90">
        <f>VLOOKUP(A22,'Data Vlaue (Cr)'!C17:CY238,101,0)</f>
        <v>75</v>
      </c>
      <c r="D22" s="139">
        <f>VLOOKUP(A22,'Data Vlaue (Cr)'!C17:CZ238,102,0)</f>
        <v>1.1900000000000001E-2</v>
      </c>
      <c r="E22" s="91">
        <f>VLOOKUP($A22,'Data Vlaue (Cr)'!$C:$FB,75)</f>
        <v>3656</v>
      </c>
      <c r="F22" s="91">
        <f>VLOOKUP($A22,'Data Vlaue (Cr)'!$C:$FB,77)</f>
        <v>93</v>
      </c>
      <c r="G22" s="92">
        <f>VLOOKUP(A22,'Data Vlaue (Cr)'!C17:CB238,78,0)</f>
        <v>2.5999999999999999E-2</v>
      </c>
      <c r="H22" s="91">
        <f>VLOOKUP($A22,'Data Vlaue (Cr)'!$C:$FB,91)</f>
        <v>1697</v>
      </c>
      <c r="I22" s="91">
        <f>VLOOKUP($A22,'Data Vlaue (Cr)'!$C:$FB,93)</f>
        <v>-36</v>
      </c>
      <c r="J22" s="92">
        <f>VLOOKUP($A22,'Data Vlaue (Cr)'!$C:$FB,94)</f>
        <v>-2.06E-2</v>
      </c>
      <c r="K22" s="91">
        <f>VLOOKUP($A22,'Data Vlaue (Cr)'!$C:$FB,95)</f>
        <v>1068</v>
      </c>
      <c r="L22" s="91">
        <f>VLOOKUP($A22,'Data Vlaue (Cr)'!$C:$FB,97)</f>
        <v>18</v>
      </c>
      <c r="M22" s="92">
        <f>VLOOKUP($A22,'Data Vlaue (Cr)'!$C:$FB,98)</f>
        <v>1.7399999999999999E-2</v>
      </c>
      <c r="N22" s="91">
        <f>VLOOKUP($A22,'Data Vlaue (Cr)'!$C:$FB,79)</f>
        <v>3414</v>
      </c>
      <c r="O22" s="92">
        <f>VLOOKUP($A22,'Data Vlaue (Cr)'!$C:$FB,82)</f>
        <v>1.6799999999999999E-2</v>
      </c>
    </row>
    <row r="23" spans="1:15" x14ac:dyDescent="0.25">
      <c r="A23" s="97" t="str">
        <f>'Data Vlaue (Cr)'!C18</f>
        <v>ASTRAL</v>
      </c>
      <c r="B23" s="142">
        <f>VLOOKUP(A23,'Data Vlaue (Cr)'!C18:CW239,99,0)</f>
        <v>2020</v>
      </c>
      <c r="C23" s="90">
        <f>VLOOKUP(A23,'Data Vlaue (Cr)'!C18:CY239,101,0)</f>
        <v>-32</v>
      </c>
      <c r="D23" s="139">
        <f>VLOOKUP(A23,'Data Vlaue (Cr)'!C18:CZ239,102,0)</f>
        <v>-1.5800000000000002E-2</v>
      </c>
      <c r="E23" s="91">
        <f>VLOOKUP($A23,'Data Vlaue (Cr)'!$C:$FB,75)</f>
        <v>1069</v>
      </c>
      <c r="F23" s="91">
        <f>VLOOKUP($A23,'Data Vlaue (Cr)'!$C:$FB,77)</f>
        <v>-34</v>
      </c>
      <c r="G23" s="92">
        <f>VLOOKUP(A23,'Data Vlaue (Cr)'!C18:CB239,78,0)</f>
        <v>-3.0700000000000002E-2</v>
      </c>
      <c r="H23" s="91">
        <f>VLOOKUP($A23,'Data Vlaue (Cr)'!$C:$FB,91)</f>
        <v>503</v>
      </c>
      <c r="I23" s="91">
        <f>VLOOKUP($A23,'Data Vlaue (Cr)'!$C:$FB,93)</f>
        <v>1</v>
      </c>
      <c r="J23" s="92">
        <f>VLOOKUP($A23,'Data Vlaue (Cr)'!$C:$FB,94)</f>
        <v>1.8E-3</v>
      </c>
      <c r="K23" s="91">
        <f>VLOOKUP($A23,'Data Vlaue (Cr)'!$C:$FB,95)</f>
        <v>449</v>
      </c>
      <c r="L23" s="91">
        <f>VLOOKUP($A23,'Data Vlaue (Cr)'!$C:$FB,97)</f>
        <v>1</v>
      </c>
      <c r="M23" s="92">
        <f>VLOOKUP($A23,'Data Vlaue (Cr)'!$C:$FB,98)</f>
        <v>1.1999999999999999E-3</v>
      </c>
      <c r="N23" s="91">
        <f>VLOOKUP($A23,'Data Vlaue (Cr)'!$C:$FB,79)</f>
        <v>951</v>
      </c>
      <c r="O23" s="92">
        <f>VLOOKUP($A23,'Data Vlaue (Cr)'!$C:$FB,82)</f>
        <v>-3.6999999999999998E-2</v>
      </c>
    </row>
    <row r="24" spans="1:15" x14ac:dyDescent="0.25">
      <c r="A24" s="97" t="str">
        <f>'Data Vlaue (Cr)'!C19</f>
        <v>ATGL</v>
      </c>
      <c r="B24" s="142">
        <f>VLOOKUP(A24,'Data Vlaue (Cr)'!C19:CW240,99,0)</f>
        <v>337</v>
      </c>
      <c r="C24" s="90">
        <f>VLOOKUP(A24,'Data Vlaue (Cr)'!C19:CY240,101,0)</f>
        <v>-21</v>
      </c>
      <c r="D24" s="139">
        <f>VLOOKUP(A24,'Data Vlaue (Cr)'!C19:CZ240,102,0)</f>
        <v>-5.9299999999999999E-2</v>
      </c>
      <c r="E24" s="91">
        <f>VLOOKUP($A24,'Data Vlaue (Cr)'!$C:$FB,75)</f>
        <v>160</v>
      </c>
      <c r="F24" s="91">
        <f>VLOOKUP($A24,'Data Vlaue (Cr)'!$C:$FB,77)</f>
        <v>-10</v>
      </c>
      <c r="G24" s="92">
        <f>VLOOKUP(A24,'Data Vlaue (Cr)'!C19:CB240,78,0)</f>
        <v>-5.7099999999999998E-2</v>
      </c>
      <c r="H24" s="91">
        <f>VLOOKUP($A24,'Data Vlaue (Cr)'!$C:$FB,91)</f>
        <v>94</v>
      </c>
      <c r="I24" s="91">
        <f>VLOOKUP($A24,'Data Vlaue (Cr)'!$C:$FB,93)</f>
        <v>-9</v>
      </c>
      <c r="J24" s="92">
        <f>VLOOKUP($A24,'Data Vlaue (Cr)'!$C:$FB,94)</f>
        <v>-9.06E-2</v>
      </c>
      <c r="K24" s="91">
        <f>VLOOKUP($A24,'Data Vlaue (Cr)'!$C:$FB,95)</f>
        <v>83</v>
      </c>
      <c r="L24" s="91">
        <f>VLOOKUP($A24,'Data Vlaue (Cr)'!$C:$FB,97)</f>
        <v>-2</v>
      </c>
      <c r="M24" s="92">
        <f>VLOOKUP($A24,'Data Vlaue (Cr)'!$C:$FB,98)</f>
        <v>-2.5499999999999998E-2</v>
      </c>
      <c r="N24" s="91">
        <f>VLOOKUP($A24,'Data Vlaue (Cr)'!$C:$FB,79)</f>
        <v>160</v>
      </c>
      <c r="O24" s="92">
        <f>VLOOKUP($A24,'Data Vlaue (Cr)'!$C:$FB,82)</f>
        <v>-5.7099999999999998E-2</v>
      </c>
    </row>
    <row r="25" spans="1:15" x14ac:dyDescent="0.25">
      <c r="A25" s="97" t="str">
        <f>'Data Vlaue (Cr)'!C20</f>
        <v>AUBANK</v>
      </c>
      <c r="B25" s="142">
        <f>VLOOKUP(A25,'Data Vlaue (Cr)'!C20:CW241,99,0)</f>
        <v>2680</v>
      </c>
      <c r="C25" s="90">
        <f>VLOOKUP(A25,'Data Vlaue (Cr)'!C20:CY241,101,0)</f>
        <v>19</v>
      </c>
      <c r="D25" s="139">
        <f>VLOOKUP(A25,'Data Vlaue (Cr)'!C20:CZ241,102,0)</f>
        <v>7.1999999999999998E-3</v>
      </c>
      <c r="E25" s="91">
        <f>VLOOKUP($A25,'Data Vlaue (Cr)'!$C:$FB,75)</f>
        <v>1563</v>
      </c>
      <c r="F25" s="91">
        <f>VLOOKUP($A25,'Data Vlaue (Cr)'!$C:$FB,77)</f>
        <v>5</v>
      </c>
      <c r="G25" s="92">
        <f>VLOOKUP(A25,'Data Vlaue (Cr)'!C20:CB241,78,0)</f>
        <v>3.3999999999999998E-3</v>
      </c>
      <c r="H25" s="91">
        <f>VLOOKUP($A25,'Data Vlaue (Cr)'!$C:$FB,91)</f>
        <v>701</v>
      </c>
      <c r="I25" s="91">
        <f>VLOOKUP($A25,'Data Vlaue (Cr)'!$C:$FB,93)</f>
        <v>3</v>
      </c>
      <c r="J25" s="92">
        <f>VLOOKUP($A25,'Data Vlaue (Cr)'!$C:$FB,94)</f>
        <v>4.1000000000000003E-3</v>
      </c>
      <c r="K25" s="91">
        <f>VLOOKUP($A25,'Data Vlaue (Cr)'!$C:$FB,95)</f>
        <v>416</v>
      </c>
      <c r="L25" s="91">
        <f>VLOOKUP($A25,'Data Vlaue (Cr)'!$C:$FB,97)</f>
        <v>11</v>
      </c>
      <c r="M25" s="92">
        <f>VLOOKUP($A25,'Data Vlaue (Cr)'!$C:$FB,98)</f>
        <v>2.7300000000000001E-2</v>
      </c>
      <c r="N25" s="91">
        <f>VLOOKUP($A25,'Data Vlaue (Cr)'!$C:$FB,79)</f>
        <v>1379</v>
      </c>
      <c r="O25" s="92">
        <f>VLOOKUP($A25,'Data Vlaue (Cr)'!$C:$FB,82)</f>
        <v>-1.8200000000000001E-2</v>
      </c>
    </row>
    <row r="26" spans="1:15" x14ac:dyDescent="0.25">
      <c r="A26" s="97" t="str">
        <f>'Data Vlaue (Cr)'!C21</f>
        <v>AUROPHARMA</v>
      </c>
      <c r="B26" s="142">
        <f>VLOOKUP(A26,'Data Vlaue (Cr)'!C21:CW242,99,0)</f>
        <v>3292</v>
      </c>
      <c r="C26" s="90">
        <f>VLOOKUP(A26,'Data Vlaue (Cr)'!C21:CY242,101,0)</f>
        <v>658</v>
      </c>
      <c r="D26" s="139">
        <f>VLOOKUP(A26,'Data Vlaue (Cr)'!C21:CZ242,102,0)</f>
        <v>0.24970000000000001</v>
      </c>
      <c r="E26" s="91">
        <f>VLOOKUP($A26,'Data Vlaue (Cr)'!$C:$FB,75)</f>
        <v>2043</v>
      </c>
      <c r="F26" s="91">
        <f>VLOOKUP($A26,'Data Vlaue (Cr)'!$C:$FB,77)</f>
        <v>180</v>
      </c>
      <c r="G26" s="92">
        <f>VLOOKUP(A26,'Data Vlaue (Cr)'!C21:CB242,78,0)</f>
        <v>9.6799999999999997E-2</v>
      </c>
      <c r="H26" s="91">
        <f>VLOOKUP($A26,'Data Vlaue (Cr)'!$C:$FB,91)</f>
        <v>802</v>
      </c>
      <c r="I26" s="91">
        <f>VLOOKUP($A26,'Data Vlaue (Cr)'!$C:$FB,93)</f>
        <v>361</v>
      </c>
      <c r="J26" s="92">
        <f>VLOOKUP($A26,'Data Vlaue (Cr)'!$C:$FB,94)</f>
        <v>0.81610000000000005</v>
      </c>
      <c r="K26" s="91">
        <f>VLOOKUP($A26,'Data Vlaue (Cr)'!$C:$FB,95)</f>
        <v>447</v>
      </c>
      <c r="L26" s="91">
        <f>VLOOKUP($A26,'Data Vlaue (Cr)'!$C:$FB,97)</f>
        <v>117</v>
      </c>
      <c r="M26" s="92">
        <f>VLOOKUP($A26,'Data Vlaue (Cr)'!$C:$FB,98)</f>
        <v>0.35439999999999999</v>
      </c>
      <c r="N26" s="91">
        <f>VLOOKUP($A26,'Data Vlaue (Cr)'!$C:$FB,79)</f>
        <v>1802</v>
      </c>
      <c r="O26" s="92">
        <f>VLOOKUP($A26,'Data Vlaue (Cr)'!$C:$FB,82)</f>
        <v>8.8000000000000005E-3</v>
      </c>
    </row>
    <row r="27" spans="1:15" x14ac:dyDescent="0.25">
      <c r="A27" s="97" t="str">
        <f>'Data Vlaue (Cr)'!C22</f>
        <v>AXISBANK</v>
      </c>
      <c r="B27" s="142">
        <f>VLOOKUP(A27,'Data Vlaue (Cr)'!C22:CW243,99,0)</f>
        <v>14869</v>
      </c>
      <c r="C27" s="90">
        <f>VLOOKUP(A27,'Data Vlaue (Cr)'!C22:CY243,101,0)</f>
        <v>203</v>
      </c>
      <c r="D27" s="139">
        <f>VLOOKUP(A27,'Data Vlaue (Cr)'!C22:CZ243,102,0)</f>
        <v>1.3899999999999999E-2</v>
      </c>
      <c r="E27" s="91">
        <f>VLOOKUP($A27,'Data Vlaue (Cr)'!$C:$FB,75)</f>
        <v>11331</v>
      </c>
      <c r="F27" s="91">
        <f>VLOOKUP($A27,'Data Vlaue (Cr)'!$C:$FB,77)</f>
        <v>60</v>
      </c>
      <c r="G27" s="92">
        <f>VLOOKUP(A27,'Data Vlaue (Cr)'!C22:CB243,78,0)</f>
        <v>5.3E-3</v>
      </c>
      <c r="H27" s="91">
        <f>VLOOKUP($A27,'Data Vlaue (Cr)'!$C:$FB,91)</f>
        <v>2278</v>
      </c>
      <c r="I27" s="91">
        <f>VLOOKUP($A27,'Data Vlaue (Cr)'!$C:$FB,93)</f>
        <v>105</v>
      </c>
      <c r="J27" s="92">
        <f>VLOOKUP($A27,'Data Vlaue (Cr)'!$C:$FB,94)</f>
        <v>4.8300000000000003E-2</v>
      </c>
      <c r="K27" s="91">
        <f>VLOOKUP($A27,'Data Vlaue (Cr)'!$C:$FB,95)</f>
        <v>1260</v>
      </c>
      <c r="L27" s="91">
        <f>VLOOKUP($A27,'Data Vlaue (Cr)'!$C:$FB,97)</f>
        <v>38</v>
      </c>
      <c r="M27" s="92">
        <f>VLOOKUP($A27,'Data Vlaue (Cr)'!$C:$FB,98)</f>
        <v>3.15E-2</v>
      </c>
      <c r="N27" s="91">
        <f>VLOOKUP($A27,'Data Vlaue (Cr)'!$C:$FB,79)</f>
        <v>10296</v>
      </c>
      <c r="O27" s="92">
        <f>VLOOKUP($A27,'Data Vlaue (Cr)'!$C:$FB,82)</f>
        <v>-1.77E-2</v>
      </c>
    </row>
    <row r="28" spans="1:15" x14ac:dyDescent="0.25">
      <c r="A28" s="97" t="str">
        <f>'Data Vlaue (Cr)'!C23</f>
        <v>BAJAJ-AUTO</v>
      </c>
      <c r="B28" s="142">
        <f>VLOOKUP(A28,'Data Vlaue (Cr)'!C23:CW244,99,0)</f>
        <v>4937</v>
      </c>
      <c r="C28" s="90">
        <f>VLOOKUP(A28,'Data Vlaue (Cr)'!C23:CY244,101,0)</f>
        <v>-40</v>
      </c>
      <c r="D28" s="139">
        <f>VLOOKUP(A28,'Data Vlaue (Cr)'!C23:CZ244,102,0)</f>
        <v>-8.0000000000000002E-3</v>
      </c>
      <c r="E28" s="91">
        <f>VLOOKUP($A28,'Data Vlaue (Cr)'!$C:$FB,75)</f>
        <v>2540</v>
      </c>
      <c r="F28" s="91">
        <f>VLOOKUP($A28,'Data Vlaue (Cr)'!$C:$FB,77)</f>
        <v>1</v>
      </c>
      <c r="G28" s="92">
        <f>VLOOKUP(A28,'Data Vlaue (Cr)'!C23:CB244,78,0)</f>
        <v>2.0000000000000001E-4</v>
      </c>
      <c r="H28" s="91">
        <f>VLOOKUP($A28,'Data Vlaue (Cr)'!$C:$FB,91)</f>
        <v>1308</v>
      </c>
      <c r="I28" s="91">
        <f>VLOOKUP($A28,'Data Vlaue (Cr)'!$C:$FB,93)</f>
        <v>-68</v>
      </c>
      <c r="J28" s="92">
        <f>VLOOKUP($A28,'Data Vlaue (Cr)'!$C:$FB,94)</f>
        <v>-4.9200000000000001E-2</v>
      </c>
      <c r="K28" s="91">
        <f>VLOOKUP($A28,'Data Vlaue (Cr)'!$C:$FB,95)</f>
        <v>1089</v>
      </c>
      <c r="L28" s="91">
        <f>VLOOKUP($A28,'Data Vlaue (Cr)'!$C:$FB,97)</f>
        <v>27</v>
      </c>
      <c r="M28" s="92">
        <f>VLOOKUP($A28,'Data Vlaue (Cr)'!$C:$FB,98)</f>
        <v>2.5700000000000001E-2</v>
      </c>
      <c r="N28" s="91">
        <f>VLOOKUP($A28,'Data Vlaue (Cr)'!$C:$FB,79)</f>
        <v>2383</v>
      </c>
      <c r="O28" s="92">
        <f>VLOOKUP($A28,'Data Vlaue (Cr)'!$C:$FB,82)</f>
        <v>-1.78E-2</v>
      </c>
    </row>
    <row r="29" spans="1:15" x14ac:dyDescent="0.25">
      <c r="A29" s="97" t="str">
        <f>'Data Vlaue (Cr)'!C24</f>
        <v>BAJAJFINSV</v>
      </c>
      <c r="B29" s="142">
        <f>VLOOKUP(A29,'Data Vlaue (Cr)'!C24:CW245,99,0)</f>
        <v>5505</v>
      </c>
      <c r="C29" s="90">
        <f>VLOOKUP(A29,'Data Vlaue (Cr)'!C24:CY245,101,0)</f>
        <v>122</v>
      </c>
      <c r="D29" s="139">
        <f>VLOOKUP(A29,'Data Vlaue (Cr)'!C24:CZ245,102,0)</f>
        <v>2.2800000000000001E-2</v>
      </c>
      <c r="E29" s="91">
        <f>VLOOKUP($A29,'Data Vlaue (Cr)'!$C:$FB,75)</f>
        <v>3359</v>
      </c>
      <c r="F29" s="91">
        <f>VLOOKUP($A29,'Data Vlaue (Cr)'!$C:$FB,77)</f>
        <v>25</v>
      </c>
      <c r="G29" s="92">
        <f>VLOOKUP(A29,'Data Vlaue (Cr)'!C24:CB245,78,0)</f>
        <v>7.6E-3</v>
      </c>
      <c r="H29" s="91">
        <f>VLOOKUP($A29,'Data Vlaue (Cr)'!$C:$FB,91)</f>
        <v>1254</v>
      </c>
      <c r="I29" s="91">
        <f>VLOOKUP($A29,'Data Vlaue (Cr)'!$C:$FB,93)</f>
        <v>113</v>
      </c>
      <c r="J29" s="92">
        <f>VLOOKUP($A29,'Data Vlaue (Cr)'!$C:$FB,94)</f>
        <v>9.8599999999999993E-2</v>
      </c>
      <c r="K29" s="91">
        <f>VLOOKUP($A29,'Data Vlaue (Cr)'!$C:$FB,95)</f>
        <v>892</v>
      </c>
      <c r="L29" s="91">
        <f>VLOOKUP($A29,'Data Vlaue (Cr)'!$C:$FB,97)</f>
        <v>-16</v>
      </c>
      <c r="M29" s="92">
        <f>VLOOKUP($A29,'Data Vlaue (Cr)'!$C:$FB,98)</f>
        <v>-1.7100000000000001E-2</v>
      </c>
      <c r="N29" s="91">
        <f>VLOOKUP($A29,'Data Vlaue (Cr)'!$C:$FB,79)</f>
        <v>3200</v>
      </c>
      <c r="O29" s="92">
        <f>VLOOKUP($A29,'Data Vlaue (Cr)'!$C:$FB,82)</f>
        <v>-6.4999999999999997E-3</v>
      </c>
    </row>
    <row r="30" spans="1:15" x14ac:dyDescent="0.25">
      <c r="A30" s="97" t="str">
        <f>'Data Vlaue (Cr)'!C25</f>
        <v>BAJFINANCE</v>
      </c>
      <c r="B30" s="142">
        <f>VLOOKUP(A30,'Data Vlaue (Cr)'!C25:CW246,99,0)</f>
        <v>12813</v>
      </c>
      <c r="C30" s="90">
        <f>VLOOKUP(A30,'Data Vlaue (Cr)'!C25:CY246,101,0)</f>
        <v>385</v>
      </c>
      <c r="D30" s="139">
        <f>VLOOKUP(A30,'Data Vlaue (Cr)'!C25:CZ246,102,0)</f>
        <v>3.1E-2</v>
      </c>
      <c r="E30" s="91">
        <f>VLOOKUP($A30,'Data Vlaue (Cr)'!$C:$FB,75)</f>
        <v>8775</v>
      </c>
      <c r="F30" s="91">
        <f>VLOOKUP($A30,'Data Vlaue (Cr)'!$C:$FB,77)</f>
        <v>38</v>
      </c>
      <c r="G30" s="92">
        <f>VLOOKUP(A30,'Data Vlaue (Cr)'!C25:CB246,78,0)</f>
        <v>4.4000000000000003E-3</v>
      </c>
      <c r="H30" s="91">
        <f>VLOOKUP($A30,'Data Vlaue (Cr)'!$C:$FB,91)</f>
        <v>2638</v>
      </c>
      <c r="I30" s="91">
        <f>VLOOKUP($A30,'Data Vlaue (Cr)'!$C:$FB,93)</f>
        <v>307</v>
      </c>
      <c r="J30" s="92">
        <f>VLOOKUP($A30,'Data Vlaue (Cr)'!$C:$FB,94)</f>
        <v>0.13189999999999999</v>
      </c>
      <c r="K30" s="91">
        <f>VLOOKUP($A30,'Data Vlaue (Cr)'!$C:$FB,95)</f>
        <v>1400</v>
      </c>
      <c r="L30" s="91">
        <f>VLOOKUP($A30,'Data Vlaue (Cr)'!$C:$FB,97)</f>
        <v>39</v>
      </c>
      <c r="M30" s="92">
        <f>VLOOKUP($A30,'Data Vlaue (Cr)'!$C:$FB,98)</f>
        <v>2.8799999999999999E-2</v>
      </c>
      <c r="N30" s="91">
        <f>VLOOKUP($A30,'Data Vlaue (Cr)'!$C:$FB,79)</f>
        <v>7485</v>
      </c>
      <c r="O30" s="92">
        <f>VLOOKUP($A30,'Data Vlaue (Cr)'!$C:$FB,82)</f>
        <v>-1.7500000000000002E-2</v>
      </c>
    </row>
    <row r="31" spans="1:15" x14ac:dyDescent="0.25">
      <c r="A31" s="97" t="str">
        <f>'Data Vlaue (Cr)'!C26</f>
        <v>BANDHANBNK</v>
      </c>
      <c r="B31" s="142">
        <f>VLOOKUP(A31,'Data Vlaue (Cr)'!C26:CW247,99,0)</f>
        <v>2144</v>
      </c>
      <c r="C31" s="90">
        <f>VLOOKUP(A31,'Data Vlaue (Cr)'!C26:CY247,101,0)</f>
        <v>14</v>
      </c>
      <c r="D31" s="139">
        <f>VLOOKUP(A31,'Data Vlaue (Cr)'!C26:CZ247,102,0)</f>
        <v>6.6E-3</v>
      </c>
      <c r="E31" s="91">
        <f>VLOOKUP($A31,'Data Vlaue (Cr)'!$C:$FB,75)</f>
        <v>1439</v>
      </c>
      <c r="F31" s="91">
        <f>VLOOKUP($A31,'Data Vlaue (Cr)'!$C:$FB,77)</f>
        <v>20</v>
      </c>
      <c r="G31" s="92">
        <f>VLOOKUP(A31,'Data Vlaue (Cr)'!C26:CB247,78,0)</f>
        <v>1.38E-2</v>
      </c>
      <c r="H31" s="91">
        <f>VLOOKUP($A31,'Data Vlaue (Cr)'!$C:$FB,91)</f>
        <v>404</v>
      </c>
      <c r="I31" s="91">
        <f>VLOOKUP($A31,'Data Vlaue (Cr)'!$C:$FB,93)</f>
        <v>2</v>
      </c>
      <c r="J31" s="92">
        <f>VLOOKUP($A31,'Data Vlaue (Cr)'!$C:$FB,94)</f>
        <v>3.7000000000000002E-3</v>
      </c>
      <c r="K31" s="91">
        <f>VLOOKUP($A31,'Data Vlaue (Cr)'!$C:$FB,95)</f>
        <v>300</v>
      </c>
      <c r="L31" s="91">
        <f>VLOOKUP($A31,'Data Vlaue (Cr)'!$C:$FB,97)</f>
        <v>-7</v>
      </c>
      <c r="M31" s="92">
        <f>VLOOKUP($A31,'Data Vlaue (Cr)'!$C:$FB,98)</f>
        <v>-2.3E-2</v>
      </c>
      <c r="N31" s="91">
        <f>VLOOKUP($A31,'Data Vlaue (Cr)'!$C:$FB,79)</f>
        <v>1262</v>
      </c>
      <c r="O31" s="92">
        <f>VLOOKUP($A31,'Data Vlaue (Cr)'!$C:$FB,82)</f>
        <v>-1.12E-2</v>
      </c>
    </row>
    <row r="32" spans="1:15" x14ac:dyDescent="0.25">
      <c r="A32" s="97" t="str">
        <f>'Data Vlaue (Cr)'!C27</f>
        <v>BANKBARODA</v>
      </c>
      <c r="B32" s="142">
        <f>VLOOKUP(A32,'Data Vlaue (Cr)'!C27:CW248,99,0)</f>
        <v>4625</v>
      </c>
      <c r="C32" s="90">
        <f>VLOOKUP(A32,'Data Vlaue (Cr)'!C27:CY248,101,0)</f>
        <v>213</v>
      </c>
      <c r="D32" s="139">
        <f>VLOOKUP(A32,'Data Vlaue (Cr)'!C27:CZ248,102,0)</f>
        <v>4.8399999999999999E-2</v>
      </c>
      <c r="E32" s="91">
        <f>VLOOKUP($A32,'Data Vlaue (Cr)'!$C:$FB,75)</f>
        <v>2672</v>
      </c>
      <c r="F32" s="91">
        <f>VLOOKUP($A32,'Data Vlaue (Cr)'!$C:$FB,77)</f>
        <v>77</v>
      </c>
      <c r="G32" s="92">
        <f>VLOOKUP(A32,'Data Vlaue (Cr)'!C27:CB248,78,0)</f>
        <v>2.9700000000000001E-2</v>
      </c>
      <c r="H32" s="91">
        <f>VLOOKUP($A32,'Data Vlaue (Cr)'!$C:$FB,91)</f>
        <v>1014</v>
      </c>
      <c r="I32" s="91">
        <f>VLOOKUP($A32,'Data Vlaue (Cr)'!$C:$FB,93)</f>
        <v>99</v>
      </c>
      <c r="J32" s="92">
        <f>VLOOKUP($A32,'Data Vlaue (Cr)'!$C:$FB,94)</f>
        <v>0.1076</v>
      </c>
      <c r="K32" s="91">
        <f>VLOOKUP($A32,'Data Vlaue (Cr)'!$C:$FB,95)</f>
        <v>938</v>
      </c>
      <c r="L32" s="91">
        <f>VLOOKUP($A32,'Data Vlaue (Cr)'!$C:$FB,97)</f>
        <v>38</v>
      </c>
      <c r="M32" s="92">
        <f>VLOOKUP($A32,'Data Vlaue (Cr)'!$C:$FB,98)</f>
        <v>4.19E-2</v>
      </c>
      <c r="N32" s="91">
        <f>VLOOKUP($A32,'Data Vlaue (Cr)'!$C:$FB,79)</f>
        <v>2294</v>
      </c>
      <c r="O32" s="92">
        <f>VLOOKUP($A32,'Data Vlaue (Cr)'!$C:$FB,82)</f>
        <v>-6.1499999999999999E-2</v>
      </c>
    </row>
    <row r="33" spans="1:15" x14ac:dyDescent="0.25">
      <c r="A33" s="97" t="str">
        <f>'Data Vlaue (Cr)'!C28</f>
        <v>BANKINDIA</v>
      </c>
      <c r="B33" s="142">
        <f>VLOOKUP(A33,'Data Vlaue (Cr)'!C28:CW249,99,0)</f>
        <v>1113</v>
      </c>
      <c r="C33" s="90">
        <f>VLOOKUP(A33,'Data Vlaue (Cr)'!C28:CY249,101,0)</f>
        <v>14</v>
      </c>
      <c r="D33" s="139">
        <f>VLOOKUP(A33,'Data Vlaue (Cr)'!C28:CZ249,102,0)</f>
        <v>1.26E-2</v>
      </c>
      <c r="E33" s="91">
        <f>VLOOKUP($A33,'Data Vlaue (Cr)'!$C:$FB,75)</f>
        <v>743</v>
      </c>
      <c r="F33" s="91">
        <f>VLOOKUP($A33,'Data Vlaue (Cr)'!$C:$FB,77)</f>
        <v>10</v>
      </c>
      <c r="G33" s="92">
        <f>VLOOKUP(A33,'Data Vlaue (Cr)'!C28:CB249,78,0)</f>
        <v>1.41E-2</v>
      </c>
      <c r="H33" s="91">
        <f>VLOOKUP($A33,'Data Vlaue (Cr)'!$C:$FB,91)</f>
        <v>192</v>
      </c>
      <c r="I33" s="91">
        <f>VLOOKUP($A33,'Data Vlaue (Cr)'!$C:$FB,93)</f>
        <v>-5</v>
      </c>
      <c r="J33" s="92">
        <f>VLOOKUP($A33,'Data Vlaue (Cr)'!$C:$FB,94)</f>
        <v>-2.6100000000000002E-2</v>
      </c>
      <c r="K33" s="91">
        <f>VLOOKUP($A33,'Data Vlaue (Cr)'!$C:$FB,95)</f>
        <v>178</v>
      </c>
      <c r="L33" s="91">
        <f>VLOOKUP($A33,'Data Vlaue (Cr)'!$C:$FB,97)</f>
        <v>9</v>
      </c>
      <c r="M33" s="92">
        <f>VLOOKUP($A33,'Data Vlaue (Cr)'!$C:$FB,98)</f>
        <v>5.1299999999999998E-2</v>
      </c>
      <c r="N33" s="91">
        <f>VLOOKUP($A33,'Data Vlaue (Cr)'!$C:$FB,79)</f>
        <v>673</v>
      </c>
      <c r="O33" s="92">
        <f>VLOOKUP($A33,'Data Vlaue (Cr)'!$C:$FB,82)</f>
        <v>-8.0000000000000002E-3</v>
      </c>
    </row>
    <row r="34" spans="1:15" x14ac:dyDescent="0.25">
      <c r="A34" s="97" t="str">
        <f>'Data Vlaue (Cr)'!C29</f>
        <v>BANKNIFTY</v>
      </c>
      <c r="B34" s="142">
        <f>VLOOKUP(A34,'Data Vlaue (Cr)'!C29:CW250,99,0)</f>
        <v>243570</v>
      </c>
      <c r="C34" s="90">
        <f>VLOOKUP(A34,'Data Vlaue (Cr)'!C29:CY250,101,0)</f>
        <v>8919</v>
      </c>
      <c r="D34" s="139">
        <f>VLOOKUP(A34,'Data Vlaue (Cr)'!C29:CZ250,102,0)</f>
        <v>3.7999999999999999E-2</v>
      </c>
      <c r="E34" s="91">
        <f>VLOOKUP($A34,'Data Vlaue (Cr)'!$C:$FB,75)</f>
        <v>16494</v>
      </c>
      <c r="F34" s="91">
        <f>VLOOKUP($A34,'Data Vlaue (Cr)'!$C:$FB,77)</f>
        <v>412</v>
      </c>
      <c r="G34" s="92">
        <f>VLOOKUP(A34,'Data Vlaue (Cr)'!C29:CB250,78,0)</f>
        <v>2.5600000000000001E-2</v>
      </c>
      <c r="H34" s="91">
        <f>VLOOKUP($A34,'Data Vlaue (Cr)'!$C:$FB,91)</f>
        <v>128913</v>
      </c>
      <c r="I34" s="91">
        <f>VLOOKUP($A34,'Data Vlaue (Cr)'!$C:$FB,93)</f>
        <v>8974</v>
      </c>
      <c r="J34" s="92">
        <f>VLOOKUP($A34,'Data Vlaue (Cr)'!$C:$FB,94)</f>
        <v>7.4800000000000005E-2</v>
      </c>
      <c r="K34" s="91">
        <f>VLOOKUP($A34,'Data Vlaue (Cr)'!$C:$FB,95)</f>
        <v>98163</v>
      </c>
      <c r="L34" s="91">
        <f>VLOOKUP($A34,'Data Vlaue (Cr)'!$C:$FB,97)</f>
        <v>-467</v>
      </c>
      <c r="M34" s="92">
        <f>VLOOKUP($A34,'Data Vlaue (Cr)'!$C:$FB,98)</f>
        <v>-4.7000000000000002E-3</v>
      </c>
      <c r="N34" s="91">
        <f>VLOOKUP($A34,'Data Vlaue (Cr)'!$C:$FB,79)</f>
        <v>14557</v>
      </c>
      <c r="O34" s="92">
        <f>VLOOKUP($A34,'Data Vlaue (Cr)'!$C:$FB,82)</f>
        <v>1.6400000000000001E-2</v>
      </c>
    </row>
    <row r="35" spans="1:15" x14ac:dyDescent="0.25">
      <c r="A35" s="97" t="str">
        <f>'Data Vlaue (Cr)'!C30</f>
        <v>BDL</v>
      </c>
      <c r="B35" s="142">
        <f>VLOOKUP(A35,'Data Vlaue (Cr)'!C30:CW251,99,0)</f>
        <v>1601</v>
      </c>
      <c r="C35" s="90">
        <f>VLOOKUP(A35,'Data Vlaue (Cr)'!C30:CY251,101,0)</f>
        <v>81</v>
      </c>
      <c r="D35" s="139">
        <f>VLOOKUP(A35,'Data Vlaue (Cr)'!C30:CZ251,102,0)</f>
        <v>5.3600000000000002E-2</v>
      </c>
      <c r="E35" s="91">
        <f>VLOOKUP($A35,'Data Vlaue (Cr)'!$C:$FB,75)</f>
        <v>766</v>
      </c>
      <c r="F35" s="91">
        <f>VLOOKUP($A35,'Data Vlaue (Cr)'!$C:$FB,77)</f>
        <v>24</v>
      </c>
      <c r="G35" s="92">
        <f>VLOOKUP(A35,'Data Vlaue (Cr)'!C30:CB251,78,0)</f>
        <v>3.2800000000000003E-2</v>
      </c>
      <c r="H35" s="91">
        <f>VLOOKUP($A35,'Data Vlaue (Cr)'!$C:$FB,91)</f>
        <v>515</v>
      </c>
      <c r="I35" s="91">
        <f>VLOOKUP($A35,'Data Vlaue (Cr)'!$C:$FB,93)</f>
        <v>56</v>
      </c>
      <c r="J35" s="92">
        <f>VLOOKUP($A35,'Data Vlaue (Cr)'!$C:$FB,94)</f>
        <v>0.1217</v>
      </c>
      <c r="K35" s="91">
        <f>VLOOKUP($A35,'Data Vlaue (Cr)'!$C:$FB,95)</f>
        <v>320</v>
      </c>
      <c r="L35" s="91">
        <f>VLOOKUP($A35,'Data Vlaue (Cr)'!$C:$FB,97)</f>
        <v>1</v>
      </c>
      <c r="M35" s="92">
        <f>VLOOKUP($A35,'Data Vlaue (Cr)'!$C:$FB,98)</f>
        <v>3.7000000000000002E-3</v>
      </c>
      <c r="N35" s="91">
        <f>VLOOKUP($A35,'Data Vlaue (Cr)'!$C:$FB,79)</f>
        <v>670</v>
      </c>
      <c r="O35" s="92">
        <f>VLOOKUP($A35,'Data Vlaue (Cr)'!$C:$FB,82)</f>
        <v>1.43E-2</v>
      </c>
    </row>
    <row r="36" spans="1:15" x14ac:dyDescent="0.25">
      <c r="A36" s="97" t="str">
        <f>'Data Vlaue (Cr)'!C31</f>
        <v>BEL</v>
      </c>
      <c r="B36" s="142">
        <f>VLOOKUP(A36,'Data Vlaue (Cr)'!C31:CW252,99,0)</f>
        <v>10004</v>
      </c>
      <c r="C36" s="90">
        <f>VLOOKUP(A36,'Data Vlaue (Cr)'!C31:CY252,101,0)</f>
        <v>1099</v>
      </c>
      <c r="D36" s="139">
        <f>VLOOKUP(A36,'Data Vlaue (Cr)'!C31:CZ252,102,0)</f>
        <v>0.1234</v>
      </c>
      <c r="E36" s="91">
        <f>VLOOKUP($A36,'Data Vlaue (Cr)'!$C:$FB,75)</f>
        <v>4880</v>
      </c>
      <c r="F36" s="91">
        <f>VLOOKUP($A36,'Data Vlaue (Cr)'!$C:$FB,77)</f>
        <v>228</v>
      </c>
      <c r="G36" s="92">
        <f>VLOOKUP(A36,'Data Vlaue (Cr)'!C31:CB252,78,0)</f>
        <v>4.9000000000000002E-2</v>
      </c>
      <c r="H36" s="91">
        <f>VLOOKUP($A36,'Data Vlaue (Cr)'!$C:$FB,91)</f>
        <v>3419</v>
      </c>
      <c r="I36" s="91">
        <f>VLOOKUP($A36,'Data Vlaue (Cr)'!$C:$FB,93)</f>
        <v>654</v>
      </c>
      <c r="J36" s="92">
        <f>VLOOKUP($A36,'Data Vlaue (Cr)'!$C:$FB,94)</f>
        <v>0.23630000000000001</v>
      </c>
      <c r="K36" s="91">
        <f>VLOOKUP($A36,'Data Vlaue (Cr)'!$C:$FB,95)</f>
        <v>1704</v>
      </c>
      <c r="L36" s="91">
        <f>VLOOKUP($A36,'Data Vlaue (Cr)'!$C:$FB,97)</f>
        <v>217</v>
      </c>
      <c r="M36" s="92">
        <f>VLOOKUP($A36,'Data Vlaue (Cr)'!$C:$FB,98)</f>
        <v>0.1462</v>
      </c>
      <c r="N36" s="91">
        <f>VLOOKUP($A36,'Data Vlaue (Cr)'!$C:$FB,79)</f>
        <v>4158</v>
      </c>
      <c r="O36" s="92">
        <f>VLOOKUP($A36,'Data Vlaue (Cr)'!$C:$FB,82)</f>
        <v>-8.3999999999999995E-3</v>
      </c>
    </row>
    <row r="37" spans="1:15" x14ac:dyDescent="0.25">
      <c r="A37" s="97" t="str">
        <f>'Data Vlaue (Cr)'!C32</f>
        <v>BHARATFORG</v>
      </c>
      <c r="B37" s="142">
        <f>VLOOKUP(A37,'Data Vlaue (Cr)'!C32:CW253,99,0)</f>
        <v>2162</v>
      </c>
      <c r="C37" s="90">
        <f>VLOOKUP(A37,'Data Vlaue (Cr)'!C32:CY253,101,0)</f>
        <v>127</v>
      </c>
      <c r="D37" s="139">
        <f>VLOOKUP(A37,'Data Vlaue (Cr)'!C32:CZ253,102,0)</f>
        <v>6.2399999999999997E-2</v>
      </c>
      <c r="E37" s="91">
        <f>VLOOKUP($A37,'Data Vlaue (Cr)'!$C:$FB,75)</f>
        <v>1434</v>
      </c>
      <c r="F37" s="91">
        <f>VLOOKUP($A37,'Data Vlaue (Cr)'!$C:$FB,77)</f>
        <v>79</v>
      </c>
      <c r="G37" s="92">
        <f>VLOOKUP(A37,'Data Vlaue (Cr)'!C32:CB253,78,0)</f>
        <v>5.8099999999999999E-2</v>
      </c>
      <c r="H37" s="91">
        <f>VLOOKUP($A37,'Data Vlaue (Cr)'!$C:$FB,91)</f>
        <v>435</v>
      </c>
      <c r="I37" s="91">
        <f>VLOOKUP($A37,'Data Vlaue (Cr)'!$C:$FB,93)</f>
        <v>40</v>
      </c>
      <c r="J37" s="92">
        <f>VLOOKUP($A37,'Data Vlaue (Cr)'!$C:$FB,94)</f>
        <v>0.1003</v>
      </c>
      <c r="K37" s="91">
        <f>VLOOKUP($A37,'Data Vlaue (Cr)'!$C:$FB,95)</f>
        <v>294</v>
      </c>
      <c r="L37" s="91">
        <f>VLOOKUP($A37,'Data Vlaue (Cr)'!$C:$FB,97)</f>
        <v>9</v>
      </c>
      <c r="M37" s="92">
        <f>VLOOKUP($A37,'Data Vlaue (Cr)'!$C:$FB,98)</f>
        <v>3.0499999999999999E-2</v>
      </c>
      <c r="N37" s="91">
        <f>VLOOKUP($A37,'Data Vlaue (Cr)'!$C:$FB,79)</f>
        <v>1321</v>
      </c>
      <c r="O37" s="92">
        <f>VLOOKUP($A37,'Data Vlaue (Cr)'!$C:$FB,82)</f>
        <v>2.9600000000000001E-2</v>
      </c>
    </row>
    <row r="38" spans="1:15" x14ac:dyDescent="0.25">
      <c r="A38" s="97" t="str">
        <f>'Data Vlaue (Cr)'!C33</f>
        <v>BHARTIARTL</v>
      </c>
      <c r="B38" s="142">
        <f>VLOOKUP(A38,'Data Vlaue (Cr)'!C33:CW254,99,0)</f>
        <v>14179</v>
      </c>
      <c r="C38" s="90">
        <f>VLOOKUP(A38,'Data Vlaue (Cr)'!C33:CY254,101,0)</f>
        <v>-183</v>
      </c>
      <c r="D38" s="139">
        <f>VLOOKUP(A38,'Data Vlaue (Cr)'!C33:CZ254,102,0)</f>
        <v>-1.2699999999999999E-2</v>
      </c>
      <c r="E38" s="91">
        <f>VLOOKUP($A38,'Data Vlaue (Cr)'!$C:$FB,75)</f>
        <v>9011</v>
      </c>
      <c r="F38" s="91">
        <f>VLOOKUP($A38,'Data Vlaue (Cr)'!$C:$FB,77)</f>
        <v>-200</v>
      </c>
      <c r="G38" s="92">
        <f>VLOOKUP(A38,'Data Vlaue (Cr)'!C33:CB254,78,0)</f>
        <v>-2.1700000000000001E-2</v>
      </c>
      <c r="H38" s="91">
        <f>VLOOKUP($A38,'Data Vlaue (Cr)'!$C:$FB,91)</f>
        <v>3569</v>
      </c>
      <c r="I38" s="91">
        <f>VLOOKUP($A38,'Data Vlaue (Cr)'!$C:$FB,93)</f>
        <v>-37</v>
      </c>
      <c r="J38" s="92">
        <f>VLOOKUP($A38,'Data Vlaue (Cr)'!$C:$FB,94)</f>
        <v>-1.03E-2</v>
      </c>
      <c r="K38" s="91">
        <f>VLOOKUP($A38,'Data Vlaue (Cr)'!$C:$FB,95)</f>
        <v>1599</v>
      </c>
      <c r="L38" s="91">
        <f>VLOOKUP($A38,'Data Vlaue (Cr)'!$C:$FB,97)</f>
        <v>54</v>
      </c>
      <c r="M38" s="92">
        <f>VLOOKUP($A38,'Data Vlaue (Cr)'!$C:$FB,98)</f>
        <v>3.5200000000000002E-2</v>
      </c>
      <c r="N38" s="91">
        <f>VLOOKUP($A38,'Data Vlaue (Cr)'!$C:$FB,79)</f>
        <v>7556</v>
      </c>
      <c r="O38" s="92">
        <f>VLOOKUP($A38,'Data Vlaue (Cr)'!$C:$FB,82)</f>
        <v>-3.6799999999999999E-2</v>
      </c>
    </row>
    <row r="39" spans="1:15" x14ac:dyDescent="0.25">
      <c r="A39" s="97" t="str">
        <f>'Data Vlaue (Cr)'!C34</f>
        <v>BHEL</v>
      </c>
      <c r="B39" s="142">
        <f>VLOOKUP(A39,'Data Vlaue (Cr)'!C34:CW255,99,0)</f>
        <v>2858</v>
      </c>
      <c r="C39" s="90">
        <f>VLOOKUP(A39,'Data Vlaue (Cr)'!C34:CY255,101,0)</f>
        <v>-2</v>
      </c>
      <c r="D39" s="139">
        <f>VLOOKUP(A39,'Data Vlaue (Cr)'!C34:CZ255,102,0)</f>
        <v>-6.9999999999999999E-4</v>
      </c>
      <c r="E39" s="91">
        <f>VLOOKUP($A39,'Data Vlaue (Cr)'!$C:$FB,75)</f>
        <v>1443</v>
      </c>
      <c r="F39" s="91">
        <f>VLOOKUP($A39,'Data Vlaue (Cr)'!$C:$FB,77)</f>
        <v>20</v>
      </c>
      <c r="G39" s="92">
        <f>VLOOKUP(A39,'Data Vlaue (Cr)'!C34:CB255,78,0)</f>
        <v>1.44E-2</v>
      </c>
      <c r="H39" s="91">
        <f>VLOOKUP($A39,'Data Vlaue (Cr)'!$C:$FB,91)</f>
        <v>917</v>
      </c>
      <c r="I39" s="91">
        <f>VLOOKUP($A39,'Data Vlaue (Cr)'!$C:$FB,93)</f>
        <v>-15</v>
      </c>
      <c r="J39" s="92">
        <f>VLOOKUP($A39,'Data Vlaue (Cr)'!$C:$FB,94)</f>
        <v>-1.5599999999999999E-2</v>
      </c>
      <c r="K39" s="91">
        <f>VLOOKUP($A39,'Data Vlaue (Cr)'!$C:$FB,95)</f>
        <v>498</v>
      </c>
      <c r="L39" s="91">
        <f>VLOOKUP($A39,'Data Vlaue (Cr)'!$C:$FB,97)</f>
        <v>-8</v>
      </c>
      <c r="M39" s="92">
        <f>VLOOKUP($A39,'Data Vlaue (Cr)'!$C:$FB,98)</f>
        <v>-1.5800000000000002E-2</v>
      </c>
      <c r="N39" s="91">
        <f>VLOOKUP($A39,'Data Vlaue (Cr)'!$C:$FB,79)</f>
        <v>1294</v>
      </c>
      <c r="O39" s="92">
        <f>VLOOKUP($A39,'Data Vlaue (Cr)'!$C:$FB,82)</f>
        <v>1.4E-3</v>
      </c>
    </row>
    <row r="40" spans="1:15" x14ac:dyDescent="0.25">
      <c r="A40" s="97" t="str">
        <f>'Data Vlaue (Cr)'!C35</f>
        <v>BIOCON</v>
      </c>
      <c r="B40" s="142">
        <f>VLOOKUP(A40,'Data Vlaue (Cr)'!C35:CW256,99,0)</f>
        <v>2882</v>
      </c>
      <c r="C40" s="90">
        <f>VLOOKUP(A40,'Data Vlaue (Cr)'!C35:CY256,101,0)</f>
        <v>3</v>
      </c>
      <c r="D40" s="139">
        <f>VLOOKUP(A40,'Data Vlaue (Cr)'!C35:CZ256,102,0)</f>
        <v>8.9999999999999998E-4</v>
      </c>
      <c r="E40" s="91">
        <f>VLOOKUP($A40,'Data Vlaue (Cr)'!$C:$FB,75)</f>
        <v>1570</v>
      </c>
      <c r="F40" s="91">
        <f>VLOOKUP($A40,'Data Vlaue (Cr)'!$C:$FB,77)</f>
        <v>1</v>
      </c>
      <c r="G40" s="92">
        <f>VLOOKUP(A40,'Data Vlaue (Cr)'!C35:CB256,78,0)</f>
        <v>5.0000000000000001E-4</v>
      </c>
      <c r="H40" s="91">
        <f>VLOOKUP($A40,'Data Vlaue (Cr)'!$C:$FB,91)</f>
        <v>813</v>
      </c>
      <c r="I40" s="91">
        <f>VLOOKUP($A40,'Data Vlaue (Cr)'!$C:$FB,93)</f>
        <v>12</v>
      </c>
      <c r="J40" s="92">
        <f>VLOOKUP($A40,'Data Vlaue (Cr)'!$C:$FB,94)</f>
        <v>1.5299999999999999E-2</v>
      </c>
      <c r="K40" s="91">
        <f>VLOOKUP($A40,'Data Vlaue (Cr)'!$C:$FB,95)</f>
        <v>498</v>
      </c>
      <c r="L40" s="91">
        <f>VLOOKUP($A40,'Data Vlaue (Cr)'!$C:$FB,97)</f>
        <v>-10</v>
      </c>
      <c r="M40" s="92">
        <f>VLOOKUP($A40,'Data Vlaue (Cr)'!$C:$FB,98)</f>
        <v>-2.0400000000000001E-2</v>
      </c>
      <c r="N40" s="91">
        <f>VLOOKUP($A40,'Data Vlaue (Cr)'!$C:$FB,79)</f>
        <v>1437</v>
      </c>
      <c r="O40" s="92">
        <f>VLOOKUP($A40,'Data Vlaue (Cr)'!$C:$FB,82)</f>
        <v>-7.6E-3</v>
      </c>
    </row>
    <row r="41" spans="1:15" x14ac:dyDescent="0.25">
      <c r="A41" s="97" t="str">
        <f>'Data Vlaue (Cr)'!C36</f>
        <v>BLUESTARCO</v>
      </c>
      <c r="B41" s="142">
        <f>VLOOKUP(A41,'Data Vlaue (Cr)'!C36:CW257,99,0)</f>
        <v>721</v>
      </c>
      <c r="C41" s="90">
        <f>VLOOKUP(A41,'Data Vlaue (Cr)'!C36:CY257,101,0)</f>
        <v>92</v>
      </c>
      <c r="D41" s="139">
        <f>VLOOKUP(A41,'Data Vlaue (Cr)'!C36:CZ257,102,0)</f>
        <v>0.14549999999999999</v>
      </c>
      <c r="E41" s="91">
        <f>VLOOKUP($A41,'Data Vlaue (Cr)'!$C:$FB,75)</f>
        <v>390</v>
      </c>
      <c r="F41" s="91">
        <f>VLOOKUP($A41,'Data Vlaue (Cr)'!$C:$FB,77)</f>
        <v>24</v>
      </c>
      <c r="G41" s="92">
        <f>VLOOKUP(A41,'Data Vlaue (Cr)'!C36:CB257,78,0)</f>
        <v>6.5000000000000002E-2</v>
      </c>
      <c r="H41" s="91">
        <f>VLOOKUP($A41,'Data Vlaue (Cr)'!$C:$FB,91)</f>
        <v>200</v>
      </c>
      <c r="I41" s="91">
        <f>VLOOKUP($A41,'Data Vlaue (Cr)'!$C:$FB,93)</f>
        <v>61</v>
      </c>
      <c r="J41" s="92">
        <f>VLOOKUP($A41,'Data Vlaue (Cr)'!$C:$FB,94)</f>
        <v>0.4365</v>
      </c>
      <c r="K41" s="91">
        <f>VLOOKUP($A41,'Data Vlaue (Cr)'!$C:$FB,95)</f>
        <v>131</v>
      </c>
      <c r="L41" s="91">
        <f>VLOOKUP($A41,'Data Vlaue (Cr)'!$C:$FB,97)</f>
        <v>7</v>
      </c>
      <c r="M41" s="92">
        <f>VLOOKUP($A41,'Data Vlaue (Cr)'!$C:$FB,98)</f>
        <v>5.6399999999999999E-2</v>
      </c>
      <c r="N41" s="91">
        <f>VLOOKUP($A41,'Data Vlaue (Cr)'!$C:$FB,79)</f>
        <v>261</v>
      </c>
      <c r="O41" s="92">
        <f>VLOOKUP($A41,'Data Vlaue (Cr)'!$C:$FB,82)</f>
        <v>4.8300000000000003E-2</v>
      </c>
    </row>
    <row r="42" spans="1:15" x14ac:dyDescent="0.25">
      <c r="A42" s="97" t="str">
        <f>'Data Vlaue (Cr)'!C37</f>
        <v>BOSCHLTD</v>
      </c>
      <c r="B42" s="142">
        <f>VLOOKUP(A42,'Data Vlaue (Cr)'!C37:CW258,99,0)</f>
        <v>3185</v>
      </c>
      <c r="C42" s="90">
        <f>VLOOKUP(A42,'Data Vlaue (Cr)'!C37:CY258,101,0)</f>
        <v>39</v>
      </c>
      <c r="D42" s="139">
        <f>VLOOKUP(A42,'Data Vlaue (Cr)'!C37:CZ258,102,0)</f>
        <v>1.24E-2</v>
      </c>
      <c r="E42" s="91">
        <f>VLOOKUP($A42,'Data Vlaue (Cr)'!$C:$FB,75)</f>
        <v>1202</v>
      </c>
      <c r="F42" s="91">
        <f>VLOOKUP($A42,'Data Vlaue (Cr)'!$C:$FB,77)</f>
        <v>-3</v>
      </c>
      <c r="G42" s="92">
        <f>VLOOKUP(A42,'Data Vlaue (Cr)'!C37:CB258,78,0)</f>
        <v>-2.2000000000000001E-3</v>
      </c>
      <c r="H42" s="91">
        <f>VLOOKUP($A42,'Data Vlaue (Cr)'!$C:$FB,91)</f>
        <v>1471</v>
      </c>
      <c r="I42" s="91">
        <f>VLOOKUP($A42,'Data Vlaue (Cr)'!$C:$FB,93)</f>
        <v>31</v>
      </c>
      <c r="J42" s="92">
        <f>VLOOKUP($A42,'Data Vlaue (Cr)'!$C:$FB,94)</f>
        <v>2.18E-2</v>
      </c>
      <c r="K42" s="91">
        <f>VLOOKUP($A42,'Data Vlaue (Cr)'!$C:$FB,95)</f>
        <v>512</v>
      </c>
      <c r="L42" s="91">
        <f>VLOOKUP($A42,'Data Vlaue (Cr)'!$C:$FB,97)</f>
        <v>11</v>
      </c>
      <c r="M42" s="92">
        <f>VLOOKUP($A42,'Data Vlaue (Cr)'!$C:$FB,98)</f>
        <v>2.1000000000000001E-2</v>
      </c>
      <c r="N42" s="91">
        <f>VLOOKUP($A42,'Data Vlaue (Cr)'!$C:$FB,79)</f>
        <v>1131</v>
      </c>
      <c r="O42" s="92">
        <f>VLOOKUP($A42,'Data Vlaue (Cr)'!$C:$FB,82)</f>
        <v>-1.2500000000000001E-2</v>
      </c>
    </row>
    <row r="43" spans="1:15" x14ac:dyDescent="0.25">
      <c r="A43" s="97" t="str">
        <f>'Data Vlaue (Cr)'!C38</f>
        <v>BPCL</v>
      </c>
      <c r="B43" s="142">
        <f>VLOOKUP(A43,'Data Vlaue (Cr)'!C38:CW259,99,0)</f>
        <v>2280</v>
      </c>
      <c r="C43" s="90">
        <f>VLOOKUP(A43,'Data Vlaue (Cr)'!C38:CY259,101,0)</f>
        <v>-53</v>
      </c>
      <c r="D43" s="139">
        <f>VLOOKUP(A43,'Data Vlaue (Cr)'!C38:CZ259,102,0)</f>
        <v>-2.2800000000000001E-2</v>
      </c>
      <c r="E43" s="91">
        <f>VLOOKUP($A43,'Data Vlaue (Cr)'!$C:$FB,75)</f>
        <v>1146</v>
      </c>
      <c r="F43" s="91">
        <f>VLOOKUP($A43,'Data Vlaue (Cr)'!$C:$FB,77)</f>
        <v>-12</v>
      </c>
      <c r="G43" s="92">
        <f>VLOOKUP(A43,'Data Vlaue (Cr)'!C38:CB259,78,0)</f>
        <v>-0.01</v>
      </c>
      <c r="H43" s="91">
        <f>VLOOKUP($A43,'Data Vlaue (Cr)'!$C:$FB,91)</f>
        <v>724</v>
      </c>
      <c r="I43" s="91">
        <f>VLOOKUP($A43,'Data Vlaue (Cr)'!$C:$FB,93)</f>
        <v>-30</v>
      </c>
      <c r="J43" s="92">
        <f>VLOOKUP($A43,'Data Vlaue (Cr)'!$C:$FB,94)</f>
        <v>-4.02E-2</v>
      </c>
      <c r="K43" s="91">
        <f>VLOOKUP($A43,'Data Vlaue (Cr)'!$C:$FB,95)</f>
        <v>409</v>
      </c>
      <c r="L43" s="91">
        <f>VLOOKUP($A43,'Data Vlaue (Cr)'!$C:$FB,97)</f>
        <v>-11</v>
      </c>
      <c r="M43" s="92">
        <f>VLOOKUP($A43,'Data Vlaue (Cr)'!$C:$FB,98)</f>
        <v>-2.6499999999999999E-2</v>
      </c>
      <c r="N43" s="91">
        <f>VLOOKUP($A43,'Data Vlaue (Cr)'!$C:$FB,79)</f>
        <v>1088</v>
      </c>
      <c r="O43" s="92">
        <f>VLOOKUP($A43,'Data Vlaue (Cr)'!$C:$FB,82)</f>
        <v>-1.29E-2</v>
      </c>
    </row>
    <row r="44" spans="1:15" x14ac:dyDescent="0.25">
      <c r="A44" s="97" t="str">
        <f>'Data Vlaue (Cr)'!C39</f>
        <v>BRITANNIA</v>
      </c>
      <c r="B44" s="142">
        <f>VLOOKUP(A44,'Data Vlaue (Cr)'!C39:CW260,99,0)</f>
        <v>3250</v>
      </c>
      <c r="C44" s="90">
        <f>VLOOKUP(A44,'Data Vlaue (Cr)'!C39:CY260,101,0)</f>
        <v>49</v>
      </c>
      <c r="D44" s="139">
        <f>VLOOKUP(A44,'Data Vlaue (Cr)'!C39:CZ260,102,0)</f>
        <v>1.5299999999999999E-2</v>
      </c>
      <c r="E44" s="91">
        <f>VLOOKUP($A44,'Data Vlaue (Cr)'!$C:$FB,75)</f>
        <v>1985</v>
      </c>
      <c r="F44" s="91">
        <f>VLOOKUP($A44,'Data Vlaue (Cr)'!$C:$FB,77)</f>
        <v>5</v>
      </c>
      <c r="G44" s="92">
        <f>VLOOKUP(A44,'Data Vlaue (Cr)'!C39:CB260,78,0)</f>
        <v>2.7000000000000001E-3</v>
      </c>
      <c r="H44" s="91">
        <f>VLOOKUP($A44,'Data Vlaue (Cr)'!$C:$FB,91)</f>
        <v>731</v>
      </c>
      <c r="I44" s="91">
        <f>VLOOKUP($A44,'Data Vlaue (Cr)'!$C:$FB,93)</f>
        <v>-41</v>
      </c>
      <c r="J44" s="92">
        <f>VLOOKUP($A44,'Data Vlaue (Cr)'!$C:$FB,94)</f>
        <v>-5.2499999999999998E-2</v>
      </c>
      <c r="K44" s="91">
        <f>VLOOKUP($A44,'Data Vlaue (Cr)'!$C:$FB,95)</f>
        <v>534</v>
      </c>
      <c r="L44" s="91">
        <f>VLOOKUP($A44,'Data Vlaue (Cr)'!$C:$FB,97)</f>
        <v>84</v>
      </c>
      <c r="M44" s="92">
        <f>VLOOKUP($A44,'Data Vlaue (Cr)'!$C:$FB,98)</f>
        <v>0.18659999999999999</v>
      </c>
      <c r="N44" s="91">
        <f>VLOOKUP($A44,'Data Vlaue (Cr)'!$C:$FB,79)</f>
        <v>1908</v>
      </c>
      <c r="O44" s="92">
        <f>VLOOKUP($A44,'Data Vlaue (Cr)'!$C:$FB,82)</f>
        <v>-7.6E-3</v>
      </c>
    </row>
    <row r="45" spans="1:15" x14ac:dyDescent="0.25">
      <c r="A45" s="97" t="str">
        <f>'Data Vlaue (Cr)'!C40</f>
        <v>BSE</v>
      </c>
      <c r="B45" s="142">
        <f>VLOOKUP(A45,'Data Vlaue (Cr)'!C40:CW261,99,0)</f>
        <v>6558</v>
      </c>
      <c r="C45" s="90">
        <f>VLOOKUP(A45,'Data Vlaue (Cr)'!C40:CY261,101,0)</f>
        <v>-169</v>
      </c>
      <c r="D45" s="139">
        <f>VLOOKUP(A45,'Data Vlaue (Cr)'!C40:CZ261,102,0)</f>
        <v>-2.5100000000000001E-2</v>
      </c>
      <c r="E45" s="91">
        <f>VLOOKUP($A45,'Data Vlaue (Cr)'!$C:$FB,75)</f>
        <v>2691</v>
      </c>
      <c r="F45" s="91">
        <f>VLOOKUP($A45,'Data Vlaue (Cr)'!$C:$FB,77)</f>
        <v>-74</v>
      </c>
      <c r="G45" s="92">
        <f>VLOOKUP(A45,'Data Vlaue (Cr)'!C40:CB261,78,0)</f>
        <v>-2.6700000000000002E-2</v>
      </c>
      <c r="H45" s="91">
        <f>VLOOKUP($A45,'Data Vlaue (Cr)'!$C:$FB,91)</f>
        <v>2203</v>
      </c>
      <c r="I45" s="91">
        <f>VLOOKUP($A45,'Data Vlaue (Cr)'!$C:$FB,93)</f>
        <v>-105</v>
      </c>
      <c r="J45" s="92">
        <f>VLOOKUP($A45,'Data Vlaue (Cr)'!$C:$FB,94)</f>
        <v>-4.5499999999999999E-2</v>
      </c>
      <c r="K45" s="91">
        <f>VLOOKUP($A45,'Data Vlaue (Cr)'!$C:$FB,95)</f>
        <v>1664</v>
      </c>
      <c r="L45" s="91">
        <f>VLOOKUP($A45,'Data Vlaue (Cr)'!$C:$FB,97)</f>
        <v>10</v>
      </c>
      <c r="M45" s="92">
        <f>VLOOKUP($A45,'Data Vlaue (Cr)'!$C:$FB,98)</f>
        <v>6.0000000000000001E-3</v>
      </c>
      <c r="N45" s="91">
        <f>VLOOKUP($A45,'Data Vlaue (Cr)'!$C:$FB,79)</f>
        <v>2383</v>
      </c>
      <c r="O45" s="92">
        <f>VLOOKUP($A45,'Data Vlaue (Cr)'!$C:$FB,82)</f>
        <v>-3.7199999999999997E-2</v>
      </c>
    </row>
    <row r="46" spans="1:15" x14ac:dyDescent="0.25">
      <c r="A46" s="97" t="str">
        <f>'Data Vlaue (Cr)'!C41</f>
        <v>CAMS</v>
      </c>
      <c r="B46" s="142">
        <f>VLOOKUP(A46,'Data Vlaue (Cr)'!C41:CW262,99,0)</f>
        <v>1516</v>
      </c>
      <c r="C46" s="90">
        <f>VLOOKUP(A46,'Data Vlaue (Cr)'!C41:CY262,101,0)</f>
        <v>-59</v>
      </c>
      <c r="D46" s="139">
        <f>VLOOKUP(A46,'Data Vlaue (Cr)'!C41:CZ262,102,0)</f>
        <v>-3.7199999999999997E-2</v>
      </c>
      <c r="E46" s="91">
        <f>VLOOKUP($A46,'Data Vlaue (Cr)'!$C:$FB,75)</f>
        <v>914</v>
      </c>
      <c r="F46" s="91">
        <f>VLOOKUP($A46,'Data Vlaue (Cr)'!$C:$FB,77)</f>
        <v>-13</v>
      </c>
      <c r="G46" s="92">
        <f>VLOOKUP(A46,'Data Vlaue (Cr)'!C41:CB262,78,0)</f>
        <v>-1.3899999999999999E-2</v>
      </c>
      <c r="H46" s="91">
        <f>VLOOKUP($A46,'Data Vlaue (Cr)'!$C:$FB,91)</f>
        <v>362</v>
      </c>
      <c r="I46" s="91">
        <f>VLOOKUP($A46,'Data Vlaue (Cr)'!$C:$FB,93)</f>
        <v>-49</v>
      </c>
      <c r="J46" s="92">
        <f>VLOOKUP($A46,'Data Vlaue (Cr)'!$C:$FB,94)</f>
        <v>-0.1192</v>
      </c>
      <c r="K46" s="91">
        <f>VLOOKUP($A46,'Data Vlaue (Cr)'!$C:$FB,95)</f>
        <v>240</v>
      </c>
      <c r="L46" s="91">
        <f>VLOOKUP($A46,'Data Vlaue (Cr)'!$C:$FB,97)</f>
        <v>3</v>
      </c>
      <c r="M46" s="92">
        <f>VLOOKUP($A46,'Data Vlaue (Cr)'!$C:$FB,98)</f>
        <v>1.44E-2</v>
      </c>
      <c r="N46" s="91">
        <f>VLOOKUP($A46,'Data Vlaue (Cr)'!$C:$FB,79)</f>
        <v>826</v>
      </c>
      <c r="O46" s="92">
        <f>VLOOKUP($A46,'Data Vlaue (Cr)'!$C:$FB,82)</f>
        <v>-2.5600000000000001E-2</v>
      </c>
    </row>
    <row r="47" spans="1:15" x14ac:dyDescent="0.25">
      <c r="A47" s="97" t="str">
        <f>'Data Vlaue (Cr)'!C42</f>
        <v>CANBK</v>
      </c>
      <c r="B47" s="142">
        <f>VLOOKUP(A47,'Data Vlaue (Cr)'!C42:CW263,99,0)</f>
        <v>4406</v>
      </c>
      <c r="C47" s="90">
        <f>VLOOKUP(A47,'Data Vlaue (Cr)'!C42:CY263,101,0)</f>
        <v>-50</v>
      </c>
      <c r="D47" s="139">
        <f>VLOOKUP(A47,'Data Vlaue (Cr)'!C42:CZ263,102,0)</f>
        <v>-1.1299999999999999E-2</v>
      </c>
      <c r="E47" s="91">
        <f>VLOOKUP($A47,'Data Vlaue (Cr)'!$C:$FB,75)</f>
        <v>2588</v>
      </c>
      <c r="F47" s="91">
        <f>VLOOKUP($A47,'Data Vlaue (Cr)'!$C:$FB,77)</f>
        <v>-35</v>
      </c>
      <c r="G47" s="92">
        <f>VLOOKUP(A47,'Data Vlaue (Cr)'!C42:CB263,78,0)</f>
        <v>-1.32E-2</v>
      </c>
      <c r="H47" s="91">
        <f>VLOOKUP($A47,'Data Vlaue (Cr)'!$C:$FB,91)</f>
        <v>1004</v>
      </c>
      <c r="I47" s="91">
        <f>VLOOKUP($A47,'Data Vlaue (Cr)'!$C:$FB,93)</f>
        <v>-31</v>
      </c>
      <c r="J47" s="92">
        <f>VLOOKUP($A47,'Data Vlaue (Cr)'!$C:$FB,94)</f>
        <v>-3.0099999999999998E-2</v>
      </c>
      <c r="K47" s="91">
        <f>VLOOKUP($A47,'Data Vlaue (Cr)'!$C:$FB,95)</f>
        <v>814</v>
      </c>
      <c r="L47" s="91">
        <f>VLOOKUP($A47,'Data Vlaue (Cr)'!$C:$FB,97)</f>
        <v>15</v>
      </c>
      <c r="M47" s="92">
        <f>VLOOKUP($A47,'Data Vlaue (Cr)'!$C:$FB,98)</f>
        <v>1.9300000000000001E-2</v>
      </c>
      <c r="N47" s="91">
        <f>VLOOKUP($A47,'Data Vlaue (Cr)'!$C:$FB,79)</f>
        <v>2378</v>
      </c>
      <c r="O47" s="92">
        <f>VLOOKUP($A47,'Data Vlaue (Cr)'!$C:$FB,82)</f>
        <v>-3.04E-2</v>
      </c>
    </row>
    <row r="48" spans="1:15" x14ac:dyDescent="0.25">
      <c r="A48" s="97" t="str">
        <f>'Data Vlaue (Cr)'!C43</f>
        <v>CDSL</v>
      </c>
      <c r="B48" s="142">
        <f>VLOOKUP(A48,'Data Vlaue (Cr)'!C43:CW264,99,0)</f>
        <v>3458</v>
      </c>
      <c r="C48" s="90">
        <f>VLOOKUP(A48,'Data Vlaue (Cr)'!C43:CY264,101,0)</f>
        <v>104</v>
      </c>
      <c r="D48" s="139">
        <f>VLOOKUP(A48,'Data Vlaue (Cr)'!C43:CZ264,102,0)</f>
        <v>3.1099999999999999E-2</v>
      </c>
      <c r="E48" s="91">
        <f>VLOOKUP($A48,'Data Vlaue (Cr)'!$C:$FB,75)</f>
        <v>1499</v>
      </c>
      <c r="F48" s="91">
        <f>VLOOKUP($A48,'Data Vlaue (Cr)'!$C:$FB,77)</f>
        <v>23</v>
      </c>
      <c r="G48" s="92">
        <f>VLOOKUP(A48,'Data Vlaue (Cr)'!C43:CB264,78,0)</f>
        <v>1.5900000000000001E-2</v>
      </c>
      <c r="H48" s="91">
        <f>VLOOKUP($A48,'Data Vlaue (Cr)'!$C:$FB,91)</f>
        <v>1191</v>
      </c>
      <c r="I48" s="91">
        <f>VLOOKUP($A48,'Data Vlaue (Cr)'!$C:$FB,93)</f>
        <v>65</v>
      </c>
      <c r="J48" s="92">
        <f>VLOOKUP($A48,'Data Vlaue (Cr)'!$C:$FB,94)</f>
        <v>5.8200000000000002E-2</v>
      </c>
      <c r="K48" s="91">
        <f>VLOOKUP($A48,'Data Vlaue (Cr)'!$C:$FB,95)</f>
        <v>768</v>
      </c>
      <c r="L48" s="91">
        <f>VLOOKUP($A48,'Data Vlaue (Cr)'!$C:$FB,97)</f>
        <v>15</v>
      </c>
      <c r="M48" s="92">
        <f>VLOOKUP($A48,'Data Vlaue (Cr)'!$C:$FB,98)</f>
        <v>2.0400000000000001E-2</v>
      </c>
      <c r="N48" s="91">
        <f>VLOOKUP($A48,'Data Vlaue (Cr)'!$C:$FB,79)</f>
        <v>1282</v>
      </c>
      <c r="O48" s="92">
        <f>VLOOKUP($A48,'Data Vlaue (Cr)'!$C:$FB,82)</f>
        <v>1.4E-3</v>
      </c>
    </row>
    <row r="49" spans="1:15" x14ac:dyDescent="0.25">
      <c r="A49" s="97" t="str">
        <f>'Data Vlaue (Cr)'!C44</f>
        <v>CESC</v>
      </c>
      <c r="B49" s="142">
        <f>VLOOKUP(A49,'Data Vlaue (Cr)'!C44:CW265,99,0)</f>
        <v>435</v>
      </c>
      <c r="C49" s="90">
        <f>VLOOKUP(A49,'Data Vlaue (Cr)'!C44:CY265,101,0)</f>
        <v>2</v>
      </c>
      <c r="D49" s="139">
        <f>VLOOKUP(A49,'Data Vlaue (Cr)'!C44:CZ265,102,0)</f>
        <v>5.1999999999999998E-3</v>
      </c>
      <c r="E49" s="91">
        <f>VLOOKUP($A49,'Data Vlaue (Cr)'!$C:$FB,75)</f>
        <v>178</v>
      </c>
      <c r="F49" s="91">
        <f>VLOOKUP($A49,'Data Vlaue (Cr)'!$C:$FB,77)</f>
        <v>1</v>
      </c>
      <c r="G49" s="92">
        <f>VLOOKUP(A49,'Data Vlaue (Cr)'!C44:CB265,78,0)</f>
        <v>8.3999999999999995E-3</v>
      </c>
      <c r="H49" s="91">
        <f>VLOOKUP($A49,'Data Vlaue (Cr)'!$C:$FB,91)</f>
        <v>178</v>
      </c>
      <c r="I49" s="91">
        <f>VLOOKUP($A49,'Data Vlaue (Cr)'!$C:$FB,93)</f>
        <v>0</v>
      </c>
      <c r="J49" s="92">
        <f>VLOOKUP($A49,'Data Vlaue (Cr)'!$C:$FB,94)</f>
        <v>-6.9999999999999999E-4</v>
      </c>
      <c r="K49" s="91">
        <f>VLOOKUP($A49,'Data Vlaue (Cr)'!$C:$FB,95)</f>
        <v>80</v>
      </c>
      <c r="L49" s="91">
        <f>VLOOKUP($A49,'Data Vlaue (Cr)'!$C:$FB,97)</f>
        <v>1</v>
      </c>
      <c r="M49" s="92">
        <f>VLOOKUP($A49,'Data Vlaue (Cr)'!$C:$FB,98)</f>
        <v>1.1299999999999999E-2</v>
      </c>
      <c r="N49" s="91">
        <f>VLOOKUP($A49,'Data Vlaue (Cr)'!$C:$FB,79)</f>
        <v>178</v>
      </c>
      <c r="O49" s="92">
        <f>VLOOKUP($A49,'Data Vlaue (Cr)'!$C:$FB,82)</f>
        <v>8.3999999999999995E-3</v>
      </c>
    </row>
    <row r="50" spans="1:15" x14ac:dyDescent="0.25">
      <c r="A50" s="97" t="str">
        <f>'Data Vlaue (Cr)'!C45</f>
        <v>CGPOWER</v>
      </c>
      <c r="B50" s="142">
        <f>VLOOKUP(A50,'Data Vlaue (Cr)'!C45:CW266,99,0)</f>
        <v>1581</v>
      </c>
      <c r="C50" s="90">
        <f>VLOOKUP(A50,'Data Vlaue (Cr)'!C45:CY266,101,0)</f>
        <v>12</v>
      </c>
      <c r="D50" s="139">
        <f>VLOOKUP(A50,'Data Vlaue (Cr)'!C45:CZ266,102,0)</f>
        <v>7.7000000000000002E-3</v>
      </c>
      <c r="E50" s="91">
        <f>VLOOKUP($A50,'Data Vlaue (Cr)'!$C:$FB,75)</f>
        <v>1142</v>
      </c>
      <c r="F50" s="91">
        <f>VLOOKUP($A50,'Data Vlaue (Cr)'!$C:$FB,77)</f>
        <v>7</v>
      </c>
      <c r="G50" s="92">
        <f>VLOOKUP(A50,'Data Vlaue (Cr)'!C45:CB266,78,0)</f>
        <v>5.7999999999999996E-3</v>
      </c>
      <c r="H50" s="91">
        <f>VLOOKUP($A50,'Data Vlaue (Cr)'!$C:$FB,91)</f>
        <v>280</v>
      </c>
      <c r="I50" s="91">
        <f>VLOOKUP($A50,'Data Vlaue (Cr)'!$C:$FB,93)</f>
        <v>6</v>
      </c>
      <c r="J50" s="92">
        <f>VLOOKUP($A50,'Data Vlaue (Cr)'!$C:$FB,94)</f>
        <v>2.01E-2</v>
      </c>
      <c r="K50" s="91">
        <f>VLOOKUP($A50,'Data Vlaue (Cr)'!$C:$FB,95)</f>
        <v>159</v>
      </c>
      <c r="L50" s="91">
        <f>VLOOKUP($A50,'Data Vlaue (Cr)'!$C:$FB,97)</f>
        <v>0</v>
      </c>
      <c r="M50" s="92">
        <f>VLOOKUP($A50,'Data Vlaue (Cr)'!$C:$FB,98)</f>
        <v>-4.0000000000000002E-4</v>
      </c>
      <c r="N50" s="91">
        <f>VLOOKUP($A50,'Data Vlaue (Cr)'!$C:$FB,79)</f>
        <v>1104</v>
      </c>
      <c r="O50" s="92">
        <f>VLOOKUP($A50,'Data Vlaue (Cr)'!$C:$FB,82)</f>
        <v>-6.7000000000000002E-3</v>
      </c>
    </row>
    <row r="51" spans="1:15" x14ac:dyDescent="0.25">
      <c r="A51" s="97" t="str">
        <f>'Data Vlaue (Cr)'!C46</f>
        <v>CHOLAFIN</v>
      </c>
      <c r="B51" s="142">
        <f>VLOOKUP(A51,'Data Vlaue (Cr)'!C46:CW267,99,0)</f>
        <v>2557</v>
      </c>
      <c r="C51" s="90">
        <f>VLOOKUP(A51,'Data Vlaue (Cr)'!C46:CY267,101,0)</f>
        <v>24</v>
      </c>
      <c r="D51" s="139">
        <f>VLOOKUP(A51,'Data Vlaue (Cr)'!C46:CZ267,102,0)</f>
        <v>9.5999999999999992E-3</v>
      </c>
      <c r="E51" s="91">
        <f>VLOOKUP($A51,'Data Vlaue (Cr)'!$C:$FB,75)</f>
        <v>1764</v>
      </c>
      <c r="F51" s="91">
        <f>VLOOKUP($A51,'Data Vlaue (Cr)'!$C:$FB,77)</f>
        <v>11</v>
      </c>
      <c r="G51" s="92">
        <f>VLOOKUP(A51,'Data Vlaue (Cr)'!C46:CB267,78,0)</f>
        <v>6.4000000000000003E-3</v>
      </c>
      <c r="H51" s="91">
        <f>VLOOKUP($A51,'Data Vlaue (Cr)'!$C:$FB,91)</f>
        <v>396</v>
      </c>
      <c r="I51" s="91">
        <f>VLOOKUP($A51,'Data Vlaue (Cr)'!$C:$FB,93)</f>
        <v>6</v>
      </c>
      <c r="J51" s="92">
        <f>VLOOKUP($A51,'Data Vlaue (Cr)'!$C:$FB,94)</f>
        <v>1.41E-2</v>
      </c>
      <c r="K51" s="91">
        <f>VLOOKUP($A51,'Data Vlaue (Cr)'!$C:$FB,95)</f>
        <v>397</v>
      </c>
      <c r="L51" s="91">
        <f>VLOOKUP($A51,'Data Vlaue (Cr)'!$C:$FB,97)</f>
        <v>8</v>
      </c>
      <c r="M51" s="92">
        <f>VLOOKUP($A51,'Data Vlaue (Cr)'!$C:$FB,98)</f>
        <v>1.9599999999999999E-2</v>
      </c>
      <c r="N51" s="91">
        <f>VLOOKUP($A51,'Data Vlaue (Cr)'!$C:$FB,79)</f>
        <v>1648</v>
      </c>
      <c r="O51" s="92">
        <f>VLOOKUP($A51,'Data Vlaue (Cr)'!$C:$FB,82)</f>
        <v>-1.2E-2</v>
      </c>
    </row>
    <row r="52" spans="1:15" x14ac:dyDescent="0.25">
      <c r="A52" s="97" t="str">
        <f>'Data Vlaue (Cr)'!C47</f>
        <v>CIPLA</v>
      </c>
      <c r="B52" s="142">
        <f>VLOOKUP(A52,'Data Vlaue (Cr)'!C47:CW268,99,0)</f>
        <v>2838</v>
      </c>
      <c r="C52" s="90">
        <f>VLOOKUP(A52,'Data Vlaue (Cr)'!C47:CY268,101,0)</f>
        <v>-1</v>
      </c>
      <c r="D52" s="139">
        <f>VLOOKUP(A52,'Data Vlaue (Cr)'!C47:CZ268,102,0)</f>
        <v>-5.0000000000000001E-4</v>
      </c>
      <c r="E52" s="91">
        <f>VLOOKUP($A52,'Data Vlaue (Cr)'!$C:$FB,75)</f>
        <v>1675</v>
      </c>
      <c r="F52" s="91">
        <f>VLOOKUP($A52,'Data Vlaue (Cr)'!$C:$FB,77)</f>
        <v>5</v>
      </c>
      <c r="G52" s="92">
        <f>VLOOKUP(A52,'Data Vlaue (Cr)'!C47:CB268,78,0)</f>
        <v>3.0999999999999999E-3</v>
      </c>
      <c r="H52" s="91">
        <f>VLOOKUP($A52,'Data Vlaue (Cr)'!$C:$FB,91)</f>
        <v>654</v>
      </c>
      <c r="I52" s="91">
        <f>VLOOKUP($A52,'Data Vlaue (Cr)'!$C:$FB,93)</f>
        <v>-9</v>
      </c>
      <c r="J52" s="92">
        <f>VLOOKUP($A52,'Data Vlaue (Cr)'!$C:$FB,94)</f>
        <v>-1.38E-2</v>
      </c>
      <c r="K52" s="91">
        <f>VLOOKUP($A52,'Data Vlaue (Cr)'!$C:$FB,95)</f>
        <v>509</v>
      </c>
      <c r="L52" s="91">
        <f>VLOOKUP($A52,'Data Vlaue (Cr)'!$C:$FB,97)</f>
        <v>3</v>
      </c>
      <c r="M52" s="92">
        <f>VLOOKUP($A52,'Data Vlaue (Cr)'!$C:$FB,98)</f>
        <v>5.0000000000000001E-3</v>
      </c>
      <c r="N52" s="91">
        <f>VLOOKUP($A52,'Data Vlaue (Cr)'!$C:$FB,79)</f>
        <v>1598</v>
      </c>
      <c r="O52" s="92">
        <f>VLOOKUP($A52,'Data Vlaue (Cr)'!$C:$FB,82)</f>
        <v>-9.1000000000000004E-3</v>
      </c>
    </row>
    <row r="53" spans="1:15" x14ac:dyDescent="0.25">
      <c r="A53" s="97" t="str">
        <f>'Data Vlaue (Cr)'!C48</f>
        <v>COALINDIA</v>
      </c>
      <c r="B53" s="142">
        <f>VLOOKUP(A53,'Data Vlaue (Cr)'!C48:CW269,99,0)</f>
        <v>5027</v>
      </c>
      <c r="C53" s="90">
        <f>VLOOKUP(A53,'Data Vlaue (Cr)'!C48:CY269,101,0)</f>
        <v>87</v>
      </c>
      <c r="D53" s="139">
        <f>VLOOKUP(A53,'Data Vlaue (Cr)'!C48:CZ269,102,0)</f>
        <v>1.77E-2</v>
      </c>
      <c r="E53" s="91">
        <f>VLOOKUP($A53,'Data Vlaue (Cr)'!$C:$FB,75)</f>
        <v>2915</v>
      </c>
      <c r="F53" s="91">
        <f>VLOOKUP($A53,'Data Vlaue (Cr)'!$C:$FB,77)</f>
        <v>40</v>
      </c>
      <c r="G53" s="92">
        <f>VLOOKUP(A53,'Data Vlaue (Cr)'!C48:CB269,78,0)</f>
        <v>1.4E-2</v>
      </c>
      <c r="H53" s="91">
        <f>VLOOKUP($A53,'Data Vlaue (Cr)'!$C:$FB,91)</f>
        <v>1237</v>
      </c>
      <c r="I53" s="91">
        <f>VLOOKUP($A53,'Data Vlaue (Cr)'!$C:$FB,93)</f>
        <v>22</v>
      </c>
      <c r="J53" s="92">
        <f>VLOOKUP($A53,'Data Vlaue (Cr)'!$C:$FB,94)</f>
        <v>1.8200000000000001E-2</v>
      </c>
      <c r="K53" s="91">
        <f>VLOOKUP($A53,'Data Vlaue (Cr)'!$C:$FB,95)</f>
        <v>876</v>
      </c>
      <c r="L53" s="91">
        <f>VLOOKUP($A53,'Data Vlaue (Cr)'!$C:$FB,97)</f>
        <v>25</v>
      </c>
      <c r="M53" s="92">
        <f>VLOOKUP($A53,'Data Vlaue (Cr)'!$C:$FB,98)</f>
        <v>2.9600000000000001E-2</v>
      </c>
      <c r="N53" s="91">
        <f>VLOOKUP($A53,'Data Vlaue (Cr)'!$C:$FB,79)</f>
        <v>2711</v>
      </c>
      <c r="O53" s="92">
        <f>VLOOKUP($A53,'Data Vlaue (Cr)'!$C:$FB,82)</f>
        <v>3.3E-3</v>
      </c>
    </row>
    <row r="54" spans="1:15" x14ac:dyDescent="0.25">
      <c r="A54" s="97" t="str">
        <f>'Data Vlaue (Cr)'!C49</f>
        <v>COFORGE</v>
      </c>
      <c r="B54" s="142">
        <f>VLOOKUP(A54,'Data Vlaue (Cr)'!C49:CW270,99,0)</f>
        <v>3610</v>
      </c>
      <c r="C54" s="90">
        <f>VLOOKUP(A54,'Data Vlaue (Cr)'!C49:CY270,101,0)</f>
        <v>-150</v>
      </c>
      <c r="D54" s="139">
        <f>VLOOKUP(A54,'Data Vlaue (Cr)'!C49:CZ270,102,0)</f>
        <v>-3.9800000000000002E-2</v>
      </c>
      <c r="E54" s="91">
        <f>VLOOKUP($A54,'Data Vlaue (Cr)'!$C:$FB,75)</f>
        <v>2243</v>
      </c>
      <c r="F54" s="91">
        <f>VLOOKUP($A54,'Data Vlaue (Cr)'!$C:$FB,77)</f>
        <v>-27</v>
      </c>
      <c r="G54" s="92">
        <f>VLOOKUP(A54,'Data Vlaue (Cr)'!C49:CB270,78,0)</f>
        <v>-1.21E-2</v>
      </c>
      <c r="H54" s="91">
        <f>VLOOKUP($A54,'Data Vlaue (Cr)'!$C:$FB,91)</f>
        <v>813</v>
      </c>
      <c r="I54" s="91">
        <f>VLOOKUP($A54,'Data Vlaue (Cr)'!$C:$FB,93)</f>
        <v>-133</v>
      </c>
      <c r="J54" s="92">
        <f>VLOOKUP($A54,'Data Vlaue (Cr)'!$C:$FB,94)</f>
        <v>-0.14069999999999999</v>
      </c>
      <c r="K54" s="91">
        <f>VLOOKUP($A54,'Data Vlaue (Cr)'!$C:$FB,95)</f>
        <v>553</v>
      </c>
      <c r="L54" s="91">
        <f>VLOOKUP($A54,'Data Vlaue (Cr)'!$C:$FB,97)</f>
        <v>11</v>
      </c>
      <c r="M54" s="92">
        <f>VLOOKUP($A54,'Data Vlaue (Cr)'!$C:$FB,98)</f>
        <v>2.0500000000000001E-2</v>
      </c>
      <c r="N54" s="91">
        <f>VLOOKUP($A54,'Data Vlaue (Cr)'!$C:$FB,79)</f>
        <v>2161</v>
      </c>
      <c r="O54" s="92">
        <f>VLOOKUP($A54,'Data Vlaue (Cr)'!$C:$FB,82)</f>
        <v>-1.6199999999999999E-2</v>
      </c>
    </row>
    <row r="55" spans="1:15" x14ac:dyDescent="0.25">
      <c r="A55" s="97" t="str">
        <f>'Data Vlaue (Cr)'!C50</f>
        <v>COLPAL</v>
      </c>
      <c r="B55" s="142">
        <f>VLOOKUP(A55,'Data Vlaue (Cr)'!C50:CW271,99,0)</f>
        <v>2017</v>
      </c>
      <c r="C55" s="90">
        <f>VLOOKUP(A55,'Data Vlaue (Cr)'!C50:CY271,101,0)</f>
        <v>-33</v>
      </c>
      <c r="D55" s="139">
        <f>VLOOKUP(A55,'Data Vlaue (Cr)'!C50:CZ271,102,0)</f>
        <v>-1.6199999999999999E-2</v>
      </c>
      <c r="E55" s="91">
        <f>VLOOKUP($A55,'Data Vlaue (Cr)'!$C:$FB,75)</f>
        <v>1294</v>
      </c>
      <c r="F55" s="91">
        <f>VLOOKUP($A55,'Data Vlaue (Cr)'!$C:$FB,77)</f>
        <v>-91</v>
      </c>
      <c r="G55" s="92">
        <f>VLOOKUP(A55,'Data Vlaue (Cr)'!C50:CB271,78,0)</f>
        <v>-6.5799999999999997E-2</v>
      </c>
      <c r="H55" s="91">
        <f>VLOOKUP($A55,'Data Vlaue (Cr)'!$C:$FB,91)</f>
        <v>391</v>
      </c>
      <c r="I55" s="91">
        <f>VLOOKUP($A55,'Data Vlaue (Cr)'!$C:$FB,93)</f>
        <v>-5</v>
      </c>
      <c r="J55" s="92">
        <f>VLOOKUP($A55,'Data Vlaue (Cr)'!$C:$FB,94)</f>
        <v>-1.2500000000000001E-2</v>
      </c>
      <c r="K55" s="91">
        <f>VLOOKUP($A55,'Data Vlaue (Cr)'!$C:$FB,95)</f>
        <v>331</v>
      </c>
      <c r="L55" s="91">
        <f>VLOOKUP($A55,'Data Vlaue (Cr)'!$C:$FB,97)</f>
        <v>63</v>
      </c>
      <c r="M55" s="92">
        <f>VLOOKUP($A55,'Data Vlaue (Cr)'!$C:$FB,98)</f>
        <v>0.23369999999999999</v>
      </c>
      <c r="N55" s="91">
        <f>VLOOKUP($A55,'Data Vlaue (Cr)'!$C:$FB,79)</f>
        <v>1166</v>
      </c>
      <c r="O55" s="92">
        <f>VLOOKUP($A55,'Data Vlaue (Cr)'!$C:$FB,82)</f>
        <v>-8.9099999999999999E-2</v>
      </c>
    </row>
    <row r="56" spans="1:15" x14ac:dyDescent="0.25">
      <c r="A56" s="97" t="str">
        <f>'Data Vlaue (Cr)'!C51</f>
        <v>CONCOR</v>
      </c>
      <c r="B56" s="142">
        <f>VLOOKUP(A56,'Data Vlaue (Cr)'!C51:CW272,99,0)</f>
        <v>2117</v>
      </c>
      <c r="C56" s="90">
        <f>VLOOKUP(A56,'Data Vlaue (Cr)'!C51:CY272,101,0)</f>
        <v>-7</v>
      </c>
      <c r="D56" s="139">
        <f>VLOOKUP(A56,'Data Vlaue (Cr)'!C51:CZ272,102,0)</f>
        <v>-3.5000000000000001E-3</v>
      </c>
      <c r="E56" s="91">
        <f>VLOOKUP($A56,'Data Vlaue (Cr)'!$C:$FB,75)</f>
        <v>1253</v>
      </c>
      <c r="F56" s="91">
        <f>VLOOKUP($A56,'Data Vlaue (Cr)'!$C:$FB,77)</f>
        <v>19</v>
      </c>
      <c r="G56" s="92">
        <f>VLOOKUP(A56,'Data Vlaue (Cr)'!C51:CB272,78,0)</f>
        <v>1.5599999999999999E-2</v>
      </c>
      <c r="H56" s="91">
        <f>VLOOKUP($A56,'Data Vlaue (Cr)'!$C:$FB,91)</f>
        <v>505</v>
      </c>
      <c r="I56" s="91">
        <f>VLOOKUP($A56,'Data Vlaue (Cr)'!$C:$FB,93)</f>
        <v>-26</v>
      </c>
      <c r="J56" s="92">
        <f>VLOOKUP($A56,'Data Vlaue (Cr)'!$C:$FB,94)</f>
        <v>-4.8500000000000001E-2</v>
      </c>
      <c r="K56" s="91">
        <f>VLOOKUP($A56,'Data Vlaue (Cr)'!$C:$FB,95)</f>
        <v>359</v>
      </c>
      <c r="L56" s="91">
        <f>VLOOKUP($A56,'Data Vlaue (Cr)'!$C:$FB,97)</f>
        <v>-1</v>
      </c>
      <c r="M56" s="92">
        <f>VLOOKUP($A56,'Data Vlaue (Cr)'!$C:$FB,98)</f>
        <v>-2.5000000000000001E-3</v>
      </c>
      <c r="N56" s="91">
        <f>VLOOKUP($A56,'Data Vlaue (Cr)'!$C:$FB,79)</f>
        <v>1085</v>
      </c>
      <c r="O56" s="92">
        <f>VLOOKUP($A56,'Data Vlaue (Cr)'!$C:$FB,82)</f>
        <v>1.1999999999999999E-3</v>
      </c>
    </row>
    <row r="57" spans="1:15" x14ac:dyDescent="0.25">
      <c r="A57" s="97" t="str">
        <f>'Data Vlaue (Cr)'!C52</f>
        <v>CROMPTON</v>
      </c>
      <c r="B57" s="142">
        <f>VLOOKUP(A57,'Data Vlaue (Cr)'!C52:CW273,99,0)</f>
        <v>1654</v>
      </c>
      <c r="C57" s="90">
        <f>VLOOKUP(A57,'Data Vlaue (Cr)'!C52:CY273,101,0)</f>
        <v>31</v>
      </c>
      <c r="D57" s="139">
        <f>VLOOKUP(A57,'Data Vlaue (Cr)'!C52:CZ273,102,0)</f>
        <v>1.9400000000000001E-2</v>
      </c>
      <c r="E57" s="91">
        <f>VLOOKUP($A57,'Data Vlaue (Cr)'!$C:$FB,75)</f>
        <v>1343</v>
      </c>
      <c r="F57" s="91">
        <f>VLOOKUP($A57,'Data Vlaue (Cr)'!$C:$FB,77)</f>
        <v>26</v>
      </c>
      <c r="G57" s="92">
        <f>VLOOKUP(A57,'Data Vlaue (Cr)'!C52:CB273,78,0)</f>
        <v>1.9800000000000002E-2</v>
      </c>
      <c r="H57" s="91">
        <f>VLOOKUP($A57,'Data Vlaue (Cr)'!$C:$FB,91)</f>
        <v>168</v>
      </c>
      <c r="I57" s="91">
        <f>VLOOKUP($A57,'Data Vlaue (Cr)'!$C:$FB,93)</f>
        <v>7</v>
      </c>
      <c r="J57" s="92">
        <f>VLOOKUP($A57,'Data Vlaue (Cr)'!$C:$FB,94)</f>
        <v>4.2900000000000001E-2</v>
      </c>
      <c r="K57" s="91">
        <f>VLOOKUP($A57,'Data Vlaue (Cr)'!$C:$FB,95)</f>
        <v>143</v>
      </c>
      <c r="L57" s="91">
        <f>VLOOKUP($A57,'Data Vlaue (Cr)'!$C:$FB,97)</f>
        <v>-1</v>
      </c>
      <c r="M57" s="92">
        <f>VLOOKUP($A57,'Data Vlaue (Cr)'!$C:$FB,98)</f>
        <v>-1.03E-2</v>
      </c>
      <c r="N57" s="91">
        <f>VLOOKUP($A57,'Data Vlaue (Cr)'!$C:$FB,79)</f>
        <v>1279</v>
      </c>
      <c r="O57" s="92">
        <f>VLOOKUP($A57,'Data Vlaue (Cr)'!$C:$FB,82)</f>
        <v>1.1299999999999999E-2</v>
      </c>
    </row>
    <row r="58" spans="1:15" x14ac:dyDescent="0.25">
      <c r="A58" s="97" t="str">
        <f>'Data Vlaue (Cr)'!C53</f>
        <v>CUMMINSIND</v>
      </c>
      <c r="B58" s="142">
        <f>VLOOKUP(A58,'Data Vlaue (Cr)'!C53:CW274,99,0)</f>
        <v>2057</v>
      </c>
      <c r="C58" s="90">
        <f>VLOOKUP(A58,'Data Vlaue (Cr)'!C53:CY274,101,0)</f>
        <v>37</v>
      </c>
      <c r="D58" s="139">
        <f>VLOOKUP(A58,'Data Vlaue (Cr)'!C53:CZ274,102,0)</f>
        <v>1.84E-2</v>
      </c>
      <c r="E58" s="91">
        <f>VLOOKUP($A58,'Data Vlaue (Cr)'!$C:$FB,75)</f>
        <v>1338</v>
      </c>
      <c r="F58" s="91">
        <f>VLOOKUP($A58,'Data Vlaue (Cr)'!$C:$FB,77)</f>
        <v>15</v>
      </c>
      <c r="G58" s="92">
        <f>VLOOKUP(A58,'Data Vlaue (Cr)'!C53:CB274,78,0)</f>
        <v>1.12E-2</v>
      </c>
      <c r="H58" s="91">
        <f>VLOOKUP($A58,'Data Vlaue (Cr)'!$C:$FB,91)</f>
        <v>392</v>
      </c>
      <c r="I58" s="91">
        <f>VLOOKUP($A58,'Data Vlaue (Cr)'!$C:$FB,93)</f>
        <v>21</v>
      </c>
      <c r="J58" s="92">
        <f>VLOOKUP($A58,'Data Vlaue (Cr)'!$C:$FB,94)</f>
        <v>5.5800000000000002E-2</v>
      </c>
      <c r="K58" s="91">
        <f>VLOOKUP($A58,'Data Vlaue (Cr)'!$C:$FB,95)</f>
        <v>326</v>
      </c>
      <c r="L58" s="91">
        <f>VLOOKUP($A58,'Data Vlaue (Cr)'!$C:$FB,97)</f>
        <v>2</v>
      </c>
      <c r="M58" s="92">
        <f>VLOOKUP($A58,'Data Vlaue (Cr)'!$C:$FB,98)</f>
        <v>5.1999999999999998E-3</v>
      </c>
      <c r="N58" s="91">
        <f>VLOOKUP($A58,'Data Vlaue (Cr)'!$C:$FB,79)</f>
        <v>1282</v>
      </c>
      <c r="O58" s="92">
        <f>VLOOKUP($A58,'Data Vlaue (Cr)'!$C:$FB,82)</f>
        <v>7.1000000000000004E-3</v>
      </c>
    </row>
    <row r="59" spans="1:15" x14ac:dyDescent="0.25">
      <c r="A59" s="97" t="str">
        <f>'Data Vlaue (Cr)'!C54</f>
        <v>CYIENT</v>
      </c>
      <c r="B59" s="142">
        <f>VLOOKUP(A59,'Data Vlaue (Cr)'!C54:CW275,99,0)</f>
        <v>593</v>
      </c>
      <c r="C59" s="90">
        <f>VLOOKUP(A59,'Data Vlaue (Cr)'!C54:CY275,101,0)</f>
        <v>57</v>
      </c>
      <c r="D59" s="139">
        <f>VLOOKUP(A59,'Data Vlaue (Cr)'!C54:CZ275,102,0)</f>
        <v>0.1072</v>
      </c>
      <c r="E59" s="91">
        <f>VLOOKUP($A59,'Data Vlaue (Cr)'!$C:$FB,75)</f>
        <v>341</v>
      </c>
      <c r="F59" s="91">
        <f>VLOOKUP($A59,'Data Vlaue (Cr)'!$C:$FB,77)</f>
        <v>-3</v>
      </c>
      <c r="G59" s="92">
        <f>VLOOKUP(A59,'Data Vlaue (Cr)'!C54:CB275,78,0)</f>
        <v>-7.7999999999999996E-3</v>
      </c>
      <c r="H59" s="91">
        <f>VLOOKUP($A59,'Data Vlaue (Cr)'!$C:$FB,91)</f>
        <v>176</v>
      </c>
      <c r="I59" s="91">
        <f>VLOOKUP($A59,'Data Vlaue (Cr)'!$C:$FB,93)</f>
        <v>51</v>
      </c>
      <c r="J59" s="92">
        <f>VLOOKUP($A59,'Data Vlaue (Cr)'!$C:$FB,94)</f>
        <v>0.41049999999999998</v>
      </c>
      <c r="K59" s="91">
        <f>VLOOKUP($A59,'Data Vlaue (Cr)'!$C:$FB,95)</f>
        <v>77</v>
      </c>
      <c r="L59" s="91">
        <f>VLOOKUP($A59,'Data Vlaue (Cr)'!$C:$FB,97)</f>
        <v>9</v>
      </c>
      <c r="M59" s="92">
        <f>VLOOKUP($A59,'Data Vlaue (Cr)'!$C:$FB,98)</f>
        <v>0.13320000000000001</v>
      </c>
      <c r="N59" s="91">
        <f>VLOOKUP($A59,'Data Vlaue (Cr)'!$C:$FB,79)</f>
        <v>316</v>
      </c>
      <c r="O59" s="92">
        <f>VLOOKUP($A59,'Data Vlaue (Cr)'!$C:$FB,82)</f>
        <v>-3.2000000000000001E-2</v>
      </c>
    </row>
    <row r="60" spans="1:15" x14ac:dyDescent="0.25">
      <c r="A60" s="97" t="str">
        <f>'Data Vlaue (Cr)'!C55</f>
        <v>DABUR</v>
      </c>
      <c r="B60" s="142">
        <f>VLOOKUP(A60,'Data Vlaue (Cr)'!C55:CW276,99,0)</f>
        <v>1967</v>
      </c>
      <c r="C60" s="90">
        <f>VLOOKUP(A60,'Data Vlaue (Cr)'!C55:CY276,101,0)</f>
        <v>209</v>
      </c>
      <c r="D60" s="139">
        <f>VLOOKUP(A60,'Data Vlaue (Cr)'!C55:CZ276,102,0)</f>
        <v>0.1188</v>
      </c>
      <c r="E60" s="91">
        <f>VLOOKUP($A60,'Data Vlaue (Cr)'!$C:$FB,75)</f>
        <v>1053</v>
      </c>
      <c r="F60" s="91">
        <f>VLOOKUP($A60,'Data Vlaue (Cr)'!$C:$FB,77)</f>
        <v>187</v>
      </c>
      <c r="G60" s="92">
        <f>VLOOKUP(A60,'Data Vlaue (Cr)'!C55:CB276,78,0)</f>
        <v>0.21629999999999999</v>
      </c>
      <c r="H60" s="91">
        <f>VLOOKUP($A60,'Data Vlaue (Cr)'!$C:$FB,91)</f>
        <v>599</v>
      </c>
      <c r="I60" s="91">
        <f>VLOOKUP($A60,'Data Vlaue (Cr)'!$C:$FB,93)</f>
        <v>-6</v>
      </c>
      <c r="J60" s="92">
        <f>VLOOKUP($A60,'Data Vlaue (Cr)'!$C:$FB,94)</f>
        <v>-0.01</v>
      </c>
      <c r="K60" s="91">
        <f>VLOOKUP($A60,'Data Vlaue (Cr)'!$C:$FB,95)</f>
        <v>316</v>
      </c>
      <c r="L60" s="91">
        <f>VLOOKUP($A60,'Data Vlaue (Cr)'!$C:$FB,97)</f>
        <v>28</v>
      </c>
      <c r="M60" s="92">
        <f>VLOOKUP($A60,'Data Vlaue (Cr)'!$C:$FB,98)</f>
        <v>9.6699999999999994E-2</v>
      </c>
      <c r="N60" s="91">
        <f>VLOOKUP($A60,'Data Vlaue (Cr)'!$C:$FB,79)</f>
        <v>962</v>
      </c>
      <c r="O60" s="92">
        <f>VLOOKUP($A60,'Data Vlaue (Cr)'!$C:$FB,82)</f>
        <v>0.18940000000000001</v>
      </c>
    </row>
    <row r="61" spans="1:15" x14ac:dyDescent="0.25">
      <c r="A61" s="97" t="str">
        <f>'Data Vlaue (Cr)'!C56</f>
        <v>DALBHARAT</v>
      </c>
      <c r="B61" s="142">
        <f>VLOOKUP(A61,'Data Vlaue (Cr)'!C56:CW277,99,0)</f>
        <v>877</v>
      </c>
      <c r="C61" s="90">
        <f>VLOOKUP(A61,'Data Vlaue (Cr)'!C56:CY277,101,0)</f>
        <v>-4</v>
      </c>
      <c r="D61" s="139">
        <f>VLOOKUP(A61,'Data Vlaue (Cr)'!C56:CZ277,102,0)</f>
        <v>-4.7000000000000002E-3</v>
      </c>
      <c r="E61" s="91">
        <f>VLOOKUP($A61,'Data Vlaue (Cr)'!$C:$FB,75)</f>
        <v>700</v>
      </c>
      <c r="F61" s="91">
        <f>VLOOKUP($A61,'Data Vlaue (Cr)'!$C:$FB,77)</f>
        <v>0</v>
      </c>
      <c r="G61" s="92">
        <f>VLOOKUP(A61,'Data Vlaue (Cr)'!C56:CB277,78,0)</f>
        <v>0</v>
      </c>
      <c r="H61" s="91">
        <f>VLOOKUP($A61,'Data Vlaue (Cr)'!$C:$FB,91)</f>
        <v>109</v>
      </c>
      <c r="I61" s="91">
        <f>VLOOKUP($A61,'Data Vlaue (Cr)'!$C:$FB,93)</f>
        <v>-1</v>
      </c>
      <c r="J61" s="92">
        <f>VLOOKUP($A61,'Data Vlaue (Cr)'!$C:$FB,94)</f>
        <v>-1.32E-2</v>
      </c>
      <c r="K61" s="91">
        <f>VLOOKUP($A61,'Data Vlaue (Cr)'!$C:$FB,95)</f>
        <v>68</v>
      </c>
      <c r="L61" s="91">
        <f>VLOOKUP($A61,'Data Vlaue (Cr)'!$C:$FB,97)</f>
        <v>-3</v>
      </c>
      <c r="M61" s="92">
        <f>VLOOKUP($A61,'Data Vlaue (Cr)'!$C:$FB,98)</f>
        <v>-3.7600000000000001E-2</v>
      </c>
      <c r="N61" s="91">
        <f>VLOOKUP($A61,'Data Vlaue (Cr)'!$C:$FB,79)</f>
        <v>685</v>
      </c>
      <c r="O61" s="92">
        <f>VLOOKUP($A61,'Data Vlaue (Cr)'!$C:$FB,82)</f>
        <v>-6.0000000000000001E-3</v>
      </c>
    </row>
    <row r="62" spans="1:15" x14ac:dyDescent="0.25">
      <c r="A62" s="97" t="str">
        <f>'Data Vlaue (Cr)'!C57</f>
        <v>DELHIVERY</v>
      </c>
      <c r="B62" s="142">
        <f>VLOOKUP(A62,'Data Vlaue (Cr)'!C57:CW278,99,0)</f>
        <v>1720</v>
      </c>
      <c r="C62" s="90">
        <f>VLOOKUP(A62,'Data Vlaue (Cr)'!C57:CY278,101,0)</f>
        <v>-30</v>
      </c>
      <c r="D62" s="139">
        <f>VLOOKUP(A62,'Data Vlaue (Cr)'!C57:CZ278,102,0)</f>
        <v>-1.7000000000000001E-2</v>
      </c>
      <c r="E62" s="91">
        <f>VLOOKUP($A62,'Data Vlaue (Cr)'!$C:$FB,75)</f>
        <v>726</v>
      </c>
      <c r="F62" s="91">
        <f>VLOOKUP($A62,'Data Vlaue (Cr)'!$C:$FB,77)</f>
        <v>0</v>
      </c>
      <c r="G62" s="92">
        <f>VLOOKUP(A62,'Data Vlaue (Cr)'!C57:CB278,78,0)</f>
        <v>-2.9999999999999997E-4</v>
      </c>
      <c r="H62" s="91">
        <f>VLOOKUP($A62,'Data Vlaue (Cr)'!$C:$FB,91)</f>
        <v>538</v>
      </c>
      <c r="I62" s="91">
        <f>VLOOKUP($A62,'Data Vlaue (Cr)'!$C:$FB,93)</f>
        <v>-27</v>
      </c>
      <c r="J62" s="92">
        <f>VLOOKUP($A62,'Data Vlaue (Cr)'!$C:$FB,94)</f>
        <v>-4.8000000000000001E-2</v>
      </c>
      <c r="K62" s="91">
        <f>VLOOKUP($A62,'Data Vlaue (Cr)'!$C:$FB,95)</f>
        <v>455</v>
      </c>
      <c r="L62" s="91">
        <f>VLOOKUP($A62,'Data Vlaue (Cr)'!$C:$FB,97)</f>
        <v>-2</v>
      </c>
      <c r="M62" s="92">
        <f>VLOOKUP($A62,'Data Vlaue (Cr)'!$C:$FB,98)</f>
        <v>-5.3E-3</v>
      </c>
      <c r="N62" s="91">
        <f>VLOOKUP($A62,'Data Vlaue (Cr)'!$C:$FB,79)</f>
        <v>655</v>
      </c>
      <c r="O62" s="92">
        <f>VLOOKUP($A62,'Data Vlaue (Cr)'!$C:$FB,82)</f>
        <v>-1.52E-2</v>
      </c>
    </row>
    <row r="63" spans="1:15" x14ac:dyDescent="0.25">
      <c r="A63" s="97" t="str">
        <f>'Data Vlaue (Cr)'!C58</f>
        <v>DIVISLAB</v>
      </c>
      <c r="B63" s="142">
        <f>VLOOKUP(A63,'Data Vlaue (Cr)'!C58:CW279,99,0)</f>
        <v>3354</v>
      </c>
      <c r="C63" s="90">
        <f>VLOOKUP(A63,'Data Vlaue (Cr)'!C58:CY279,101,0)</f>
        <v>138</v>
      </c>
      <c r="D63" s="139">
        <f>VLOOKUP(A63,'Data Vlaue (Cr)'!C58:CZ279,102,0)</f>
        <v>4.2799999999999998E-2</v>
      </c>
      <c r="E63" s="91">
        <f>VLOOKUP($A63,'Data Vlaue (Cr)'!$C:$FB,75)</f>
        <v>1793</v>
      </c>
      <c r="F63" s="91">
        <f>VLOOKUP($A63,'Data Vlaue (Cr)'!$C:$FB,77)</f>
        <v>62</v>
      </c>
      <c r="G63" s="92">
        <f>VLOOKUP(A63,'Data Vlaue (Cr)'!C58:CB279,78,0)</f>
        <v>3.61E-2</v>
      </c>
      <c r="H63" s="91">
        <f>VLOOKUP($A63,'Data Vlaue (Cr)'!$C:$FB,91)</f>
        <v>958</v>
      </c>
      <c r="I63" s="91">
        <f>VLOOKUP($A63,'Data Vlaue (Cr)'!$C:$FB,93)</f>
        <v>36</v>
      </c>
      <c r="J63" s="92">
        <f>VLOOKUP($A63,'Data Vlaue (Cr)'!$C:$FB,94)</f>
        <v>3.85E-2</v>
      </c>
      <c r="K63" s="91">
        <f>VLOOKUP($A63,'Data Vlaue (Cr)'!$C:$FB,95)</f>
        <v>604</v>
      </c>
      <c r="L63" s="91">
        <f>VLOOKUP($A63,'Data Vlaue (Cr)'!$C:$FB,97)</f>
        <v>40</v>
      </c>
      <c r="M63" s="92">
        <f>VLOOKUP($A63,'Data Vlaue (Cr)'!$C:$FB,98)</f>
        <v>7.0199999999999999E-2</v>
      </c>
      <c r="N63" s="91">
        <f>VLOOKUP($A63,'Data Vlaue (Cr)'!$C:$FB,79)</f>
        <v>1645</v>
      </c>
      <c r="O63" s="92">
        <f>VLOOKUP($A63,'Data Vlaue (Cr)'!$C:$FB,82)</f>
        <v>1.4E-3</v>
      </c>
    </row>
    <row r="64" spans="1:15" x14ac:dyDescent="0.25">
      <c r="A64" s="97" t="str">
        <f>'Data Vlaue (Cr)'!C59</f>
        <v>DIXON</v>
      </c>
      <c r="B64" s="142">
        <f>VLOOKUP(A64,'Data Vlaue (Cr)'!C59:CW280,99,0)</f>
        <v>5824</v>
      </c>
      <c r="C64" s="90">
        <f>VLOOKUP(A64,'Data Vlaue (Cr)'!C59:CY280,101,0)</f>
        <v>280</v>
      </c>
      <c r="D64" s="139">
        <f>VLOOKUP(A64,'Data Vlaue (Cr)'!C59:CZ280,102,0)</f>
        <v>5.0500000000000003E-2</v>
      </c>
      <c r="E64" s="91">
        <f>VLOOKUP($A64,'Data Vlaue (Cr)'!$C:$FB,75)</f>
        <v>2556</v>
      </c>
      <c r="F64" s="91">
        <f>VLOOKUP($A64,'Data Vlaue (Cr)'!$C:$FB,77)</f>
        <v>4</v>
      </c>
      <c r="G64" s="92">
        <f>VLOOKUP(A64,'Data Vlaue (Cr)'!C59:CB280,78,0)</f>
        <v>1.8E-3</v>
      </c>
      <c r="H64" s="91">
        <f>VLOOKUP($A64,'Data Vlaue (Cr)'!$C:$FB,91)</f>
        <v>1920</v>
      </c>
      <c r="I64" s="91">
        <f>VLOOKUP($A64,'Data Vlaue (Cr)'!$C:$FB,93)</f>
        <v>227</v>
      </c>
      <c r="J64" s="92">
        <f>VLOOKUP($A64,'Data Vlaue (Cr)'!$C:$FB,94)</f>
        <v>0.13439999999999999</v>
      </c>
      <c r="K64" s="91">
        <f>VLOOKUP($A64,'Data Vlaue (Cr)'!$C:$FB,95)</f>
        <v>1348</v>
      </c>
      <c r="L64" s="91">
        <f>VLOOKUP($A64,'Data Vlaue (Cr)'!$C:$FB,97)</f>
        <v>48</v>
      </c>
      <c r="M64" s="92">
        <f>VLOOKUP($A64,'Data Vlaue (Cr)'!$C:$FB,98)</f>
        <v>3.6799999999999999E-2</v>
      </c>
      <c r="N64" s="91">
        <f>VLOOKUP($A64,'Data Vlaue (Cr)'!$C:$FB,79)</f>
        <v>2341</v>
      </c>
      <c r="O64" s="92">
        <f>VLOOKUP($A64,'Data Vlaue (Cr)'!$C:$FB,82)</f>
        <v>-1.67E-2</v>
      </c>
    </row>
    <row r="65" spans="1:15" x14ac:dyDescent="0.25">
      <c r="A65" s="97" t="str">
        <f>'Data Vlaue (Cr)'!C60</f>
        <v>DLF</v>
      </c>
      <c r="B65" s="142">
        <f>VLOOKUP(A65,'Data Vlaue (Cr)'!C60:CW281,99,0)</f>
        <v>5158</v>
      </c>
      <c r="C65" s="90">
        <f>VLOOKUP(A65,'Data Vlaue (Cr)'!C60:CY281,101,0)</f>
        <v>70</v>
      </c>
      <c r="D65" s="139">
        <f>VLOOKUP(A65,'Data Vlaue (Cr)'!C60:CZ281,102,0)</f>
        <v>1.38E-2</v>
      </c>
      <c r="E65" s="91">
        <f>VLOOKUP($A65,'Data Vlaue (Cr)'!$C:$FB,75)</f>
        <v>2986</v>
      </c>
      <c r="F65" s="91">
        <f>VLOOKUP($A65,'Data Vlaue (Cr)'!$C:$FB,77)</f>
        <v>27</v>
      </c>
      <c r="G65" s="92">
        <f>VLOOKUP(A65,'Data Vlaue (Cr)'!C60:CB281,78,0)</f>
        <v>8.9999999999999993E-3</v>
      </c>
      <c r="H65" s="91">
        <f>VLOOKUP($A65,'Data Vlaue (Cr)'!$C:$FB,91)</f>
        <v>1397</v>
      </c>
      <c r="I65" s="91">
        <f>VLOOKUP($A65,'Data Vlaue (Cr)'!$C:$FB,93)</f>
        <v>31</v>
      </c>
      <c r="J65" s="92">
        <f>VLOOKUP($A65,'Data Vlaue (Cr)'!$C:$FB,94)</f>
        <v>2.3E-2</v>
      </c>
      <c r="K65" s="91">
        <f>VLOOKUP($A65,'Data Vlaue (Cr)'!$C:$FB,95)</f>
        <v>775</v>
      </c>
      <c r="L65" s="91">
        <f>VLOOKUP($A65,'Data Vlaue (Cr)'!$C:$FB,97)</f>
        <v>12</v>
      </c>
      <c r="M65" s="92">
        <f>VLOOKUP($A65,'Data Vlaue (Cr)'!$C:$FB,98)</f>
        <v>1.6400000000000001E-2</v>
      </c>
      <c r="N65" s="91">
        <f>VLOOKUP($A65,'Data Vlaue (Cr)'!$C:$FB,79)</f>
        <v>2770</v>
      </c>
      <c r="O65" s="92">
        <f>VLOOKUP($A65,'Data Vlaue (Cr)'!$C:$FB,82)</f>
        <v>-8.6E-3</v>
      </c>
    </row>
    <row r="66" spans="1:15" x14ac:dyDescent="0.25">
      <c r="A66" s="97" t="str">
        <f>'Data Vlaue (Cr)'!C61</f>
        <v>DMART</v>
      </c>
      <c r="B66" s="142">
        <f>VLOOKUP(A66,'Data Vlaue (Cr)'!C61:CW282,99,0)</f>
        <v>4228</v>
      </c>
      <c r="C66" s="90">
        <f>VLOOKUP(A66,'Data Vlaue (Cr)'!C61:CY282,101,0)</f>
        <v>161</v>
      </c>
      <c r="D66" s="139">
        <f>VLOOKUP(A66,'Data Vlaue (Cr)'!C61:CZ282,102,0)</f>
        <v>3.95E-2</v>
      </c>
      <c r="E66" s="91">
        <f>VLOOKUP($A66,'Data Vlaue (Cr)'!$C:$FB,75)</f>
        <v>2751</v>
      </c>
      <c r="F66" s="91">
        <f>VLOOKUP($A66,'Data Vlaue (Cr)'!$C:$FB,77)</f>
        <v>60</v>
      </c>
      <c r="G66" s="92">
        <f>VLOOKUP(A66,'Data Vlaue (Cr)'!C61:CB282,78,0)</f>
        <v>2.2200000000000001E-2</v>
      </c>
      <c r="H66" s="91">
        <f>VLOOKUP($A66,'Data Vlaue (Cr)'!$C:$FB,91)</f>
        <v>774</v>
      </c>
      <c r="I66" s="91">
        <f>VLOOKUP($A66,'Data Vlaue (Cr)'!$C:$FB,93)</f>
        <v>9</v>
      </c>
      <c r="J66" s="92">
        <f>VLOOKUP($A66,'Data Vlaue (Cr)'!$C:$FB,94)</f>
        <v>1.17E-2</v>
      </c>
      <c r="K66" s="91">
        <f>VLOOKUP($A66,'Data Vlaue (Cr)'!$C:$FB,95)</f>
        <v>703</v>
      </c>
      <c r="L66" s="91">
        <f>VLOOKUP($A66,'Data Vlaue (Cr)'!$C:$FB,97)</f>
        <v>92</v>
      </c>
      <c r="M66" s="92">
        <f>VLOOKUP($A66,'Data Vlaue (Cr)'!$C:$FB,98)</f>
        <v>0.1507</v>
      </c>
      <c r="N66" s="91">
        <f>VLOOKUP($A66,'Data Vlaue (Cr)'!$C:$FB,79)</f>
        <v>2365</v>
      </c>
      <c r="O66" s="92">
        <f>VLOOKUP($A66,'Data Vlaue (Cr)'!$C:$FB,82)</f>
        <v>9.1999999999999998E-3</v>
      </c>
    </row>
    <row r="67" spans="1:15" x14ac:dyDescent="0.25">
      <c r="A67" s="97" t="str">
        <f>'Data Vlaue (Cr)'!C62</f>
        <v>DRREDDY</v>
      </c>
      <c r="B67" s="142">
        <f>VLOOKUP(A67,'Data Vlaue (Cr)'!C62:CW283,99,0)</f>
        <v>3138</v>
      </c>
      <c r="C67" s="90">
        <f>VLOOKUP(A67,'Data Vlaue (Cr)'!C62:CY283,101,0)</f>
        <v>28</v>
      </c>
      <c r="D67" s="139">
        <f>VLOOKUP(A67,'Data Vlaue (Cr)'!C62:CZ283,102,0)</f>
        <v>9.1000000000000004E-3</v>
      </c>
      <c r="E67" s="91">
        <f>VLOOKUP($A67,'Data Vlaue (Cr)'!$C:$FB,75)</f>
        <v>1667</v>
      </c>
      <c r="F67" s="91">
        <f>VLOOKUP($A67,'Data Vlaue (Cr)'!$C:$FB,77)</f>
        <v>15</v>
      </c>
      <c r="G67" s="92">
        <f>VLOOKUP(A67,'Data Vlaue (Cr)'!C62:CB283,78,0)</f>
        <v>9.2999999999999992E-3</v>
      </c>
      <c r="H67" s="91">
        <f>VLOOKUP($A67,'Data Vlaue (Cr)'!$C:$FB,91)</f>
        <v>818</v>
      </c>
      <c r="I67" s="91">
        <f>VLOOKUP($A67,'Data Vlaue (Cr)'!$C:$FB,93)</f>
        <v>-1</v>
      </c>
      <c r="J67" s="92">
        <f>VLOOKUP($A67,'Data Vlaue (Cr)'!$C:$FB,94)</f>
        <v>-1.5E-3</v>
      </c>
      <c r="K67" s="91">
        <f>VLOOKUP($A67,'Data Vlaue (Cr)'!$C:$FB,95)</f>
        <v>653</v>
      </c>
      <c r="L67" s="91">
        <f>VLOOKUP($A67,'Data Vlaue (Cr)'!$C:$FB,97)</f>
        <v>14</v>
      </c>
      <c r="M67" s="92">
        <f>VLOOKUP($A67,'Data Vlaue (Cr)'!$C:$FB,98)</f>
        <v>2.2200000000000001E-2</v>
      </c>
      <c r="N67" s="91">
        <f>VLOOKUP($A67,'Data Vlaue (Cr)'!$C:$FB,79)</f>
        <v>1488</v>
      </c>
      <c r="O67" s="92">
        <f>VLOOKUP($A67,'Data Vlaue (Cr)'!$C:$FB,82)</f>
        <v>-1.0500000000000001E-2</v>
      </c>
    </row>
    <row r="68" spans="1:15" x14ac:dyDescent="0.25">
      <c r="A68" s="97" t="str">
        <f>'Data Vlaue (Cr)'!C63</f>
        <v>EICHERMOT</v>
      </c>
      <c r="B68" s="142">
        <f>VLOOKUP(A68,'Data Vlaue (Cr)'!C63:CW284,99,0)</f>
        <v>4878</v>
      </c>
      <c r="C68" s="90">
        <f>VLOOKUP(A68,'Data Vlaue (Cr)'!C63:CY284,101,0)</f>
        <v>-36</v>
      </c>
      <c r="D68" s="139">
        <f>VLOOKUP(A68,'Data Vlaue (Cr)'!C63:CZ284,102,0)</f>
        <v>-7.4000000000000003E-3</v>
      </c>
      <c r="E68" s="91">
        <f>VLOOKUP($A68,'Data Vlaue (Cr)'!$C:$FB,75)</f>
        <v>2479</v>
      </c>
      <c r="F68" s="91">
        <f>VLOOKUP($A68,'Data Vlaue (Cr)'!$C:$FB,77)</f>
        <v>25</v>
      </c>
      <c r="G68" s="92">
        <f>VLOOKUP(A68,'Data Vlaue (Cr)'!C63:CB284,78,0)</f>
        <v>1.01E-2</v>
      </c>
      <c r="H68" s="91">
        <f>VLOOKUP($A68,'Data Vlaue (Cr)'!$C:$FB,91)</f>
        <v>1377</v>
      </c>
      <c r="I68" s="91">
        <f>VLOOKUP($A68,'Data Vlaue (Cr)'!$C:$FB,93)</f>
        <v>-20</v>
      </c>
      <c r="J68" s="92">
        <f>VLOOKUP($A68,'Data Vlaue (Cr)'!$C:$FB,94)</f>
        <v>-1.43E-2</v>
      </c>
      <c r="K68" s="91">
        <f>VLOOKUP($A68,'Data Vlaue (Cr)'!$C:$FB,95)</f>
        <v>1022</v>
      </c>
      <c r="L68" s="91">
        <f>VLOOKUP($A68,'Data Vlaue (Cr)'!$C:$FB,97)</f>
        <v>-41</v>
      </c>
      <c r="M68" s="92">
        <f>VLOOKUP($A68,'Data Vlaue (Cr)'!$C:$FB,98)</f>
        <v>-3.8699999999999998E-2</v>
      </c>
      <c r="N68" s="91">
        <f>VLOOKUP($A68,'Data Vlaue (Cr)'!$C:$FB,79)</f>
        <v>2233</v>
      </c>
      <c r="O68" s="92">
        <f>VLOOKUP($A68,'Data Vlaue (Cr)'!$C:$FB,82)</f>
        <v>5.4000000000000003E-3</v>
      </c>
    </row>
    <row r="69" spans="1:15" x14ac:dyDescent="0.25">
      <c r="A69" s="97" t="str">
        <f>'Data Vlaue (Cr)'!C64</f>
        <v>ETERNAL</v>
      </c>
      <c r="B69" s="142">
        <f>VLOOKUP(A69,'Data Vlaue (Cr)'!C64:CW285,99,0)</f>
        <v>11930</v>
      </c>
      <c r="C69" s="90">
        <f>VLOOKUP(A69,'Data Vlaue (Cr)'!C64:CY285,101,0)</f>
        <v>316</v>
      </c>
      <c r="D69" s="139">
        <f>VLOOKUP(A69,'Data Vlaue (Cr)'!C64:CZ285,102,0)</f>
        <v>2.7199999999999998E-2</v>
      </c>
      <c r="E69" s="91">
        <f>VLOOKUP($A69,'Data Vlaue (Cr)'!$C:$FB,75)</f>
        <v>7643</v>
      </c>
      <c r="F69" s="91">
        <f>VLOOKUP($A69,'Data Vlaue (Cr)'!$C:$FB,77)</f>
        <v>-176</v>
      </c>
      <c r="G69" s="92">
        <f>VLOOKUP(A69,'Data Vlaue (Cr)'!C64:CB285,78,0)</f>
        <v>-2.2499999999999999E-2</v>
      </c>
      <c r="H69" s="91">
        <f>VLOOKUP($A69,'Data Vlaue (Cr)'!$C:$FB,91)</f>
        <v>2369</v>
      </c>
      <c r="I69" s="91">
        <f>VLOOKUP($A69,'Data Vlaue (Cr)'!$C:$FB,93)</f>
        <v>339</v>
      </c>
      <c r="J69" s="92">
        <f>VLOOKUP($A69,'Data Vlaue (Cr)'!$C:$FB,94)</f>
        <v>0.16700000000000001</v>
      </c>
      <c r="K69" s="91">
        <f>VLOOKUP($A69,'Data Vlaue (Cr)'!$C:$FB,95)</f>
        <v>1918</v>
      </c>
      <c r="L69" s="91">
        <f>VLOOKUP($A69,'Data Vlaue (Cr)'!$C:$FB,97)</f>
        <v>153</v>
      </c>
      <c r="M69" s="92">
        <f>VLOOKUP($A69,'Data Vlaue (Cr)'!$C:$FB,98)</f>
        <v>8.6800000000000002E-2</v>
      </c>
      <c r="N69" s="91">
        <f>VLOOKUP($A69,'Data Vlaue (Cr)'!$C:$FB,79)</f>
        <v>7217</v>
      </c>
      <c r="O69" s="92">
        <f>VLOOKUP($A69,'Data Vlaue (Cr)'!$C:$FB,82)</f>
        <v>-3.4599999999999999E-2</v>
      </c>
    </row>
    <row r="70" spans="1:15" x14ac:dyDescent="0.25">
      <c r="A70" s="97" t="str">
        <f>'Data Vlaue (Cr)'!C65</f>
        <v>EXIDEIND</v>
      </c>
      <c r="B70" s="142">
        <f>VLOOKUP(A70,'Data Vlaue (Cr)'!C65:CW286,99,0)</f>
        <v>2462</v>
      </c>
      <c r="C70" s="90">
        <f>VLOOKUP(A70,'Data Vlaue (Cr)'!C65:CY286,101,0)</f>
        <v>1</v>
      </c>
      <c r="D70" s="139">
        <f>VLOOKUP(A70,'Data Vlaue (Cr)'!C65:CZ286,102,0)</f>
        <v>2.9999999999999997E-4</v>
      </c>
      <c r="E70" s="91">
        <f>VLOOKUP($A70,'Data Vlaue (Cr)'!$C:$FB,75)</f>
        <v>1276</v>
      </c>
      <c r="F70" s="91">
        <f>VLOOKUP($A70,'Data Vlaue (Cr)'!$C:$FB,77)</f>
        <v>-7</v>
      </c>
      <c r="G70" s="92">
        <f>VLOOKUP(A70,'Data Vlaue (Cr)'!C65:CB286,78,0)</f>
        <v>-5.4999999999999997E-3</v>
      </c>
      <c r="H70" s="91">
        <f>VLOOKUP($A70,'Data Vlaue (Cr)'!$C:$FB,91)</f>
        <v>747</v>
      </c>
      <c r="I70" s="91">
        <f>VLOOKUP($A70,'Data Vlaue (Cr)'!$C:$FB,93)</f>
        <v>-8</v>
      </c>
      <c r="J70" s="92">
        <f>VLOOKUP($A70,'Data Vlaue (Cr)'!$C:$FB,94)</f>
        <v>-1.0500000000000001E-2</v>
      </c>
      <c r="K70" s="91">
        <f>VLOOKUP($A70,'Data Vlaue (Cr)'!$C:$FB,95)</f>
        <v>439</v>
      </c>
      <c r="L70" s="91">
        <f>VLOOKUP($A70,'Data Vlaue (Cr)'!$C:$FB,97)</f>
        <v>16</v>
      </c>
      <c r="M70" s="92">
        <f>VLOOKUP($A70,'Data Vlaue (Cr)'!$C:$FB,98)</f>
        <v>3.6799999999999999E-2</v>
      </c>
      <c r="N70" s="91">
        <f>VLOOKUP($A70,'Data Vlaue (Cr)'!$C:$FB,79)</f>
        <v>1125</v>
      </c>
      <c r="O70" s="92">
        <f>VLOOKUP($A70,'Data Vlaue (Cr)'!$C:$FB,82)</f>
        <v>-1.4E-2</v>
      </c>
    </row>
    <row r="71" spans="1:15" x14ac:dyDescent="0.25">
      <c r="A71" s="97" t="str">
        <f>'Data Vlaue (Cr)'!C66</f>
        <v>FEDERALBNK</v>
      </c>
      <c r="B71" s="142">
        <f>VLOOKUP(A71,'Data Vlaue (Cr)'!C66:CW287,99,0)</f>
        <v>3819</v>
      </c>
      <c r="C71" s="90">
        <f>VLOOKUP(A71,'Data Vlaue (Cr)'!C66:CY287,101,0)</f>
        <v>41</v>
      </c>
      <c r="D71" s="139">
        <f>VLOOKUP(A71,'Data Vlaue (Cr)'!C66:CZ287,102,0)</f>
        <v>1.0800000000000001E-2</v>
      </c>
      <c r="E71" s="91">
        <f>VLOOKUP($A71,'Data Vlaue (Cr)'!$C:$FB,75)</f>
        <v>1993</v>
      </c>
      <c r="F71" s="91">
        <f>VLOOKUP($A71,'Data Vlaue (Cr)'!$C:$FB,77)</f>
        <v>45</v>
      </c>
      <c r="G71" s="92">
        <f>VLOOKUP(A71,'Data Vlaue (Cr)'!C66:CB287,78,0)</f>
        <v>2.3400000000000001E-2</v>
      </c>
      <c r="H71" s="91">
        <f>VLOOKUP($A71,'Data Vlaue (Cr)'!$C:$FB,91)</f>
        <v>1043</v>
      </c>
      <c r="I71" s="91">
        <f>VLOOKUP($A71,'Data Vlaue (Cr)'!$C:$FB,93)</f>
        <v>-21</v>
      </c>
      <c r="J71" s="92">
        <f>VLOOKUP($A71,'Data Vlaue (Cr)'!$C:$FB,94)</f>
        <v>-1.9400000000000001E-2</v>
      </c>
      <c r="K71" s="91">
        <f>VLOOKUP($A71,'Data Vlaue (Cr)'!$C:$FB,95)</f>
        <v>782</v>
      </c>
      <c r="L71" s="91">
        <f>VLOOKUP($A71,'Data Vlaue (Cr)'!$C:$FB,97)</f>
        <v>16</v>
      </c>
      <c r="M71" s="92">
        <f>VLOOKUP($A71,'Data Vlaue (Cr)'!$C:$FB,98)</f>
        <v>2.0799999999999999E-2</v>
      </c>
      <c r="N71" s="91">
        <f>VLOOKUP($A71,'Data Vlaue (Cr)'!$C:$FB,79)</f>
        <v>1879</v>
      </c>
      <c r="O71" s="92">
        <f>VLOOKUP($A71,'Data Vlaue (Cr)'!$C:$FB,82)</f>
        <v>1.4200000000000001E-2</v>
      </c>
    </row>
    <row r="72" spans="1:15" x14ac:dyDescent="0.25">
      <c r="A72" s="97" t="str">
        <f>'Data Vlaue (Cr)'!C67</f>
        <v>FINNIFTY</v>
      </c>
      <c r="B72" s="142">
        <f>VLOOKUP(A72,'Data Vlaue (Cr)'!C67:CW288,99,0)</f>
        <v>6836</v>
      </c>
      <c r="C72" s="90">
        <f>VLOOKUP(A72,'Data Vlaue (Cr)'!C67:CY288,101,0)</f>
        <v>523</v>
      </c>
      <c r="D72" s="139">
        <f>VLOOKUP(A72,'Data Vlaue (Cr)'!C67:CZ288,102,0)</f>
        <v>8.2900000000000001E-2</v>
      </c>
      <c r="E72" s="91">
        <f>VLOOKUP($A72,'Data Vlaue (Cr)'!$C:$FB,75)</f>
        <v>237</v>
      </c>
      <c r="F72" s="91">
        <f>VLOOKUP($A72,'Data Vlaue (Cr)'!$C:$FB,77)</f>
        <v>8</v>
      </c>
      <c r="G72" s="92">
        <f>VLOOKUP(A72,'Data Vlaue (Cr)'!C67:CB288,78,0)</f>
        <v>3.3099999999999997E-2</v>
      </c>
      <c r="H72" s="91">
        <f>VLOOKUP($A72,'Data Vlaue (Cr)'!$C:$FB,91)</f>
        <v>3745</v>
      </c>
      <c r="I72" s="91">
        <f>VLOOKUP($A72,'Data Vlaue (Cr)'!$C:$FB,93)</f>
        <v>442</v>
      </c>
      <c r="J72" s="92">
        <f>VLOOKUP($A72,'Data Vlaue (Cr)'!$C:$FB,94)</f>
        <v>0.1338</v>
      </c>
      <c r="K72" s="91">
        <f>VLOOKUP($A72,'Data Vlaue (Cr)'!$C:$FB,95)</f>
        <v>2854</v>
      </c>
      <c r="L72" s="91">
        <f>VLOOKUP($A72,'Data Vlaue (Cr)'!$C:$FB,97)</f>
        <v>74</v>
      </c>
      <c r="M72" s="92">
        <f>VLOOKUP($A72,'Data Vlaue (Cr)'!$C:$FB,98)</f>
        <v>2.6599999999999999E-2</v>
      </c>
      <c r="N72" s="91">
        <f>VLOOKUP($A72,'Data Vlaue (Cr)'!$C:$FB,79)</f>
        <v>227</v>
      </c>
      <c r="O72" s="92">
        <f>VLOOKUP($A72,'Data Vlaue (Cr)'!$C:$FB,82)</f>
        <v>2.2499999999999999E-2</v>
      </c>
    </row>
    <row r="73" spans="1:15" x14ac:dyDescent="0.25">
      <c r="A73" s="97" t="str">
        <f>'Data Vlaue (Cr)'!C68</f>
        <v>FORTIS</v>
      </c>
      <c r="B73" s="142">
        <f>VLOOKUP(A73,'Data Vlaue (Cr)'!C68:CW289,99,0)</f>
        <v>1718</v>
      </c>
      <c r="C73" s="90">
        <f>VLOOKUP(A73,'Data Vlaue (Cr)'!C68:CY289,101,0)</f>
        <v>31</v>
      </c>
      <c r="D73" s="139">
        <f>VLOOKUP(A73,'Data Vlaue (Cr)'!C68:CZ289,102,0)</f>
        <v>1.8100000000000002E-2</v>
      </c>
      <c r="E73" s="91">
        <f>VLOOKUP($A73,'Data Vlaue (Cr)'!$C:$FB,75)</f>
        <v>1004</v>
      </c>
      <c r="F73" s="91">
        <f>VLOOKUP($A73,'Data Vlaue (Cr)'!$C:$FB,77)</f>
        <v>26</v>
      </c>
      <c r="G73" s="92">
        <f>VLOOKUP(A73,'Data Vlaue (Cr)'!C68:CB289,78,0)</f>
        <v>2.7E-2</v>
      </c>
      <c r="H73" s="91">
        <f>VLOOKUP($A73,'Data Vlaue (Cr)'!$C:$FB,91)</f>
        <v>374</v>
      </c>
      <c r="I73" s="91">
        <f>VLOOKUP($A73,'Data Vlaue (Cr)'!$C:$FB,93)</f>
        <v>-10</v>
      </c>
      <c r="J73" s="92">
        <f>VLOOKUP($A73,'Data Vlaue (Cr)'!$C:$FB,94)</f>
        <v>-2.5100000000000001E-2</v>
      </c>
      <c r="K73" s="91">
        <f>VLOOKUP($A73,'Data Vlaue (Cr)'!$C:$FB,95)</f>
        <v>340</v>
      </c>
      <c r="L73" s="91">
        <f>VLOOKUP($A73,'Data Vlaue (Cr)'!$C:$FB,97)</f>
        <v>14</v>
      </c>
      <c r="M73" s="92">
        <f>VLOOKUP($A73,'Data Vlaue (Cr)'!$C:$FB,98)</f>
        <v>4.2200000000000001E-2</v>
      </c>
      <c r="N73" s="91">
        <f>VLOOKUP($A73,'Data Vlaue (Cr)'!$C:$FB,79)</f>
        <v>931</v>
      </c>
      <c r="O73" s="92">
        <f>VLOOKUP($A73,'Data Vlaue (Cr)'!$C:$FB,82)</f>
        <v>1.83E-2</v>
      </c>
    </row>
    <row r="74" spans="1:15" x14ac:dyDescent="0.25">
      <c r="A74" s="97" t="str">
        <f>'Data Vlaue (Cr)'!C69</f>
        <v>GAIL</v>
      </c>
      <c r="B74" s="142">
        <f>VLOOKUP(A74,'Data Vlaue (Cr)'!C69:CW290,99,0)</f>
        <v>3151</v>
      </c>
      <c r="C74" s="90">
        <f>VLOOKUP(A74,'Data Vlaue (Cr)'!C69:CY290,101,0)</f>
        <v>62</v>
      </c>
      <c r="D74" s="139">
        <f>VLOOKUP(A74,'Data Vlaue (Cr)'!C69:CZ290,102,0)</f>
        <v>0.02</v>
      </c>
      <c r="E74" s="91">
        <f>VLOOKUP($A74,'Data Vlaue (Cr)'!$C:$FB,75)</f>
        <v>1951</v>
      </c>
      <c r="F74" s="91">
        <f>VLOOKUP($A74,'Data Vlaue (Cr)'!$C:$FB,77)</f>
        <v>57</v>
      </c>
      <c r="G74" s="92">
        <f>VLOOKUP(A74,'Data Vlaue (Cr)'!C69:CB290,78,0)</f>
        <v>3.0099999999999998E-2</v>
      </c>
      <c r="H74" s="91">
        <f>VLOOKUP($A74,'Data Vlaue (Cr)'!$C:$FB,91)</f>
        <v>686</v>
      </c>
      <c r="I74" s="91">
        <f>VLOOKUP($A74,'Data Vlaue (Cr)'!$C:$FB,93)</f>
        <v>12</v>
      </c>
      <c r="J74" s="92">
        <f>VLOOKUP($A74,'Data Vlaue (Cr)'!$C:$FB,94)</f>
        <v>1.7999999999999999E-2</v>
      </c>
      <c r="K74" s="91">
        <f>VLOOKUP($A74,'Data Vlaue (Cr)'!$C:$FB,95)</f>
        <v>514</v>
      </c>
      <c r="L74" s="91">
        <f>VLOOKUP($A74,'Data Vlaue (Cr)'!$C:$FB,97)</f>
        <v>-7</v>
      </c>
      <c r="M74" s="92">
        <f>VLOOKUP($A74,'Data Vlaue (Cr)'!$C:$FB,98)</f>
        <v>-1.41E-2</v>
      </c>
      <c r="N74" s="91">
        <f>VLOOKUP($A74,'Data Vlaue (Cr)'!$C:$FB,79)</f>
        <v>1795</v>
      </c>
      <c r="O74" s="92">
        <f>VLOOKUP($A74,'Data Vlaue (Cr)'!$C:$FB,82)</f>
        <v>1.17E-2</v>
      </c>
    </row>
    <row r="75" spans="1:15" x14ac:dyDescent="0.25">
      <c r="A75" s="97" t="str">
        <f>'Data Vlaue (Cr)'!C70</f>
        <v>GLENMARK</v>
      </c>
      <c r="B75" s="142">
        <f>VLOOKUP(A75,'Data Vlaue (Cr)'!C70:CW291,99,0)</f>
        <v>2665</v>
      </c>
      <c r="C75" s="90">
        <f>VLOOKUP(A75,'Data Vlaue (Cr)'!C70:CY291,101,0)</f>
        <v>15</v>
      </c>
      <c r="D75" s="139">
        <f>VLOOKUP(A75,'Data Vlaue (Cr)'!C70:CZ291,102,0)</f>
        <v>5.7999999999999996E-3</v>
      </c>
      <c r="E75" s="91">
        <f>VLOOKUP($A75,'Data Vlaue (Cr)'!$C:$FB,75)</f>
        <v>1544</v>
      </c>
      <c r="F75" s="91">
        <f>VLOOKUP($A75,'Data Vlaue (Cr)'!$C:$FB,77)</f>
        <v>4</v>
      </c>
      <c r="G75" s="92">
        <f>VLOOKUP(A75,'Data Vlaue (Cr)'!C70:CB291,78,0)</f>
        <v>2.8E-3</v>
      </c>
      <c r="H75" s="91">
        <f>VLOOKUP($A75,'Data Vlaue (Cr)'!$C:$FB,91)</f>
        <v>765</v>
      </c>
      <c r="I75" s="91">
        <f>VLOOKUP($A75,'Data Vlaue (Cr)'!$C:$FB,93)</f>
        <v>56</v>
      </c>
      <c r="J75" s="92">
        <f>VLOOKUP($A75,'Data Vlaue (Cr)'!$C:$FB,94)</f>
        <v>7.9600000000000004E-2</v>
      </c>
      <c r="K75" s="91">
        <f>VLOOKUP($A75,'Data Vlaue (Cr)'!$C:$FB,95)</f>
        <v>356</v>
      </c>
      <c r="L75" s="91">
        <f>VLOOKUP($A75,'Data Vlaue (Cr)'!$C:$FB,97)</f>
        <v>-45</v>
      </c>
      <c r="M75" s="92">
        <f>VLOOKUP($A75,'Data Vlaue (Cr)'!$C:$FB,98)</f>
        <v>-0.11310000000000001</v>
      </c>
      <c r="N75" s="91">
        <f>VLOOKUP($A75,'Data Vlaue (Cr)'!$C:$FB,79)</f>
        <v>1472</v>
      </c>
      <c r="O75" s="92">
        <f>VLOOKUP($A75,'Data Vlaue (Cr)'!$C:$FB,82)</f>
        <v>-5.3E-3</v>
      </c>
    </row>
    <row r="76" spans="1:15" x14ac:dyDescent="0.25">
      <c r="A76" s="97" t="str">
        <f>'Data Vlaue (Cr)'!C71</f>
        <v>GMRAIRPORT</v>
      </c>
      <c r="B76" s="142">
        <f>VLOOKUP(A76,'Data Vlaue (Cr)'!C71:CW292,99,0)</f>
        <v>2677</v>
      </c>
      <c r="C76" s="90">
        <f>VLOOKUP(A76,'Data Vlaue (Cr)'!C71:CY292,101,0)</f>
        <v>3</v>
      </c>
      <c r="D76" s="139">
        <f>VLOOKUP(A76,'Data Vlaue (Cr)'!C71:CZ292,102,0)</f>
        <v>1.1999999999999999E-3</v>
      </c>
      <c r="E76" s="91">
        <f>VLOOKUP($A76,'Data Vlaue (Cr)'!$C:$FB,75)</f>
        <v>1739</v>
      </c>
      <c r="F76" s="91">
        <f>VLOOKUP($A76,'Data Vlaue (Cr)'!$C:$FB,77)</f>
        <v>-1</v>
      </c>
      <c r="G76" s="92">
        <f>VLOOKUP(A76,'Data Vlaue (Cr)'!C71:CB292,78,0)</f>
        <v>-6.9999999999999999E-4</v>
      </c>
      <c r="H76" s="91">
        <f>VLOOKUP($A76,'Data Vlaue (Cr)'!$C:$FB,91)</f>
        <v>626</v>
      </c>
      <c r="I76" s="91">
        <f>VLOOKUP($A76,'Data Vlaue (Cr)'!$C:$FB,93)</f>
        <v>6</v>
      </c>
      <c r="J76" s="92">
        <f>VLOOKUP($A76,'Data Vlaue (Cr)'!$C:$FB,94)</f>
        <v>9.1000000000000004E-3</v>
      </c>
      <c r="K76" s="91">
        <f>VLOOKUP($A76,'Data Vlaue (Cr)'!$C:$FB,95)</f>
        <v>312</v>
      </c>
      <c r="L76" s="91">
        <f>VLOOKUP($A76,'Data Vlaue (Cr)'!$C:$FB,97)</f>
        <v>-1</v>
      </c>
      <c r="M76" s="92">
        <f>VLOOKUP($A76,'Data Vlaue (Cr)'!$C:$FB,98)</f>
        <v>-3.7000000000000002E-3</v>
      </c>
      <c r="N76" s="91">
        <f>VLOOKUP($A76,'Data Vlaue (Cr)'!$C:$FB,79)</f>
        <v>1600</v>
      </c>
      <c r="O76" s="92">
        <f>VLOOKUP($A76,'Data Vlaue (Cr)'!$C:$FB,82)</f>
        <v>-1.7299999999999999E-2</v>
      </c>
    </row>
    <row r="77" spans="1:15" x14ac:dyDescent="0.25">
      <c r="A77" s="97" t="str">
        <f>'Data Vlaue (Cr)'!C72</f>
        <v>GODREJCP</v>
      </c>
      <c r="B77" s="142">
        <f>VLOOKUP(A77,'Data Vlaue (Cr)'!C72:CW293,99,0)</f>
        <v>1579</v>
      </c>
      <c r="C77" s="90">
        <f>VLOOKUP(A77,'Data Vlaue (Cr)'!C72:CY293,101,0)</f>
        <v>59</v>
      </c>
      <c r="D77" s="139">
        <f>VLOOKUP(A77,'Data Vlaue (Cr)'!C72:CZ293,102,0)</f>
        <v>3.8699999999999998E-2</v>
      </c>
      <c r="E77" s="91">
        <f>VLOOKUP($A77,'Data Vlaue (Cr)'!$C:$FB,75)</f>
        <v>1103</v>
      </c>
      <c r="F77" s="91">
        <f>VLOOKUP($A77,'Data Vlaue (Cr)'!$C:$FB,77)</f>
        <v>31</v>
      </c>
      <c r="G77" s="92">
        <f>VLOOKUP(A77,'Data Vlaue (Cr)'!C72:CB293,78,0)</f>
        <v>2.9100000000000001E-2</v>
      </c>
      <c r="H77" s="91">
        <f>VLOOKUP($A77,'Data Vlaue (Cr)'!$C:$FB,91)</f>
        <v>288</v>
      </c>
      <c r="I77" s="91">
        <f>VLOOKUP($A77,'Data Vlaue (Cr)'!$C:$FB,93)</f>
        <v>10</v>
      </c>
      <c r="J77" s="92">
        <f>VLOOKUP($A77,'Data Vlaue (Cr)'!$C:$FB,94)</f>
        <v>3.4799999999999998E-2</v>
      </c>
      <c r="K77" s="91">
        <f>VLOOKUP($A77,'Data Vlaue (Cr)'!$C:$FB,95)</f>
        <v>188</v>
      </c>
      <c r="L77" s="91">
        <f>VLOOKUP($A77,'Data Vlaue (Cr)'!$C:$FB,97)</f>
        <v>18</v>
      </c>
      <c r="M77" s="92">
        <f>VLOOKUP($A77,'Data Vlaue (Cr)'!$C:$FB,98)</f>
        <v>0.1062</v>
      </c>
      <c r="N77" s="91">
        <f>VLOOKUP($A77,'Data Vlaue (Cr)'!$C:$FB,79)</f>
        <v>1003</v>
      </c>
      <c r="O77" s="92">
        <f>VLOOKUP($A77,'Data Vlaue (Cr)'!$C:$FB,82)</f>
        <v>1.17E-2</v>
      </c>
    </row>
    <row r="78" spans="1:15" x14ac:dyDescent="0.25">
      <c r="A78" s="97" t="str">
        <f>'Data Vlaue (Cr)'!C73</f>
        <v>GODREJPROP</v>
      </c>
      <c r="B78" s="142">
        <f>VLOOKUP(A78,'Data Vlaue (Cr)'!C73:CW294,99,0)</f>
        <v>2787</v>
      </c>
      <c r="C78" s="90">
        <f>VLOOKUP(A78,'Data Vlaue (Cr)'!C73:CY294,101,0)</f>
        <v>25</v>
      </c>
      <c r="D78" s="139">
        <f>VLOOKUP(A78,'Data Vlaue (Cr)'!C73:CZ294,102,0)</f>
        <v>9.1000000000000004E-3</v>
      </c>
      <c r="E78" s="91">
        <f>VLOOKUP($A78,'Data Vlaue (Cr)'!$C:$FB,75)</f>
        <v>1701</v>
      </c>
      <c r="F78" s="91">
        <f>VLOOKUP($A78,'Data Vlaue (Cr)'!$C:$FB,77)</f>
        <v>-17</v>
      </c>
      <c r="G78" s="92">
        <f>VLOOKUP(A78,'Data Vlaue (Cr)'!C73:CB294,78,0)</f>
        <v>-1.0200000000000001E-2</v>
      </c>
      <c r="H78" s="91">
        <f>VLOOKUP($A78,'Data Vlaue (Cr)'!$C:$FB,91)</f>
        <v>671</v>
      </c>
      <c r="I78" s="91">
        <f>VLOOKUP($A78,'Data Vlaue (Cr)'!$C:$FB,93)</f>
        <v>7</v>
      </c>
      <c r="J78" s="92">
        <f>VLOOKUP($A78,'Data Vlaue (Cr)'!$C:$FB,94)</f>
        <v>0.01</v>
      </c>
      <c r="K78" s="91">
        <f>VLOOKUP($A78,'Data Vlaue (Cr)'!$C:$FB,95)</f>
        <v>415</v>
      </c>
      <c r="L78" s="91">
        <f>VLOOKUP($A78,'Data Vlaue (Cr)'!$C:$FB,97)</f>
        <v>36</v>
      </c>
      <c r="M78" s="92">
        <f>VLOOKUP($A78,'Data Vlaue (Cr)'!$C:$FB,98)</f>
        <v>9.4700000000000006E-2</v>
      </c>
      <c r="N78" s="91">
        <f>VLOOKUP($A78,'Data Vlaue (Cr)'!$C:$FB,79)</f>
        <v>1577</v>
      </c>
      <c r="O78" s="92">
        <f>VLOOKUP($A78,'Data Vlaue (Cr)'!$C:$FB,82)</f>
        <v>-1.8499999999999999E-2</v>
      </c>
    </row>
    <row r="79" spans="1:15" x14ac:dyDescent="0.25">
      <c r="A79" s="97" t="str">
        <f>'Data Vlaue (Cr)'!C74</f>
        <v>GRANULES</v>
      </c>
      <c r="B79" s="142">
        <f>VLOOKUP(A79,'Data Vlaue (Cr)'!C74:CW295,99,0)</f>
        <v>759</v>
      </c>
      <c r="C79" s="90">
        <f>VLOOKUP(A79,'Data Vlaue (Cr)'!C74:CY295,101,0)</f>
        <v>-11</v>
      </c>
      <c r="D79" s="139">
        <f>VLOOKUP(A79,'Data Vlaue (Cr)'!C74:CZ295,102,0)</f>
        <v>-1.41E-2</v>
      </c>
      <c r="E79" s="91">
        <f>VLOOKUP($A79,'Data Vlaue (Cr)'!$C:$FB,75)</f>
        <v>469</v>
      </c>
      <c r="F79" s="91">
        <f>VLOOKUP($A79,'Data Vlaue (Cr)'!$C:$FB,77)</f>
        <v>-12</v>
      </c>
      <c r="G79" s="92">
        <f>VLOOKUP(A79,'Data Vlaue (Cr)'!C74:CB295,78,0)</f>
        <v>-2.5399999999999999E-2</v>
      </c>
      <c r="H79" s="91">
        <f>VLOOKUP($A79,'Data Vlaue (Cr)'!$C:$FB,91)</f>
        <v>190</v>
      </c>
      <c r="I79" s="91">
        <f>VLOOKUP($A79,'Data Vlaue (Cr)'!$C:$FB,93)</f>
        <v>-1</v>
      </c>
      <c r="J79" s="92">
        <f>VLOOKUP($A79,'Data Vlaue (Cr)'!$C:$FB,94)</f>
        <v>-7.7999999999999996E-3</v>
      </c>
      <c r="K79" s="91">
        <f>VLOOKUP($A79,'Data Vlaue (Cr)'!$C:$FB,95)</f>
        <v>100</v>
      </c>
      <c r="L79" s="91">
        <f>VLOOKUP($A79,'Data Vlaue (Cr)'!$C:$FB,97)</f>
        <v>3</v>
      </c>
      <c r="M79" s="92">
        <f>VLOOKUP($A79,'Data Vlaue (Cr)'!$C:$FB,98)</f>
        <v>2.9700000000000001E-2</v>
      </c>
      <c r="N79" s="91">
        <f>VLOOKUP($A79,'Data Vlaue (Cr)'!$C:$FB,79)</f>
        <v>469</v>
      </c>
      <c r="O79" s="92">
        <f>VLOOKUP($A79,'Data Vlaue (Cr)'!$C:$FB,82)</f>
        <v>-2.5399999999999999E-2</v>
      </c>
    </row>
    <row r="80" spans="1:15" x14ac:dyDescent="0.25">
      <c r="A80" s="97" t="str">
        <f>'Data Vlaue (Cr)'!C75</f>
        <v>GRASIM</v>
      </c>
      <c r="B80" s="142">
        <f>VLOOKUP(A80,'Data Vlaue (Cr)'!C75:CW296,99,0)</f>
        <v>4884</v>
      </c>
      <c r="C80" s="90">
        <f>VLOOKUP(A80,'Data Vlaue (Cr)'!C75:CY296,101,0)</f>
        <v>-32</v>
      </c>
      <c r="D80" s="139">
        <f>VLOOKUP(A80,'Data Vlaue (Cr)'!C75:CZ296,102,0)</f>
        <v>-6.4999999999999997E-3</v>
      </c>
      <c r="E80" s="91">
        <f>VLOOKUP($A80,'Data Vlaue (Cr)'!$C:$FB,75)</f>
        <v>3856</v>
      </c>
      <c r="F80" s="91">
        <f>VLOOKUP($A80,'Data Vlaue (Cr)'!$C:$FB,77)</f>
        <v>-107</v>
      </c>
      <c r="G80" s="92">
        <f>VLOOKUP(A80,'Data Vlaue (Cr)'!C75:CB296,78,0)</f>
        <v>-2.69E-2</v>
      </c>
      <c r="H80" s="91">
        <f>VLOOKUP($A80,'Data Vlaue (Cr)'!$C:$FB,91)</f>
        <v>596</v>
      </c>
      <c r="I80" s="91">
        <f>VLOOKUP($A80,'Data Vlaue (Cr)'!$C:$FB,93)</f>
        <v>41</v>
      </c>
      <c r="J80" s="92">
        <f>VLOOKUP($A80,'Data Vlaue (Cr)'!$C:$FB,94)</f>
        <v>7.4499999999999997E-2</v>
      </c>
      <c r="K80" s="91">
        <f>VLOOKUP($A80,'Data Vlaue (Cr)'!$C:$FB,95)</f>
        <v>432</v>
      </c>
      <c r="L80" s="91">
        <f>VLOOKUP($A80,'Data Vlaue (Cr)'!$C:$FB,97)</f>
        <v>34</v>
      </c>
      <c r="M80" s="92">
        <f>VLOOKUP($A80,'Data Vlaue (Cr)'!$C:$FB,98)</f>
        <v>8.43E-2</v>
      </c>
      <c r="N80" s="91">
        <f>VLOOKUP($A80,'Data Vlaue (Cr)'!$C:$FB,79)</f>
        <v>3763</v>
      </c>
      <c r="O80" s="92">
        <f>VLOOKUP($A80,'Data Vlaue (Cr)'!$C:$FB,82)</f>
        <v>-3.49E-2</v>
      </c>
    </row>
    <row r="81" spans="1:15" x14ac:dyDescent="0.25">
      <c r="A81" s="97" t="str">
        <f>'Data Vlaue (Cr)'!C76</f>
        <v>HAL</v>
      </c>
      <c r="B81" s="142">
        <f>VLOOKUP(A81,'Data Vlaue (Cr)'!C76:CW297,99,0)</f>
        <v>11339</v>
      </c>
      <c r="C81" s="90">
        <f>VLOOKUP(A81,'Data Vlaue (Cr)'!C76:CY297,101,0)</f>
        <v>2547</v>
      </c>
      <c r="D81" s="139">
        <f>VLOOKUP(A81,'Data Vlaue (Cr)'!C76:CZ297,102,0)</f>
        <v>0.28970000000000001</v>
      </c>
      <c r="E81" s="91">
        <f>VLOOKUP($A81,'Data Vlaue (Cr)'!$C:$FB,75)</f>
        <v>5033</v>
      </c>
      <c r="F81" s="91">
        <f>VLOOKUP($A81,'Data Vlaue (Cr)'!$C:$FB,77)</f>
        <v>372</v>
      </c>
      <c r="G81" s="92">
        <f>VLOOKUP(A81,'Data Vlaue (Cr)'!C76:CB297,78,0)</f>
        <v>7.9799999999999996E-2</v>
      </c>
      <c r="H81" s="91">
        <f>VLOOKUP($A81,'Data Vlaue (Cr)'!$C:$FB,91)</f>
        <v>4203</v>
      </c>
      <c r="I81" s="91">
        <f>VLOOKUP($A81,'Data Vlaue (Cr)'!$C:$FB,93)</f>
        <v>1549</v>
      </c>
      <c r="J81" s="92">
        <f>VLOOKUP($A81,'Data Vlaue (Cr)'!$C:$FB,94)</f>
        <v>0.58379999999999999</v>
      </c>
      <c r="K81" s="91">
        <f>VLOOKUP($A81,'Data Vlaue (Cr)'!$C:$FB,95)</f>
        <v>2102</v>
      </c>
      <c r="L81" s="91">
        <f>VLOOKUP($A81,'Data Vlaue (Cr)'!$C:$FB,97)</f>
        <v>625</v>
      </c>
      <c r="M81" s="92">
        <f>VLOOKUP($A81,'Data Vlaue (Cr)'!$C:$FB,98)</f>
        <v>0.42359999999999998</v>
      </c>
      <c r="N81" s="91">
        <f>VLOOKUP($A81,'Data Vlaue (Cr)'!$C:$FB,79)</f>
        <v>4312</v>
      </c>
      <c r="O81" s="92">
        <f>VLOOKUP($A81,'Data Vlaue (Cr)'!$C:$FB,82)</f>
        <v>2.41E-2</v>
      </c>
    </row>
    <row r="82" spans="1:15" x14ac:dyDescent="0.25">
      <c r="A82" s="97" t="str">
        <f>'Data Vlaue (Cr)'!C77</f>
        <v>HAVELLS</v>
      </c>
      <c r="B82" s="142">
        <f>VLOOKUP(A82,'Data Vlaue (Cr)'!C77:CW298,99,0)</f>
        <v>2193</v>
      </c>
      <c r="C82" s="90">
        <f>VLOOKUP(A82,'Data Vlaue (Cr)'!C77:CY298,101,0)</f>
        <v>11</v>
      </c>
      <c r="D82" s="139">
        <f>VLOOKUP(A82,'Data Vlaue (Cr)'!C77:CZ298,102,0)</f>
        <v>5.1999999999999998E-3</v>
      </c>
      <c r="E82" s="91">
        <f>VLOOKUP($A82,'Data Vlaue (Cr)'!$C:$FB,75)</f>
        <v>1589</v>
      </c>
      <c r="F82" s="91">
        <f>VLOOKUP($A82,'Data Vlaue (Cr)'!$C:$FB,77)</f>
        <v>26</v>
      </c>
      <c r="G82" s="92">
        <f>VLOOKUP(A82,'Data Vlaue (Cr)'!C77:CB298,78,0)</f>
        <v>1.6299999999999999E-2</v>
      </c>
      <c r="H82" s="91">
        <f>VLOOKUP($A82,'Data Vlaue (Cr)'!$C:$FB,91)</f>
        <v>322</v>
      </c>
      <c r="I82" s="91">
        <f>VLOOKUP($A82,'Data Vlaue (Cr)'!$C:$FB,93)</f>
        <v>-7</v>
      </c>
      <c r="J82" s="92">
        <f>VLOOKUP($A82,'Data Vlaue (Cr)'!$C:$FB,94)</f>
        <v>-2.2100000000000002E-2</v>
      </c>
      <c r="K82" s="91">
        <f>VLOOKUP($A82,'Data Vlaue (Cr)'!$C:$FB,95)</f>
        <v>282</v>
      </c>
      <c r="L82" s="91">
        <f>VLOOKUP($A82,'Data Vlaue (Cr)'!$C:$FB,97)</f>
        <v>-7</v>
      </c>
      <c r="M82" s="92">
        <f>VLOOKUP($A82,'Data Vlaue (Cr)'!$C:$FB,98)</f>
        <v>-2.3599999999999999E-2</v>
      </c>
      <c r="N82" s="91">
        <f>VLOOKUP($A82,'Data Vlaue (Cr)'!$C:$FB,79)</f>
        <v>1444</v>
      </c>
      <c r="O82" s="92">
        <f>VLOOKUP($A82,'Data Vlaue (Cr)'!$C:$FB,82)</f>
        <v>-7.1000000000000004E-3</v>
      </c>
    </row>
    <row r="83" spans="1:15" x14ac:dyDescent="0.25">
      <c r="A83" s="97" t="str">
        <f>'Data Vlaue (Cr)'!C78</f>
        <v>HCLTECH</v>
      </c>
      <c r="B83" s="142">
        <f>VLOOKUP(A83,'Data Vlaue (Cr)'!C78:CW299,99,0)</f>
        <v>5192</v>
      </c>
      <c r="C83" s="90">
        <f>VLOOKUP(A83,'Data Vlaue (Cr)'!C78:CY299,101,0)</f>
        <v>509</v>
      </c>
      <c r="D83" s="139">
        <f>VLOOKUP(A83,'Data Vlaue (Cr)'!C78:CZ299,102,0)</f>
        <v>0.1086</v>
      </c>
      <c r="E83" s="91">
        <f>VLOOKUP($A83,'Data Vlaue (Cr)'!$C:$FB,75)</f>
        <v>3045</v>
      </c>
      <c r="F83" s="91">
        <f>VLOOKUP($A83,'Data Vlaue (Cr)'!$C:$FB,77)</f>
        <v>344</v>
      </c>
      <c r="G83" s="92">
        <f>VLOOKUP(A83,'Data Vlaue (Cr)'!C78:CB299,78,0)</f>
        <v>0.1275</v>
      </c>
      <c r="H83" s="91">
        <f>VLOOKUP($A83,'Data Vlaue (Cr)'!$C:$FB,91)</f>
        <v>1310</v>
      </c>
      <c r="I83" s="91">
        <f>VLOOKUP($A83,'Data Vlaue (Cr)'!$C:$FB,93)</f>
        <v>104</v>
      </c>
      <c r="J83" s="92">
        <f>VLOOKUP($A83,'Data Vlaue (Cr)'!$C:$FB,94)</f>
        <v>8.6199999999999999E-2</v>
      </c>
      <c r="K83" s="91">
        <f>VLOOKUP($A83,'Data Vlaue (Cr)'!$C:$FB,95)</f>
        <v>836</v>
      </c>
      <c r="L83" s="91">
        <f>VLOOKUP($A83,'Data Vlaue (Cr)'!$C:$FB,97)</f>
        <v>60</v>
      </c>
      <c r="M83" s="92">
        <f>VLOOKUP($A83,'Data Vlaue (Cr)'!$C:$FB,98)</f>
        <v>7.7700000000000005E-2</v>
      </c>
      <c r="N83" s="91">
        <f>VLOOKUP($A83,'Data Vlaue (Cr)'!$C:$FB,79)</f>
        <v>2535</v>
      </c>
      <c r="O83" s="92">
        <f>VLOOKUP($A83,'Data Vlaue (Cr)'!$C:$FB,82)</f>
        <v>1.83E-2</v>
      </c>
    </row>
    <row r="84" spans="1:15" x14ac:dyDescent="0.25">
      <c r="A84" s="97" t="str">
        <f>'Data Vlaue (Cr)'!C79</f>
        <v>HDFCAMC</v>
      </c>
      <c r="B84" s="142">
        <f>VLOOKUP(A84,'Data Vlaue (Cr)'!C79:CW300,99,0)</f>
        <v>2414</v>
      </c>
      <c r="C84" s="90">
        <f>VLOOKUP(A84,'Data Vlaue (Cr)'!C79:CY300,101,0)</f>
        <v>-6</v>
      </c>
      <c r="D84" s="139">
        <f>VLOOKUP(A84,'Data Vlaue (Cr)'!C79:CZ300,102,0)</f>
        <v>-2.7000000000000001E-3</v>
      </c>
      <c r="E84" s="91">
        <f>VLOOKUP($A84,'Data Vlaue (Cr)'!$C:$FB,75)</f>
        <v>1519</v>
      </c>
      <c r="F84" s="91">
        <f>VLOOKUP($A84,'Data Vlaue (Cr)'!$C:$FB,77)</f>
        <v>-7</v>
      </c>
      <c r="G84" s="92">
        <f>VLOOKUP(A84,'Data Vlaue (Cr)'!C79:CB300,78,0)</f>
        <v>-4.7999999999999996E-3</v>
      </c>
      <c r="H84" s="91">
        <f>VLOOKUP($A84,'Data Vlaue (Cr)'!$C:$FB,91)</f>
        <v>543</v>
      </c>
      <c r="I84" s="91">
        <f>VLOOKUP($A84,'Data Vlaue (Cr)'!$C:$FB,93)</f>
        <v>10</v>
      </c>
      <c r="J84" s="92">
        <f>VLOOKUP($A84,'Data Vlaue (Cr)'!$C:$FB,94)</f>
        <v>1.9E-2</v>
      </c>
      <c r="K84" s="91">
        <f>VLOOKUP($A84,'Data Vlaue (Cr)'!$C:$FB,95)</f>
        <v>352</v>
      </c>
      <c r="L84" s="91">
        <f>VLOOKUP($A84,'Data Vlaue (Cr)'!$C:$FB,97)</f>
        <v>-9</v>
      </c>
      <c r="M84" s="92">
        <f>VLOOKUP($A84,'Data Vlaue (Cr)'!$C:$FB,98)</f>
        <v>-2.5600000000000001E-2</v>
      </c>
      <c r="N84" s="91">
        <f>VLOOKUP($A84,'Data Vlaue (Cr)'!$C:$FB,79)</f>
        <v>1360</v>
      </c>
      <c r="O84" s="92">
        <f>VLOOKUP($A84,'Data Vlaue (Cr)'!$C:$FB,82)</f>
        <v>-1.06E-2</v>
      </c>
    </row>
    <row r="85" spans="1:15" x14ac:dyDescent="0.25">
      <c r="A85" s="97" t="str">
        <f>'Data Vlaue (Cr)'!C80</f>
        <v>HDFCBANK</v>
      </c>
      <c r="B85" s="142">
        <f>VLOOKUP(A85,'Data Vlaue (Cr)'!C80:CW301,99,0)</f>
        <v>29640</v>
      </c>
      <c r="C85" s="90">
        <f>VLOOKUP(A85,'Data Vlaue (Cr)'!C80:CY301,101,0)</f>
        <v>385</v>
      </c>
      <c r="D85" s="139">
        <f>VLOOKUP(A85,'Data Vlaue (Cr)'!C80:CZ301,102,0)</f>
        <v>1.3100000000000001E-2</v>
      </c>
      <c r="E85" s="91">
        <f>VLOOKUP($A85,'Data Vlaue (Cr)'!$C:$FB,75)</f>
        <v>22192</v>
      </c>
      <c r="F85" s="91">
        <f>VLOOKUP($A85,'Data Vlaue (Cr)'!$C:$FB,77)</f>
        <v>39</v>
      </c>
      <c r="G85" s="92">
        <f>VLOOKUP(A85,'Data Vlaue (Cr)'!C80:CB301,78,0)</f>
        <v>1.8E-3</v>
      </c>
      <c r="H85" s="91">
        <f>VLOOKUP($A85,'Data Vlaue (Cr)'!$C:$FB,91)</f>
        <v>4428</v>
      </c>
      <c r="I85" s="91">
        <f>VLOOKUP($A85,'Data Vlaue (Cr)'!$C:$FB,93)</f>
        <v>302</v>
      </c>
      <c r="J85" s="92">
        <f>VLOOKUP($A85,'Data Vlaue (Cr)'!$C:$FB,94)</f>
        <v>7.3300000000000004E-2</v>
      </c>
      <c r="K85" s="91">
        <f>VLOOKUP($A85,'Data Vlaue (Cr)'!$C:$FB,95)</f>
        <v>3020</v>
      </c>
      <c r="L85" s="91">
        <f>VLOOKUP($A85,'Data Vlaue (Cr)'!$C:$FB,97)</f>
        <v>43</v>
      </c>
      <c r="M85" s="92">
        <f>VLOOKUP($A85,'Data Vlaue (Cr)'!$C:$FB,98)</f>
        <v>1.43E-2</v>
      </c>
      <c r="N85" s="91">
        <f>VLOOKUP($A85,'Data Vlaue (Cr)'!$C:$FB,79)</f>
        <v>18198</v>
      </c>
      <c r="O85" s="92">
        <f>VLOOKUP($A85,'Data Vlaue (Cr)'!$C:$FB,82)</f>
        <v>-2.2200000000000001E-2</v>
      </c>
    </row>
    <row r="86" spans="1:15" x14ac:dyDescent="0.25">
      <c r="A86" s="97" t="str">
        <f>'Data Vlaue (Cr)'!C81</f>
        <v>HDFCLIFE</v>
      </c>
      <c r="B86" s="142">
        <f>VLOOKUP(A86,'Data Vlaue (Cr)'!C81:CW302,99,0)</f>
        <v>3898</v>
      </c>
      <c r="C86" s="90">
        <f>VLOOKUP(A86,'Data Vlaue (Cr)'!C81:CY302,101,0)</f>
        <v>28</v>
      </c>
      <c r="D86" s="139">
        <f>VLOOKUP(A86,'Data Vlaue (Cr)'!C81:CZ302,102,0)</f>
        <v>7.3000000000000001E-3</v>
      </c>
      <c r="E86" s="91">
        <f>VLOOKUP($A86,'Data Vlaue (Cr)'!$C:$FB,75)</f>
        <v>2233</v>
      </c>
      <c r="F86" s="91">
        <f>VLOOKUP($A86,'Data Vlaue (Cr)'!$C:$FB,77)</f>
        <v>-14</v>
      </c>
      <c r="G86" s="92">
        <f>VLOOKUP(A86,'Data Vlaue (Cr)'!C81:CB302,78,0)</f>
        <v>-6.1000000000000004E-3</v>
      </c>
      <c r="H86" s="91">
        <f>VLOOKUP($A86,'Data Vlaue (Cr)'!$C:$FB,91)</f>
        <v>868</v>
      </c>
      <c r="I86" s="91">
        <f>VLOOKUP($A86,'Data Vlaue (Cr)'!$C:$FB,93)</f>
        <v>36</v>
      </c>
      <c r="J86" s="92">
        <f>VLOOKUP($A86,'Data Vlaue (Cr)'!$C:$FB,94)</f>
        <v>4.3400000000000001E-2</v>
      </c>
      <c r="K86" s="91">
        <f>VLOOKUP($A86,'Data Vlaue (Cr)'!$C:$FB,95)</f>
        <v>797</v>
      </c>
      <c r="L86" s="91">
        <f>VLOOKUP($A86,'Data Vlaue (Cr)'!$C:$FB,97)</f>
        <v>6</v>
      </c>
      <c r="M86" s="92">
        <f>VLOOKUP($A86,'Data Vlaue (Cr)'!$C:$FB,98)</f>
        <v>7.4000000000000003E-3</v>
      </c>
      <c r="N86" s="91">
        <f>VLOOKUP($A86,'Data Vlaue (Cr)'!$C:$FB,79)</f>
        <v>2128</v>
      </c>
      <c r="O86" s="92">
        <f>VLOOKUP($A86,'Data Vlaue (Cr)'!$C:$FB,82)</f>
        <v>-1.4200000000000001E-2</v>
      </c>
    </row>
    <row r="87" spans="1:15" x14ac:dyDescent="0.25">
      <c r="A87" s="97" t="str">
        <f>'Data Vlaue (Cr)'!C82</f>
        <v>HEROMOTOCO</v>
      </c>
      <c r="B87" s="142">
        <f>VLOOKUP(A87,'Data Vlaue (Cr)'!C82:CW303,99,0)</f>
        <v>8365</v>
      </c>
      <c r="C87" s="90">
        <f>VLOOKUP(A87,'Data Vlaue (Cr)'!C82:CY303,101,0)</f>
        <v>302</v>
      </c>
      <c r="D87" s="139">
        <f>VLOOKUP(A87,'Data Vlaue (Cr)'!C82:CZ303,102,0)</f>
        <v>3.7499999999999999E-2</v>
      </c>
      <c r="E87" s="91">
        <f>VLOOKUP($A87,'Data Vlaue (Cr)'!$C:$FB,75)</f>
        <v>3733</v>
      </c>
      <c r="F87" s="91">
        <f>VLOOKUP($A87,'Data Vlaue (Cr)'!$C:$FB,77)</f>
        <v>86</v>
      </c>
      <c r="G87" s="92">
        <f>VLOOKUP(A87,'Data Vlaue (Cr)'!C82:CB303,78,0)</f>
        <v>2.3699999999999999E-2</v>
      </c>
      <c r="H87" s="91">
        <f>VLOOKUP($A87,'Data Vlaue (Cr)'!$C:$FB,91)</f>
        <v>2388</v>
      </c>
      <c r="I87" s="91">
        <f>VLOOKUP($A87,'Data Vlaue (Cr)'!$C:$FB,93)</f>
        <v>175</v>
      </c>
      <c r="J87" s="92">
        <f>VLOOKUP($A87,'Data Vlaue (Cr)'!$C:$FB,94)</f>
        <v>7.9200000000000007E-2</v>
      </c>
      <c r="K87" s="91">
        <f>VLOOKUP($A87,'Data Vlaue (Cr)'!$C:$FB,95)</f>
        <v>2244</v>
      </c>
      <c r="L87" s="91">
        <f>VLOOKUP($A87,'Data Vlaue (Cr)'!$C:$FB,97)</f>
        <v>41</v>
      </c>
      <c r="M87" s="92">
        <f>VLOOKUP($A87,'Data Vlaue (Cr)'!$C:$FB,98)</f>
        <v>1.8499999999999999E-2</v>
      </c>
      <c r="N87" s="91">
        <f>VLOOKUP($A87,'Data Vlaue (Cr)'!$C:$FB,79)</f>
        <v>3384</v>
      </c>
      <c r="O87" s="92">
        <f>VLOOKUP($A87,'Data Vlaue (Cr)'!$C:$FB,82)</f>
        <v>1.46E-2</v>
      </c>
    </row>
    <row r="88" spans="1:15" x14ac:dyDescent="0.25">
      <c r="A88" s="97" t="str">
        <f>'Data Vlaue (Cr)'!C83</f>
        <v>HFCL</v>
      </c>
      <c r="B88" s="142">
        <f>VLOOKUP(A88,'Data Vlaue (Cr)'!C83:CW304,99,0)</f>
        <v>1091</v>
      </c>
      <c r="C88" s="90">
        <f>VLOOKUP(A88,'Data Vlaue (Cr)'!C83:CY304,101,0)</f>
        <v>0</v>
      </c>
      <c r="D88" s="139">
        <f>VLOOKUP(A88,'Data Vlaue (Cr)'!C83:CZ304,102,0)</f>
        <v>2.0000000000000001E-4</v>
      </c>
      <c r="E88" s="91">
        <f>VLOOKUP($A88,'Data Vlaue (Cr)'!$C:$FB,75)</f>
        <v>721</v>
      </c>
      <c r="F88" s="91">
        <f>VLOOKUP($A88,'Data Vlaue (Cr)'!$C:$FB,77)</f>
        <v>6</v>
      </c>
      <c r="G88" s="92">
        <f>VLOOKUP(A88,'Data Vlaue (Cr)'!C83:CB304,78,0)</f>
        <v>7.9000000000000008E-3</v>
      </c>
      <c r="H88" s="91">
        <f>VLOOKUP($A88,'Data Vlaue (Cr)'!$C:$FB,91)</f>
        <v>236</v>
      </c>
      <c r="I88" s="91">
        <f>VLOOKUP($A88,'Data Vlaue (Cr)'!$C:$FB,93)</f>
        <v>-8</v>
      </c>
      <c r="J88" s="92">
        <f>VLOOKUP($A88,'Data Vlaue (Cr)'!$C:$FB,94)</f>
        <v>-3.1800000000000002E-2</v>
      </c>
      <c r="K88" s="91">
        <f>VLOOKUP($A88,'Data Vlaue (Cr)'!$C:$FB,95)</f>
        <v>135</v>
      </c>
      <c r="L88" s="91">
        <f>VLOOKUP($A88,'Data Vlaue (Cr)'!$C:$FB,97)</f>
        <v>2</v>
      </c>
      <c r="M88" s="92">
        <f>VLOOKUP($A88,'Data Vlaue (Cr)'!$C:$FB,98)</f>
        <v>1.7600000000000001E-2</v>
      </c>
      <c r="N88" s="91">
        <f>VLOOKUP($A88,'Data Vlaue (Cr)'!$C:$FB,79)</f>
        <v>641</v>
      </c>
      <c r="O88" s="92">
        <f>VLOOKUP($A88,'Data Vlaue (Cr)'!$C:$FB,82)</f>
        <v>-7.9000000000000008E-3</v>
      </c>
    </row>
    <row r="89" spans="1:15" x14ac:dyDescent="0.25">
      <c r="A89" s="97" t="str">
        <f>'Data Vlaue (Cr)'!C84</f>
        <v>HINDALCO</v>
      </c>
      <c r="B89" s="142">
        <f>VLOOKUP(A89,'Data Vlaue (Cr)'!C84:CW305,99,0)</f>
        <v>5909</v>
      </c>
      <c r="C89" s="90">
        <f>VLOOKUP(A89,'Data Vlaue (Cr)'!C84:CY305,101,0)</f>
        <v>45</v>
      </c>
      <c r="D89" s="139">
        <f>VLOOKUP(A89,'Data Vlaue (Cr)'!C84:CZ305,102,0)</f>
        <v>7.7000000000000002E-3</v>
      </c>
      <c r="E89" s="91">
        <f>VLOOKUP($A89,'Data Vlaue (Cr)'!$C:$FB,75)</f>
        <v>3770</v>
      </c>
      <c r="F89" s="91">
        <f>VLOOKUP($A89,'Data Vlaue (Cr)'!$C:$FB,77)</f>
        <v>90</v>
      </c>
      <c r="G89" s="92">
        <f>VLOOKUP(A89,'Data Vlaue (Cr)'!C84:CB305,78,0)</f>
        <v>2.4500000000000001E-2</v>
      </c>
      <c r="H89" s="91">
        <f>VLOOKUP($A89,'Data Vlaue (Cr)'!$C:$FB,91)</f>
        <v>1273</v>
      </c>
      <c r="I89" s="91">
        <f>VLOOKUP($A89,'Data Vlaue (Cr)'!$C:$FB,93)</f>
        <v>16</v>
      </c>
      <c r="J89" s="92">
        <f>VLOOKUP($A89,'Data Vlaue (Cr)'!$C:$FB,94)</f>
        <v>1.24E-2</v>
      </c>
      <c r="K89" s="91">
        <f>VLOOKUP($A89,'Data Vlaue (Cr)'!$C:$FB,95)</f>
        <v>865</v>
      </c>
      <c r="L89" s="91">
        <f>VLOOKUP($A89,'Data Vlaue (Cr)'!$C:$FB,97)</f>
        <v>-61</v>
      </c>
      <c r="M89" s="92">
        <f>VLOOKUP($A89,'Data Vlaue (Cr)'!$C:$FB,98)</f>
        <v>-6.5600000000000006E-2</v>
      </c>
      <c r="N89" s="91">
        <f>VLOOKUP($A89,'Data Vlaue (Cr)'!$C:$FB,79)</f>
        <v>3208</v>
      </c>
      <c r="O89" s="92">
        <f>VLOOKUP($A89,'Data Vlaue (Cr)'!$C:$FB,82)</f>
        <v>8.8999999999999999E-3</v>
      </c>
    </row>
    <row r="90" spans="1:15" x14ac:dyDescent="0.25">
      <c r="A90" s="97" t="str">
        <f>'Data Vlaue (Cr)'!C85</f>
        <v>HINDPETRO</v>
      </c>
      <c r="B90" s="142">
        <f>VLOOKUP(A90,'Data Vlaue (Cr)'!C85:CW306,99,0)</f>
        <v>3279</v>
      </c>
      <c r="C90" s="90">
        <f>VLOOKUP(A90,'Data Vlaue (Cr)'!C85:CY306,101,0)</f>
        <v>-74</v>
      </c>
      <c r="D90" s="139">
        <f>VLOOKUP(A90,'Data Vlaue (Cr)'!C85:CZ306,102,0)</f>
        <v>-2.2100000000000002E-2</v>
      </c>
      <c r="E90" s="91">
        <f>VLOOKUP($A90,'Data Vlaue (Cr)'!$C:$FB,75)</f>
        <v>2058</v>
      </c>
      <c r="F90" s="91">
        <f>VLOOKUP($A90,'Data Vlaue (Cr)'!$C:$FB,77)</f>
        <v>-15</v>
      </c>
      <c r="G90" s="92">
        <f>VLOOKUP(A90,'Data Vlaue (Cr)'!C85:CB306,78,0)</f>
        <v>-7.1000000000000004E-3</v>
      </c>
      <c r="H90" s="91">
        <f>VLOOKUP($A90,'Data Vlaue (Cr)'!$C:$FB,91)</f>
        <v>783</v>
      </c>
      <c r="I90" s="91">
        <f>VLOOKUP($A90,'Data Vlaue (Cr)'!$C:$FB,93)</f>
        <v>-49</v>
      </c>
      <c r="J90" s="92">
        <f>VLOOKUP($A90,'Data Vlaue (Cr)'!$C:$FB,94)</f>
        <v>-5.9200000000000003E-2</v>
      </c>
      <c r="K90" s="91">
        <f>VLOOKUP($A90,'Data Vlaue (Cr)'!$C:$FB,95)</f>
        <v>438</v>
      </c>
      <c r="L90" s="91">
        <f>VLOOKUP($A90,'Data Vlaue (Cr)'!$C:$FB,97)</f>
        <v>-10</v>
      </c>
      <c r="M90" s="92">
        <f>VLOOKUP($A90,'Data Vlaue (Cr)'!$C:$FB,98)</f>
        <v>-2.2800000000000001E-2</v>
      </c>
      <c r="N90" s="91">
        <f>VLOOKUP($A90,'Data Vlaue (Cr)'!$C:$FB,79)</f>
        <v>1932</v>
      </c>
      <c r="O90" s="92">
        <f>VLOOKUP($A90,'Data Vlaue (Cr)'!$C:$FB,82)</f>
        <v>-2.1999999999999999E-2</v>
      </c>
    </row>
    <row r="91" spans="1:15" x14ac:dyDescent="0.25">
      <c r="A91" s="97" t="str">
        <f>'Data Vlaue (Cr)'!C86</f>
        <v>HINDUNILVR</v>
      </c>
      <c r="B91" s="142">
        <f>VLOOKUP(A91,'Data Vlaue (Cr)'!C86:CW307,99,0)</f>
        <v>7933</v>
      </c>
      <c r="C91" s="90">
        <f>VLOOKUP(A91,'Data Vlaue (Cr)'!C86:CY307,101,0)</f>
        <v>461</v>
      </c>
      <c r="D91" s="139">
        <f>VLOOKUP(A91,'Data Vlaue (Cr)'!C86:CZ307,102,0)</f>
        <v>6.1699999999999998E-2</v>
      </c>
      <c r="E91" s="91">
        <f>VLOOKUP($A91,'Data Vlaue (Cr)'!$C:$FB,75)</f>
        <v>4252</v>
      </c>
      <c r="F91" s="91">
        <f>VLOOKUP($A91,'Data Vlaue (Cr)'!$C:$FB,77)</f>
        <v>148</v>
      </c>
      <c r="G91" s="92">
        <f>VLOOKUP(A91,'Data Vlaue (Cr)'!C86:CB307,78,0)</f>
        <v>3.5999999999999997E-2</v>
      </c>
      <c r="H91" s="91">
        <f>VLOOKUP($A91,'Data Vlaue (Cr)'!$C:$FB,91)</f>
        <v>2176</v>
      </c>
      <c r="I91" s="91">
        <f>VLOOKUP($A91,'Data Vlaue (Cr)'!$C:$FB,93)</f>
        <v>-32</v>
      </c>
      <c r="J91" s="92">
        <f>VLOOKUP($A91,'Data Vlaue (Cr)'!$C:$FB,94)</f>
        <v>-1.44E-2</v>
      </c>
      <c r="K91" s="91">
        <f>VLOOKUP($A91,'Data Vlaue (Cr)'!$C:$FB,95)</f>
        <v>1505</v>
      </c>
      <c r="L91" s="91">
        <f>VLOOKUP($A91,'Data Vlaue (Cr)'!$C:$FB,97)</f>
        <v>345</v>
      </c>
      <c r="M91" s="92">
        <f>VLOOKUP($A91,'Data Vlaue (Cr)'!$C:$FB,98)</f>
        <v>0.29799999999999999</v>
      </c>
      <c r="N91" s="91">
        <f>VLOOKUP($A91,'Data Vlaue (Cr)'!$C:$FB,79)</f>
        <v>3866</v>
      </c>
      <c r="O91" s="92">
        <f>VLOOKUP($A91,'Data Vlaue (Cr)'!$C:$FB,82)</f>
        <v>1.17E-2</v>
      </c>
    </row>
    <row r="92" spans="1:15" x14ac:dyDescent="0.25">
      <c r="A92" s="97" t="str">
        <f>'Data Vlaue (Cr)'!C87</f>
        <v>HINDZINC</v>
      </c>
      <c r="B92" s="142">
        <f>VLOOKUP(A92,'Data Vlaue (Cr)'!C87:CW308,99,0)</f>
        <v>1979</v>
      </c>
      <c r="C92" s="90">
        <f>VLOOKUP(A92,'Data Vlaue (Cr)'!C87:CY308,101,0)</f>
        <v>31</v>
      </c>
      <c r="D92" s="139">
        <f>VLOOKUP(A92,'Data Vlaue (Cr)'!C87:CZ308,102,0)</f>
        <v>1.5699999999999999E-2</v>
      </c>
      <c r="E92" s="91">
        <f>VLOOKUP($A92,'Data Vlaue (Cr)'!$C:$FB,75)</f>
        <v>1286</v>
      </c>
      <c r="F92" s="91">
        <f>VLOOKUP($A92,'Data Vlaue (Cr)'!$C:$FB,77)</f>
        <v>2</v>
      </c>
      <c r="G92" s="92">
        <f>VLOOKUP(A92,'Data Vlaue (Cr)'!C87:CB308,78,0)</f>
        <v>1.8E-3</v>
      </c>
      <c r="H92" s="91">
        <f>VLOOKUP($A92,'Data Vlaue (Cr)'!$C:$FB,91)</f>
        <v>431</v>
      </c>
      <c r="I92" s="91">
        <f>VLOOKUP($A92,'Data Vlaue (Cr)'!$C:$FB,93)</f>
        <v>9</v>
      </c>
      <c r="J92" s="92">
        <f>VLOOKUP($A92,'Data Vlaue (Cr)'!$C:$FB,94)</f>
        <v>2.1999999999999999E-2</v>
      </c>
      <c r="K92" s="91">
        <f>VLOOKUP($A92,'Data Vlaue (Cr)'!$C:$FB,95)</f>
        <v>263</v>
      </c>
      <c r="L92" s="91">
        <f>VLOOKUP($A92,'Data Vlaue (Cr)'!$C:$FB,97)</f>
        <v>19</v>
      </c>
      <c r="M92" s="92">
        <f>VLOOKUP($A92,'Data Vlaue (Cr)'!$C:$FB,98)</f>
        <v>7.8399999999999997E-2</v>
      </c>
      <c r="N92" s="91">
        <f>VLOOKUP($A92,'Data Vlaue (Cr)'!$C:$FB,79)</f>
        <v>1182</v>
      </c>
      <c r="O92" s="92">
        <f>VLOOKUP($A92,'Data Vlaue (Cr)'!$C:$FB,82)</f>
        <v>-2.1600000000000001E-2</v>
      </c>
    </row>
    <row r="93" spans="1:15" x14ac:dyDescent="0.25">
      <c r="A93" s="97" t="str">
        <f>'Data Vlaue (Cr)'!C88</f>
        <v>HUDCO</v>
      </c>
      <c r="B93" s="142">
        <f>VLOOKUP(A93,'Data Vlaue (Cr)'!C88:CW309,99,0)</f>
        <v>1257</v>
      </c>
      <c r="C93" s="90">
        <f>VLOOKUP(A93,'Data Vlaue (Cr)'!C88:CY309,101,0)</f>
        <v>32</v>
      </c>
      <c r="D93" s="139">
        <f>VLOOKUP(A93,'Data Vlaue (Cr)'!C88:CZ309,102,0)</f>
        <v>2.64E-2</v>
      </c>
      <c r="E93" s="91">
        <f>VLOOKUP($A93,'Data Vlaue (Cr)'!$C:$FB,75)</f>
        <v>783</v>
      </c>
      <c r="F93" s="91">
        <f>VLOOKUP($A93,'Data Vlaue (Cr)'!$C:$FB,77)</f>
        <v>28</v>
      </c>
      <c r="G93" s="92">
        <f>VLOOKUP(A93,'Data Vlaue (Cr)'!C88:CB309,78,0)</f>
        <v>3.7699999999999997E-2</v>
      </c>
      <c r="H93" s="91">
        <f>VLOOKUP($A93,'Data Vlaue (Cr)'!$C:$FB,91)</f>
        <v>297</v>
      </c>
      <c r="I93" s="91">
        <f>VLOOKUP($A93,'Data Vlaue (Cr)'!$C:$FB,93)</f>
        <v>10</v>
      </c>
      <c r="J93" s="92">
        <f>VLOOKUP($A93,'Data Vlaue (Cr)'!$C:$FB,94)</f>
        <v>3.4799999999999998E-2</v>
      </c>
      <c r="K93" s="91">
        <f>VLOOKUP($A93,'Data Vlaue (Cr)'!$C:$FB,95)</f>
        <v>177</v>
      </c>
      <c r="L93" s="91">
        <f>VLOOKUP($A93,'Data Vlaue (Cr)'!$C:$FB,97)</f>
        <v>-6</v>
      </c>
      <c r="M93" s="92">
        <f>VLOOKUP($A93,'Data Vlaue (Cr)'!$C:$FB,98)</f>
        <v>-3.32E-2</v>
      </c>
      <c r="N93" s="91">
        <f>VLOOKUP($A93,'Data Vlaue (Cr)'!$C:$FB,79)</f>
        <v>700</v>
      </c>
      <c r="O93" s="92">
        <f>VLOOKUP($A93,'Data Vlaue (Cr)'!$C:$FB,82)</f>
        <v>1.78E-2</v>
      </c>
    </row>
    <row r="94" spans="1:15" x14ac:dyDescent="0.25">
      <c r="A94" s="97" t="str">
        <f>'Data Vlaue (Cr)'!C89</f>
        <v>ICICIBANK</v>
      </c>
      <c r="B94" s="142">
        <f>VLOOKUP(A94,'Data Vlaue (Cr)'!C89:CW310,99,0)</f>
        <v>20696</v>
      </c>
      <c r="C94" s="90">
        <f>VLOOKUP(A94,'Data Vlaue (Cr)'!C89:CY310,101,0)</f>
        <v>281</v>
      </c>
      <c r="D94" s="139">
        <f>VLOOKUP(A94,'Data Vlaue (Cr)'!C89:CZ310,102,0)</f>
        <v>1.37E-2</v>
      </c>
      <c r="E94" s="91">
        <f>VLOOKUP($A94,'Data Vlaue (Cr)'!$C:$FB,75)</f>
        <v>15191</v>
      </c>
      <c r="F94" s="91">
        <f>VLOOKUP($A94,'Data Vlaue (Cr)'!$C:$FB,77)</f>
        <v>64</v>
      </c>
      <c r="G94" s="92">
        <f>VLOOKUP(A94,'Data Vlaue (Cr)'!C89:CB310,78,0)</f>
        <v>4.1999999999999997E-3</v>
      </c>
      <c r="H94" s="91">
        <f>VLOOKUP($A94,'Data Vlaue (Cr)'!$C:$FB,91)</f>
        <v>3484</v>
      </c>
      <c r="I94" s="91">
        <f>VLOOKUP($A94,'Data Vlaue (Cr)'!$C:$FB,93)</f>
        <v>208</v>
      </c>
      <c r="J94" s="92">
        <f>VLOOKUP($A94,'Data Vlaue (Cr)'!$C:$FB,94)</f>
        <v>6.3399999999999998E-2</v>
      </c>
      <c r="K94" s="91">
        <f>VLOOKUP($A94,'Data Vlaue (Cr)'!$C:$FB,95)</f>
        <v>2021</v>
      </c>
      <c r="L94" s="91">
        <f>VLOOKUP($A94,'Data Vlaue (Cr)'!$C:$FB,97)</f>
        <v>9</v>
      </c>
      <c r="M94" s="92">
        <f>VLOOKUP($A94,'Data Vlaue (Cr)'!$C:$FB,98)</f>
        <v>4.4999999999999997E-3</v>
      </c>
      <c r="N94" s="91">
        <f>VLOOKUP($A94,'Data Vlaue (Cr)'!$C:$FB,79)</f>
        <v>13270</v>
      </c>
      <c r="O94" s="92">
        <f>VLOOKUP($A94,'Data Vlaue (Cr)'!$C:$FB,82)</f>
        <v>-2.6700000000000002E-2</v>
      </c>
    </row>
    <row r="95" spans="1:15" x14ac:dyDescent="0.25">
      <c r="A95" s="97" t="str">
        <f>'Data Vlaue (Cr)'!C90</f>
        <v>ICICIGI</v>
      </c>
      <c r="B95" s="142">
        <f>VLOOKUP(A95,'Data Vlaue (Cr)'!C90:CW311,99,0)</f>
        <v>1253</v>
      </c>
      <c r="C95" s="90">
        <f>VLOOKUP(A95,'Data Vlaue (Cr)'!C90:CY311,101,0)</f>
        <v>30</v>
      </c>
      <c r="D95" s="139">
        <f>VLOOKUP(A95,'Data Vlaue (Cr)'!C90:CZ311,102,0)</f>
        <v>2.4400000000000002E-2</v>
      </c>
      <c r="E95" s="91">
        <f>VLOOKUP($A95,'Data Vlaue (Cr)'!$C:$FB,75)</f>
        <v>1003</v>
      </c>
      <c r="F95" s="91">
        <f>VLOOKUP($A95,'Data Vlaue (Cr)'!$C:$FB,77)</f>
        <v>15</v>
      </c>
      <c r="G95" s="92">
        <f>VLOOKUP(A95,'Data Vlaue (Cr)'!C90:CB311,78,0)</f>
        <v>1.52E-2</v>
      </c>
      <c r="H95" s="91">
        <f>VLOOKUP($A95,'Data Vlaue (Cr)'!$C:$FB,91)</f>
        <v>140</v>
      </c>
      <c r="I95" s="91">
        <f>VLOOKUP($A95,'Data Vlaue (Cr)'!$C:$FB,93)</f>
        <v>15</v>
      </c>
      <c r="J95" s="92">
        <f>VLOOKUP($A95,'Data Vlaue (Cr)'!$C:$FB,94)</f>
        <v>0.12379999999999999</v>
      </c>
      <c r="K95" s="91">
        <f>VLOOKUP($A95,'Data Vlaue (Cr)'!$C:$FB,95)</f>
        <v>110</v>
      </c>
      <c r="L95" s="91">
        <f>VLOOKUP($A95,'Data Vlaue (Cr)'!$C:$FB,97)</f>
        <v>-1</v>
      </c>
      <c r="M95" s="92">
        <f>VLOOKUP($A95,'Data Vlaue (Cr)'!$C:$FB,98)</f>
        <v>-5.7999999999999996E-3</v>
      </c>
      <c r="N95" s="91">
        <f>VLOOKUP($A95,'Data Vlaue (Cr)'!$C:$FB,79)</f>
        <v>987</v>
      </c>
      <c r="O95" s="92">
        <f>VLOOKUP($A95,'Data Vlaue (Cr)'!$C:$FB,82)</f>
        <v>1.18E-2</v>
      </c>
    </row>
    <row r="96" spans="1:15" x14ac:dyDescent="0.25">
      <c r="A96" s="97" t="str">
        <f>'Data Vlaue (Cr)'!C91</f>
        <v>ICICIPRULI</v>
      </c>
      <c r="B96" s="142">
        <f>VLOOKUP(A96,'Data Vlaue (Cr)'!C91:CW312,99,0)</f>
        <v>1129</v>
      </c>
      <c r="C96" s="90">
        <f>VLOOKUP(A96,'Data Vlaue (Cr)'!C91:CY312,101,0)</f>
        <v>15</v>
      </c>
      <c r="D96" s="139">
        <f>VLOOKUP(A96,'Data Vlaue (Cr)'!C91:CZ312,102,0)</f>
        <v>1.37E-2</v>
      </c>
      <c r="E96" s="91">
        <f>VLOOKUP($A96,'Data Vlaue (Cr)'!$C:$FB,75)</f>
        <v>817</v>
      </c>
      <c r="F96" s="91">
        <f>VLOOKUP($A96,'Data Vlaue (Cr)'!$C:$FB,77)</f>
        <v>10</v>
      </c>
      <c r="G96" s="92">
        <f>VLOOKUP(A96,'Data Vlaue (Cr)'!C91:CB312,78,0)</f>
        <v>1.24E-2</v>
      </c>
      <c r="H96" s="91">
        <f>VLOOKUP($A96,'Data Vlaue (Cr)'!$C:$FB,91)</f>
        <v>181</v>
      </c>
      <c r="I96" s="91">
        <f>VLOOKUP($A96,'Data Vlaue (Cr)'!$C:$FB,93)</f>
        <v>-1</v>
      </c>
      <c r="J96" s="92">
        <f>VLOOKUP($A96,'Data Vlaue (Cr)'!$C:$FB,94)</f>
        <v>-4.4999999999999997E-3</v>
      </c>
      <c r="K96" s="91">
        <f>VLOOKUP($A96,'Data Vlaue (Cr)'!$C:$FB,95)</f>
        <v>130</v>
      </c>
      <c r="L96" s="91">
        <f>VLOOKUP($A96,'Data Vlaue (Cr)'!$C:$FB,97)</f>
        <v>6</v>
      </c>
      <c r="M96" s="92">
        <f>VLOOKUP($A96,'Data Vlaue (Cr)'!$C:$FB,98)</f>
        <v>4.8599999999999997E-2</v>
      </c>
      <c r="N96" s="91">
        <f>VLOOKUP($A96,'Data Vlaue (Cr)'!$C:$FB,79)</f>
        <v>792</v>
      </c>
      <c r="O96" s="92">
        <f>VLOOKUP($A96,'Data Vlaue (Cr)'!$C:$FB,82)</f>
        <v>4.7000000000000002E-3</v>
      </c>
    </row>
    <row r="97" spans="1:15" x14ac:dyDescent="0.25">
      <c r="A97" s="97" t="str">
        <f>'Data Vlaue (Cr)'!C92</f>
        <v>IDEA</v>
      </c>
      <c r="B97" s="142">
        <f>VLOOKUP(A97,'Data Vlaue (Cr)'!C92:CW313,99,0)</f>
        <v>5189</v>
      </c>
      <c r="C97" s="90">
        <f>VLOOKUP(A97,'Data Vlaue (Cr)'!C92:CY313,101,0)</f>
        <v>36</v>
      </c>
      <c r="D97" s="139">
        <f>VLOOKUP(A97,'Data Vlaue (Cr)'!C92:CZ313,102,0)</f>
        <v>7.0000000000000001E-3</v>
      </c>
      <c r="E97" s="91">
        <f>VLOOKUP($A97,'Data Vlaue (Cr)'!$C:$FB,75)</f>
        <v>3754</v>
      </c>
      <c r="F97" s="91">
        <f>VLOOKUP($A97,'Data Vlaue (Cr)'!$C:$FB,77)</f>
        <v>40</v>
      </c>
      <c r="G97" s="92">
        <f>VLOOKUP(A97,'Data Vlaue (Cr)'!C92:CB313,78,0)</f>
        <v>1.09E-2</v>
      </c>
      <c r="H97" s="91">
        <f>VLOOKUP($A97,'Data Vlaue (Cr)'!$C:$FB,91)</f>
        <v>955</v>
      </c>
      <c r="I97" s="91">
        <f>VLOOKUP($A97,'Data Vlaue (Cr)'!$C:$FB,93)</f>
        <v>-5</v>
      </c>
      <c r="J97" s="92">
        <f>VLOOKUP($A97,'Data Vlaue (Cr)'!$C:$FB,94)</f>
        <v>-4.8999999999999998E-3</v>
      </c>
      <c r="K97" s="91">
        <f>VLOOKUP($A97,'Data Vlaue (Cr)'!$C:$FB,95)</f>
        <v>480</v>
      </c>
      <c r="L97" s="91">
        <f>VLOOKUP($A97,'Data Vlaue (Cr)'!$C:$FB,97)</f>
        <v>0</v>
      </c>
      <c r="M97" s="92">
        <f>VLOOKUP($A97,'Data Vlaue (Cr)'!$C:$FB,98)</f>
        <v>8.9999999999999998E-4</v>
      </c>
      <c r="N97" s="91">
        <f>VLOOKUP($A97,'Data Vlaue (Cr)'!$C:$FB,79)</f>
        <v>2997</v>
      </c>
      <c r="O97" s="92">
        <f>VLOOKUP($A97,'Data Vlaue (Cr)'!$C:$FB,82)</f>
        <v>-1.9300000000000001E-2</v>
      </c>
    </row>
    <row r="98" spans="1:15" x14ac:dyDescent="0.25">
      <c r="A98" s="97" t="str">
        <f>'Data Vlaue (Cr)'!C93</f>
        <v>IDFCFIRSTB</v>
      </c>
      <c r="B98" s="142">
        <f>VLOOKUP(A98,'Data Vlaue (Cr)'!C93:CW314,99,0)</f>
        <v>4189</v>
      </c>
      <c r="C98" s="90">
        <f>VLOOKUP(A98,'Data Vlaue (Cr)'!C93:CY314,101,0)</f>
        <v>41</v>
      </c>
      <c r="D98" s="139">
        <f>VLOOKUP(A98,'Data Vlaue (Cr)'!C93:CZ314,102,0)</f>
        <v>0.01</v>
      </c>
      <c r="E98" s="91">
        <f>VLOOKUP($A98,'Data Vlaue (Cr)'!$C:$FB,75)</f>
        <v>2966</v>
      </c>
      <c r="F98" s="91">
        <f>VLOOKUP($A98,'Data Vlaue (Cr)'!$C:$FB,77)</f>
        <v>39</v>
      </c>
      <c r="G98" s="92">
        <f>VLOOKUP(A98,'Data Vlaue (Cr)'!C93:CB314,78,0)</f>
        <v>1.34E-2</v>
      </c>
      <c r="H98" s="91">
        <f>VLOOKUP($A98,'Data Vlaue (Cr)'!$C:$FB,91)</f>
        <v>688</v>
      </c>
      <c r="I98" s="91">
        <f>VLOOKUP($A98,'Data Vlaue (Cr)'!$C:$FB,93)</f>
        <v>15</v>
      </c>
      <c r="J98" s="92">
        <f>VLOOKUP($A98,'Data Vlaue (Cr)'!$C:$FB,94)</f>
        <v>2.2800000000000001E-2</v>
      </c>
      <c r="K98" s="91">
        <f>VLOOKUP($A98,'Data Vlaue (Cr)'!$C:$FB,95)</f>
        <v>535</v>
      </c>
      <c r="L98" s="91">
        <f>VLOOKUP($A98,'Data Vlaue (Cr)'!$C:$FB,97)</f>
        <v>-13</v>
      </c>
      <c r="M98" s="92">
        <f>VLOOKUP($A98,'Data Vlaue (Cr)'!$C:$FB,98)</f>
        <v>-2.4199999999999999E-2</v>
      </c>
      <c r="N98" s="91">
        <f>VLOOKUP($A98,'Data Vlaue (Cr)'!$C:$FB,79)</f>
        <v>2650</v>
      </c>
      <c r="O98" s="92">
        <f>VLOOKUP($A98,'Data Vlaue (Cr)'!$C:$FB,82)</f>
        <v>-1.6899999999999998E-2</v>
      </c>
    </row>
    <row r="99" spans="1:15" x14ac:dyDescent="0.25">
      <c r="A99" s="97" t="str">
        <f>'Data Vlaue (Cr)'!C94</f>
        <v>IEX</v>
      </c>
      <c r="B99" s="142">
        <f>VLOOKUP(A99,'Data Vlaue (Cr)'!C94:CW315,99,0)</f>
        <v>1762</v>
      </c>
      <c r="C99" s="90">
        <f>VLOOKUP(A99,'Data Vlaue (Cr)'!C94:CY315,101,0)</f>
        <v>-14</v>
      </c>
      <c r="D99" s="139">
        <f>VLOOKUP(A99,'Data Vlaue (Cr)'!C94:CZ315,102,0)</f>
        <v>-7.9000000000000008E-3</v>
      </c>
      <c r="E99" s="91">
        <f>VLOOKUP($A99,'Data Vlaue (Cr)'!$C:$FB,75)</f>
        <v>678</v>
      </c>
      <c r="F99" s="91">
        <f>VLOOKUP($A99,'Data Vlaue (Cr)'!$C:$FB,77)</f>
        <v>6</v>
      </c>
      <c r="G99" s="92">
        <f>VLOOKUP(A99,'Data Vlaue (Cr)'!C94:CB315,78,0)</f>
        <v>8.3000000000000001E-3</v>
      </c>
      <c r="H99" s="91">
        <f>VLOOKUP($A99,'Data Vlaue (Cr)'!$C:$FB,91)</f>
        <v>620</v>
      </c>
      <c r="I99" s="91">
        <f>VLOOKUP($A99,'Data Vlaue (Cr)'!$C:$FB,93)</f>
        <v>-21</v>
      </c>
      <c r="J99" s="92">
        <f>VLOOKUP($A99,'Data Vlaue (Cr)'!$C:$FB,94)</f>
        <v>-3.3399999999999999E-2</v>
      </c>
      <c r="K99" s="91">
        <f>VLOOKUP($A99,'Data Vlaue (Cr)'!$C:$FB,95)</f>
        <v>464</v>
      </c>
      <c r="L99" s="91">
        <f>VLOOKUP($A99,'Data Vlaue (Cr)'!$C:$FB,97)</f>
        <v>2</v>
      </c>
      <c r="M99" s="92">
        <f>VLOOKUP($A99,'Data Vlaue (Cr)'!$C:$FB,98)</f>
        <v>4.1000000000000003E-3</v>
      </c>
      <c r="N99" s="91">
        <f>VLOOKUP($A99,'Data Vlaue (Cr)'!$C:$FB,79)</f>
        <v>589</v>
      </c>
      <c r="O99" s="92">
        <f>VLOOKUP($A99,'Data Vlaue (Cr)'!$C:$FB,82)</f>
        <v>-1.5100000000000001E-2</v>
      </c>
    </row>
    <row r="100" spans="1:15" x14ac:dyDescent="0.25">
      <c r="A100" s="97" t="str">
        <f>'Data Vlaue (Cr)'!C95</f>
        <v>IGL</v>
      </c>
      <c r="B100" s="142">
        <f>VLOOKUP(A100,'Data Vlaue (Cr)'!C95:CW316,99,0)</f>
        <v>687</v>
      </c>
      <c r="C100" s="90">
        <f>VLOOKUP(A100,'Data Vlaue (Cr)'!C95:CY316,101,0)</f>
        <v>29</v>
      </c>
      <c r="D100" s="139">
        <f>VLOOKUP(A100,'Data Vlaue (Cr)'!C95:CZ316,102,0)</f>
        <v>4.3700000000000003E-2</v>
      </c>
      <c r="E100" s="91">
        <f>VLOOKUP($A100,'Data Vlaue (Cr)'!$C:$FB,75)</f>
        <v>394</v>
      </c>
      <c r="F100" s="91">
        <f>VLOOKUP($A100,'Data Vlaue (Cr)'!$C:$FB,77)</f>
        <v>19</v>
      </c>
      <c r="G100" s="92">
        <f>VLOOKUP(A100,'Data Vlaue (Cr)'!C95:CB316,78,0)</f>
        <v>5.04E-2</v>
      </c>
      <c r="H100" s="91">
        <f>VLOOKUP($A100,'Data Vlaue (Cr)'!$C:$FB,91)</f>
        <v>177</v>
      </c>
      <c r="I100" s="91">
        <f>VLOOKUP($A100,'Data Vlaue (Cr)'!$C:$FB,93)</f>
        <v>8</v>
      </c>
      <c r="J100" s="92">
        <f>VLOOKUP($A100,'Data Vlaue (Cr)'!$C:$FB,94)</f>
        <v>4.65E-2</v>
      </c>
      <c r="K100" s="91">
        <f>VLOOKUP($A100,'Data Vlaue (Cr)'!$C:$FB,95)</f>
        <v>116</v>
      </c>
      <c r="L100" s="91">
        <f>VLOOKUP($A100,'Data Vlaue (Cr)'!$C:$FB,97)</f>
        <v>2</v>
      </c>
      <c r="M100" s="92">
        <f>VLOOKUP($A100,'Data Vlaue (Cr)'!$C:$FB,98)</f>
        <v>1.7399999999999999E-2</v>
      </c>
      <c r="N100" s="91">
        <f>VLOOKUP($A100,'Data Vlaue (Cr)'!$C:$FB,79)</f>
        <v>330</v>
      </c>
      <c r="O100" s="92">
        <f>VLOOKUP($A100,'Data Vlaue (Cr)'!$C:$FB,82)</f>
        <v>3.4099999999999998E-2</v>
      </c>
    </row>
    <row r="101" spans="1:15" x14ac:dyDescent="0.25">
      <c r="A101" s="97" t="str">
        <f>'Data Vlaue (Cr)'!C96</f>
        <v>IIFL</v>
      </c>
      <c r="B101" s="142">
        <f>VLOOKUP(A101,'Data Vlaue (Cr)'!C96:CW317,99,0)</f>
        <v>1027</v>
      </c>
      <c r="C101" s="90">
        <f>VLOOKUP(A101,'Data Vlaue (Cr)'!C96:CY317,101,0)</f>
        <v>-26</v>
      </c>
      <c r="D101" s="139">
        <f>VLOOKUP(A101,'Data Vlaue (Cr)'!C96:CZ317,102,0)</f>
        <v>-2.4299999999999999E-2</v>
      </c>
      <c r="E101" s="91">
        <f>VLOOKUP($A101,'Data Vlaue (Cr)'!$C:$FB,75)</f>
        <v>626</v>
      </c>
      <c r="F101" s="91">
        <f>VLOOKUP($A101,'Data Vlaue (Cr)'!$C:$FB,77)</f>
        <v>-10</v>
      </c>
      <c r="G101" s="92">
        <f>VLOOKUP(A101,'Data Vlaue (Cr)'!C96:CB317,78,0)</f>
        <v>-1.6E-2</v>
      </c>
      <c r="H101" s="91">
        <f>VLOOKUP($A101,'Data Vlaue (Cr)'!$C:$FB,91)</f>
        <v>254</v>
      </c>
      <c r="I101" s="91">
        <f>VLOOKUP($A101,'Data Vlaue (Cr)'!$C:$FB,93)</f>
        <v>-11</v>
      </c>
      <c r="J101" s="92">
        <f>VLOOKUP($A101,'Data Vlaue (Cr)'!$C:$FB,94)</f>
        <v>-0.04</v>
      </c>
      <c r="K101" s="91">
        <f>VLOOKUP($A101,'Data Vlaue (Cr)'!$C:$FB,95)</f>
        <v>147</v>
      </c>
      <c r="L101" s="91">
        <f>VLOOKUP($A101,'Data Vlaue (Cr)'!$C:$FB,97)</f>
        <v>-5</v>
      </c>
      <c r="M101" s="92">
        <f>VLOOKUP($A101,'Data Vlaue (Cr)'!$C:$FB,98)</f>
        <v>-3.1699999999999999E-2</v>
      </c>
      <c r="N101" s="91">
        <f>VLOOKUP($A101,'Data Vlaue (Cr)'!$C:$FB,79)</f>
        <v>600</v>
      </c>
      <c r="O101" s="92">
        <f>VLOOKUP($A101,'Data Vlaue (Cr)'!$C:$FB,82)</f>
        <v>-2.58E-2</v>
      </c>
    </row>
    <row r="102" spans="1:15" x14ac:dyDescent="0.25">
      <c r="A102" s="97" t="str">
        <f>'Data Vlaue (Cr)'!C97</f>
        <v>INDHOTEL</v>
      </c>
      <c r="B102" s="142">
        <f>VLOOKUP(A102,'Data Vlaue (Cr)'!C97:CW318,99,0)</f>
        <v>3382</v>
      </c>
      <c r="C102" s="90">
        <f>VLOOKUP(A102,'Data Vlaue (Cr)'!C97:CY318,101,0)</f>
        <v>383</v>
      </c>
      <c r="D102" s="139">
        <f>VLOOKUP(A102,'Data Vlaue (Cr)'!C97:CZ318,102,0)</f>
        <v>0.12770000000000001</v>
      </c>
      <c r="E102" s="91">
        <f>VLOOKUP($A102,'Data Vlaue (Cr)'!$C:$FB,75)</f>
        <v>2081</v>
      </c>
      <c r="F102" s="91">
        <f>VLOOKUP($A102,'Data Vlaue (Cr)'!$C:$FB,77)</f>
        <v>-54</v>
      </c>
      <c r="G102" s="92">
        <f>VLOOKUP(A102,'Data Vlaue (Cr)'!C97:CB318,78,0)</f>
        <v>-2.5499999999999998E-2</v>
      </c>
      <c r="H102" s="91">
        <f>VLOOKUP($A102,'Data Vlaue (Cr)'!$C:$FB,91)</f>
        <v>714</v>
      </c>
      <c r="I102" s="91">
        <f>VLOOKUP($A102,'Data Vlaue (Cr)'!$C:$FB,93)</f>
        <v>225</v>
      </c>
      <c r="J102" s="92">
        <f>VLOOKUP($A102,'Data Vlaue (Cr)'!$C:$FB,94)</f>
        <v>0.45929999999999999</v>
      </c>
      <c r="K102" s="91">
        <f>VLOOKUP($A102,'Data Vlaue (Cr)'!$C:$FB,95)</f>
        <v>587</v>
      </c>
      <c r="L102" s="91">
        <f>VLOOKUP($A102,'Data Vlaue (Cr)'!$C:$FB,97)</f>
        <v>213</v>
      </c>
      <c r="M102" s="92">
        <f>VLOOKUP($A102,'Data Vlaue (Cr)'!$C:$FB,98)</f>
        <v>0.56759999999999999</v>
      </c>
      <c r="N102" s="91">
        <f>VLOOKUP($A102,'Data Vlaue (Cr)'!$C:$FB,79)</f>
        <v>1953</v>
      </c>
      <c r="O102" s="92">
        <f>VLOOKUP($A102,'Data Vlaue (Cr)'!$C:$FB,82)</f>
        <v>-4.1500000000000002E-2</v>
      </c>
    </row>
    <row r="103" spans="1:15" x14ac:dyDescent="0.25">
      <c r="A103" s="97" t="str">
        <f>'Data Vlaue (Cr)'!C98</f>
        <v>INDIANB</v>
      </c>
      <c r="B103" s="142">
        <f>VLOOKUP(A103,'Data Vlaue (Cr)'!C98:CW319,99,0)</f>
        <v>805</v>
      </c>
      <c r="C103" s="90">
        <f>VLOOKUP(A103,'Data Vlaue (Cr)'!C98:CY319,101,0)</f>
        <v>-2</v>
      </c>
      <c r="D103" s="139">
        <f>VLOOKUP(A103,'Data Vlaue (Cr)'!C98:CZ319,102,0)</f>
        <v>-2.8999999999999998E-3</v>
      </c>
      <c r="E103" s="91">
        <f>VLOOKUP($A103,'Data Vlaue (Cr)'!$C:$FB,75)</f>
        <v>480</v>
      </c>
      <c r="F103" s="91">
        <f>VLOOKUP($A103,'Data Vlaue (Cr)'!$C:$FB,77)</f>
        <v>-5</v>
      </c>
      <c r="G103" s="92">
        <f>VLOOKUP(A103,'Data Vlaue (Cr)'!C98:CB319,78,0)</f>
        <v>-9.5999999999999992E-3</v>
      </c>
      <c r="H103" s="91">
        <f>VLOOKUP($A103,'Data Vlaue (Cr)'!$C:$FB,91)</f>
        <v>191</v>
      </c>
      <c r="I103" s="91">
        <f>VLOOKUP($A103,'Data Vlaue (Cr)'!$C:$FB,93)</f>
        <v>5</v>
      </c>
      <c r="J103" s="92">
        <f>VLOOKUP($A103,'Data Vlaue (Cr)'!$C:$FB,94)</f>
        <v>2.6700000000000002E-2</v>
      </c>
      <c r="K103" s="91">
        <f>VLOOKUP($A103,'Data Vlaue (Cr)'!$C:$FB,95)</f>
        <v>134</v>
      </c>
      <c r="L103" s="91">
        <f>VLOOKUP($A103,'Data Vlaue (Cr)'!$C:$FB,97)</f>
        <v>-3</v>
      </c>
      <c r="M103" s="92">
        <f>VLOOKUP($A103,'Data Vlaue (Cr)'!$C:$FB,98)</f>
        <v>-1.9599999999999999E-2</v>
      </c>
      <c r="N103" s="91">
        <f>VLOOKUP($A103,'Data Vlaue (Cr)'!$C:$FB,79)</f>
        <v>439</v>
      </c>
      <c r="O103" s="92">
        <f>VLOOKUP($A103,'Data Vlaue (Cr)'!$C:$FB,82)</f>
        <v>-1.8599999999999998E-2</v>
      </c>
    </row>
    <row r="104" spans="1:15" x14ac:dyDescent="0.25">
      <c r="A104" s="97" t="str">
        <f>'Data Vlaue (Cr)'!C99</f>
        <v>INDIAVIX</v>
      </c>
      <c r="B104" s="142">
        <f>VLOOKUP(A104,'Data Vlaue (Cr)'!C99:CW320,99,0)</f>
        <v>0</v>
      </c>
      <c r="C104" s="90">
        <f>VLOOKUP(A104,'Data Vlaue (Cr)'!C99:CY320,101,0)</f>
        <v>0</v>
      </c>
      <c r="D104" s="139">
        <f>VLOOKUP(A104,'Data Vlaue (Cr)'!C99:CZ320,102,0)</f>
        <v>0</v>
      </c>
      <c r="E104" s="91">
        <f>VLOOKUP($A104,'Data Vlaue (Cr)'!$C:$FB,75)</f>
        <v>0</v>
      </c>
      <c r="F104" s="91">
        <f>VLOOKUP($A104,'Data Vlaue (Cr)'!$C:$FB,77)</f>
        <v>0</v>
      </c>
      <c r="G104" s="92">
        <f>VLOOKUP(A104,'Data Vlaue (Cr)'!C99:CB320,78,0)</f>
        <v>0</v>
      </c>
      <c r="H104" s="91">
        <f>VLOOKUP($A104,'Data Vlaue (Cr)'!$C:$FB,91)</f>
        <v>0</v>
      </c>
      <c r="I104" s="91">
        <f>VLOOKUP($A104,'Data Vlaue (Cr)'!$C:$FB,93)</f>
        <v>0</v>
      </c>
      <c r="J104" s="92">
        <f>VLOOKUP($A104,'Data Vlaue (Cr)'!$C:$FB,94)</f>
        <v>0</v>
      </c>
      <c r="K104" s="91">
        <f>VLOOKUP($A104,'Data Vlaue (Cr)'!$C:$FB,95)</f>
        <v>0</v>
      </c>
      <c r="L104" s="91">
        <f>VLOOKUP($A104,'Data Vlaue (Cr)'!$C:$FB,97)</f>
        <v>0</v>
      </c>
      <c r="M104" s="92">
        <f>VLOOKUP($A104,'Data Vlaue (Cr)'!$C:$FB,98)</f>
        <v>0</v>
      </c>
      <c r="N104" s="91">
        <f>VLOOKUP($A104,'Data Vlaue (Cr)'!$C:$FB,79)</f>
        <v>0</v>
      </c>
      <c r="O104" s="92">
        <f>VLOOKUP($A104,'Data Vlaue (Cr)'!$C:$FB,82)</f>
        <v>0</v>
      </c>
    </row>
    <row r="105" spans="1:15" x14ac:dyDescent="0.25">
      <c r="A105" s="97" t="str">
        <f>'Data Vlaue (Cr)'!C100</f>
        <v>INDIGO</v>
      </c>
      <c r="B105" s="142">
        <f>VLOOKUP(A105,'Data Vlaue (Cr)'!C100:CW321,99,0)</f>
        <v>6593</v>
      </c>
      <c r="C105" s="90">
        <f>VLOOKUP(A105,'Data Vlaue (Cr)'!C100:CY321,101,0)</f>
        <v>421</v>
      </c>
      <c r="D105" s="139">
        <f>VLOOKUP(A105,'Data Vlaue (Cr)'!C100:CZ321,102,0)</f>
        <v>6.8099999999999994E-2</v>
      </c>
      <c r="E105" s="91">
        <f>VLOOKUP($A105,'Data Vlaue (Cr)'!$C:$FB,75)</f>
        <v>4613</v>
      </c>
      <c r="F105" s="91">
        <f>VLOOKUP($A105,'Data Vlaue (Cr)'!$C:$FB,77)</f>
        <v>282</v>
      </c>
      <c r="G105" s="92">
        <f>VLOOKUP(A105,'Data Vlaue (Cr)'!C100:CB321,78,0)</f>
        <v>6.5199999999999994E-2</v>
      </c>
      <c r="H105" s="91">
        <f>VLOOKUP($A105,'Data Vlaue (Cr)'!$C:$FB,91)</f>
        <v>979</v>
      </c>
      <c r="I105" s="91">
        <f>VLOOKUP($A105,'Data Vlaue (Cr)'!$C:$FB,93)</f>
        <v>41</v>
      </c>
      <c r="J105" s="92">
        <f>VLOOKUP($A105,'Data Vlaue (Cr)'!$C:$FB,94)</f>
        <v>4.4200000000000003E-2</v>
      </c>
      <c r="K105" s="91">
        <f>VLOOKUP($A105,'Data Vlaue (Cr)'!$C:$FB,95)</f>
        <v>1000</v>
      </c>
      <c r="L105" s="91">
        <f>VLOOKUP($A105,'Data Vlaue (Cr)'!$C:$FB,97)</f>
        <v>97</v>
      </c>
      <c r="M105" s="92">
        <f>VLOOKUP($A105,'Data Vlaue (Cr)'!$C:$FB,98)</f>
        <v>0.1071</v>
      </c>
      <c r="N105" s="91">
        <f>VLOOKUP($A105,'Data Vlaue (Cr)'!$C:$FB,79)</f>
        <v>4241</v>
      </c>
      <c r="O105" s="92">
        <f>VLOOKUP($A105,'Data Vlaue (Cr)'!$C:$FB,82)</f>
        <v>2.8500000000000001E-2</v>
      </c>
    </row>
    <row r="106" spans="1:15" x14ac:dyDescent="0.25">
      <c r="A106" s="97" t="str">
        <f>'Data Vlaue (Cr)'!C101</f>
        <v>INDUSINDBK</v>
      </c>
      <c r="B106" s="142">
        <f>VLOOKUP(A106,'Data Vlaue (Cr)'!C101:CW322,99,0)</f>
        <v>6363</v>
      </c>
      <c r="C106" s="90">
        <f>VLOOKUP(A106,'Data Vlaue (Cr)'!C101:CY322,101,0)</f>
        <v>105</v>
      </c>
      <c r="D106" s="139">
        <f>VLOOKUP(A106,'Data Vlaue (Cr)'!C101:CZ322,102,0)</f>
        <v>1.67E-2</v>
      </c>
      <c r="E106" s="91">
        <f>VLOOKUP($A106,'Data Vlaue (Cr)'!$C:$FB,75)</f>
        <v>4048</v>
      </c>
      <c r="F106" s="91">
        <f>VLOOKUP($A106,'Data Vlaue (Cr)'!$C:$FB,77)</f>
        <v>48</v>
      </c>
      <c r="G106" s="92">
        <f>VLOOKUP(A106,'Data Vlaue (Cr)'!C101:CB322,78,0)</f>
        <v>1.21E-2</v>
      </c>
      <c r="H106" s="91">
        <f>VLOOKUP($A106,'Data Vlaue (Cr)'!$C:$FB,91)</f>
        <v>1463</v>
      </c>
      <c r="I106" s="91">
        <f>VLOOKUP($A106,'Data Vlaue (Cr)'!$C:$FB,93)</f>
        <v>71</v>
      </c>
      <c r="J106" s="92">
        <f>VLOOKUP($A106,'Data Vlaue (Cr)'!$C:$FB,94)</f>
        <v>5.0900000000000001E-2</v>
      </c>
      <c r="K106" s="91">
        <f>VLOOKUP($A106,'Data Vlaue (Cr)'!$C:$FB,95)</f>
        <v>852</v>
      </c>
      <c r="L106" s="91">
        <f>VLOOKUP($A106,'Data Vlaue (Cr)'!$C:$FB,97)</f>
        <v>-15</v>
      </c>
      <c r="M106" s="92">
        <f>VLOOKUP($A106,'Data Vlaue (Cr)'!$C:$FB,98)</f>
        <v>-1.6899999999999998E-2</v>
      </c>
      <c r="N106" s="91">
        <f>VLOOKUP($A106,'Data Vlaue (Cr)'!$C:$FB,79)</f>
        <v>3719</v>
      </c>
      <c r="O106" s="92">
        <f>VLOOKUP($A106,'Data Vlaue (Cr)'!$C:$FB,82)</f>
        <v>-1.5599999999999999E-2</v>
      </c>
    </row>
    <row r="107" spans="1:15" x14ac:dyDescent="0.25">
      <c r="A107" s="97" t="str">
        <f>'Data Vlaue (Cr)'!C102</f>
        <v>INDUSTOWER</v>
      </c>
      <c r="B107" s="142">
        <f>VLOOKUP(A107,'Data Vlaue (Cr)'!C102:CW323,99,0)</f>
        <v>4111</v>
      </c>
      <c r="C107" s="90">
        <f>VLOOKUP(A107,'Data Vlaue (Cr)'!C102:CY323,101,0)</f>
        <v>76</v>
      </c>
      <c r="D107" s="139">
        <f>VLOOKUP(A107,'Data Vlaue (Cr)'!C102:CZ323,102,0)</f>
        <v>1.8800000000000001E-2</v>
      </c>
      <c r="E107" s="91">
        <f>VLOOKUP($A107,'Data Vlaue (Cr)'!$C:$FB,75)</f>
        <v>2788</v>
      </c>
      <c r="F107" s="91">
        <f>VLOOKUP($A107,'Data Vlaue (Cr)'!$C:$FB,77)</f>
        <v>101</v>
      </c>
      <c r="G107" s="92">
        <f>VLOOKUP(A107,'Data Vlaue (Cr)'!C102:CB323,78,0)</f>
        <v>3.7499999999999999E-2</v>
      </c>
      <c r="H107" s="91">
        <f>VLOOKUP($A107,'Data Vlaue (Cr)'!$C:$FB,91)</f>
        <v>788</v>
      </c>
      <c r="I107" s="91">
        <f>VLOOKUP($A107,'Data Vlaue (Cr)'!$C:$FB,93)</f>
        <v>-87</v>
      </c>
      <c r="J107" s="92">
        <f>VLOOKUP($A107,'Data Vlaue (Cr)'!$C:$FB,94)</f>
        <v>-9.9099999999999994E-2</v>
      </c>
      <c r="K107" s="91">
        <f>VLOOKUP($A107,'Data Vlaue (Cr)'!$C:$FB,95)</f>
        <v>536</v>
      </c>
      <c r="L107" s="91">
        <f>VLOOKUP($A107,'Data Vlaue (Cr)'!$C:$FB,97)</f>
        <v>62</v>
      </c>
      <c r="M107" s="92">
        <f>VLOOKUP($A107,'Data Vlaue (Cr)'!$C:$FB,98)</f>
        <v>0.13009999999999999</v>
      </c>
      <c r="N107" s="91">
        <f>VLOOKUP($A107,'Data Vlaue (Cr)'!$C:$FB,79)</f>
        <v>2425</v>
      </c>
      <c r="O107" s="92">
        <f>VLOOKUP($A107,'Data Vlaue (Cr)'!$C:$FB,82)</f>
        <v>2.1899999999999999E-2</v>
      </c>
    </row>
    <row r="108" spans="1:15" x14ac:dyDescent="0.25">
      <c r="A108" s="97" t="str">
        <f>'Data Vlaue (Cr)'!C103</f>
        <v>INFY</v>
      </c>
      <c r="B108" s="142">
        <f>VLOOKUP(A108,'Data Vlaue (Cr)'!C103:CW324,99,0)</f>
        <v>18885</v>
      </c>
      <c r="C108" s="90">
        <f>VLOOKUP(A108,'Data Vlaue (Cr)'!C103:CY324,101,0)</f>
        <v>-638</v>
      </c>
      <c r="D108" s="139">
        <f>VLOOKUP(A108,'Data Vlaue (Cr)'!C103:CZ324,102,0)</f>
        <v>-3.27E-2</v>
      </c>
      <c r="E108" s="91">
        <f>VLOOKUP($A108,'Data Vlaue (Cr)'!$C:$FB,75)</f>
        <v>12477</v>
      </c>
      <c r="F108" s="91">
        <f>VLOOKUP($A108,'Data Vlaue (Cr)'!$C:$FB,77)</f>
        <v>-481</v>
      </c>
      <c r="G108" s="92">
        <f>VLOOKUP(A108,'Data Vlaue (Cr)'!C103:CB324,78,0)</f>
        <v>-3.7100000000000001E-2</v>
      </c>
      <c r="H108" s="91">
        <f>VLOOKUP($A108,'Data Vlaue (Cr)'!$C:$FB,91)</f>
        <v>3807</v>
      </c>
      <c r="I108" s="91">
        <f>VLOOKUP($A108,'Data Vlaue (Cr)'!$C:$FB,93)</f>
        <v>-415</v>
      </c>
      <c r="J108" s="92">
        <f>VLOOKUP($A108,'Data Vlaue (Cr)'!$C:$FB,94)</f>
        <v>-9.8400000000000001E-2</v>
      </c>
      <c r="K108" s="91">
        <f>VLOOKUP($A108,'Data Vlaue (Cr)'!$C:$FB,95)</f>
        <v>2601</v>
      </c>
      <c r="L108" s="91">
        <f>VLOOKUP($A108,'Data Vlaue (Cr)'!$C:$FB,97)</f>
        <v>258</v>
      </c>
      <c r="M108" s="92">
        <f>VLOOKUP($A108,'Data Vlaue (Cr)'!$C:$FB,98)</f>
        <v>0.11020000000000001</v>
      </c>
      <c r="N108" s="91">
        <f>VLOOKUP($A108,'Data Vlaue (Cr)'!$C:$FB,79)</f>
        <v>11214</v>
      </c>
      <c r="O108" s="92">
        <f>VLOOKUP($A108,'Data Vlaue (Cr)'!$C:$FB,82)</f>
        <v>-5.6599999999999998E-2</v>
      </c>
    </row>
    <row r="109" spans="1:15" x14ac:dyDescent="0.25">
      <c r="A109" s="97" t="str">
        <f>'Data Vlaue (Cr)'!C104</f>
        <v>INOXWIND</v>
      </c>
      <c r="B109" s="142">
        <f>VLOOKUP(A109,'Data Vlaue (Cr)'!C104:CW325,99,0)</f>
        <v>1213</v>
      </c>
      <c r="C109" s="90">
        <f>VLOOKUP(A109,'Data Vlaue (Cr)'!C104:CY325,101,0)</f>
        <v>-15</v>
      </c>
      <c r="D109" s="139">
        <f>VLOOKUP(A109,'Data Vlaue (Cr)'!C104:CZ325,102,0)</f>
        <v>-1.21E-2</v>
      </c>
      <c r="E109" s="91">
        <f>VLOOKUP($A109,'Data Vlaue (Cr)'!$C:$FB,75)</f>
        <v>709</v>
      </c>
      <c r="F109" s="91">
        <f>VLOOKUP($A109,'Data Vlaue (Cr)'!$C:$FB,77)</f>
        <v>12</v>
      </c>
      <c r="G109" s="92">
        <f>VLOOKUP(A109,'Data Vlaue (Cr)'!C104:CB325,78,0)</f>
        <v>1.77E-2</v>
      </c>
      <c r="H109" s="91">
        <f>VLOOKUP($A109,'Data Vlaue (Cr)'!$C:$FB,91)</f>
        <v>331</v>
      </c>
      <c r="I109" s="91">
        <f>VLOOKUP($A109,'Data Vlaue (Cr)'!$C:$FB,93)</f>
        <v>-21</v>
      </c>
      <c r="J109" s="92">
        <f>VLOOKUP($A109,'Data Vlaue (Cr)'!$C:$FB,94)</f>
        <v>-6.08E-2</v>
      </c>
      <c r="K109" s="91">
        <f>VLOOKUP($A109,'Data Vlaue (Cr)'!$C:$FB,95)</f>
        <v>173</v>
      </c>
      <c r="L109" s="91">
        <f>VLOOKUP($A109,'Data Vlaue (Cr)'!$C:$FB,97)</f>
        <v>-6</v>
      </c>
      <c r="M109" s="92">
        <f>VLOOKUP($A109,'Data Vlaue (Cr)'!$C:$FB,98)</f>
        <v>-3.2199999999999999E-2</v>
      </c>
      <c r="N109" s="91">
        <f>VLOOKUP($A109,'Data Vlaue (Cr)'!$C:$FB,79)</f>
        <v>625</v>
      </c>
      <c r="O109" s="92">
        <f>VLOOKUP($A109,'Data Vlaue (Cr)'!$C:$FB,82)</f>
        <v>-9.9000000000000008E-3</v>
      </c>
    </row>
    <row r="110" spans="1:15" x14ac:dyDescent="0.25">
      <c r="A110" s="97" t="str">
        <f>'Data Vlaue (Cr)'!C105</f>
        <v>IOC</v>
      </c>
      <c r="B110" s="142">
        <f>VLOOKUP(A110,'Data Vlaue (Cr)'!C105:CW326,99,0)</f>
        <v>2266</v>
      </c>
      <c r="C110" s="90">
        <f>VLOOKUP(A110,'Data Vlaue (Cr)'!C105:CY326,101,0)</f>
        <v>-37</v>
      </c>
      <c r="D110" s="139">
        <f>VLOOKUP(A110,'Data Vlaue (Cr)'!C105:CZ326,102,0)</f>
        <v>-1.61E-2</v>
      </c>
      <c r="E110" s="91">
        <f>VLOOKUP($A110,'Data Vlaue (Cr)'!$C:$FB,75)</f>
        <v>1018</v>
      </c>
      <c r="F110" s="91">
        <f>VLOOKUP($A110,'Data Vlaue (Cr)'!$C:$FB,77)</f>
        <v>-24</v>
      </c>
      <c r="G110" s="92">
        <f>VLOOKUP(A110,'Data Vlaue (Cr)'!C105:CB326,78,0)</f>
        <v>-2.3E-2</v>
      </c>
      <c r="H110" s="91">
        <f>VLOOKUP($A110,'Data Vlaue (Cr)'!$C:$FB,91)</f>
        <v>676</v>
      </c>
      <c r="I110" s="91">
        <f>VLOOKUP($A110,'Data Vlaue (Cr)'!$C:$FB,93)</f>
        <v>-15</v>
      </c>
      <c r="J110" s="92">
        <f>VLOOKUP($A110,'Data Vlaue (Cr)'!$C:$FB,94)</f>
        <v>-2.1499999999999998E-2</v>
      </c>
      <c r="K110" s="91">
        <f>VLOOKUP($A110,'Data Vlaue (Cr)'!$C:$FB,95)</f>
        <v>571</v>
      </c>
      <c r="L110" s="91">
        <f>VLOOKUP($A110,'Data Vlaue (Cr)'!$C:$FB,97)</f>
        <v>2</v>
      </c>
      <c r="M110" s="92">
        <f>VLOOKUP($A110,'Data Vlaue (Cr)'!$C:$FB,98)</f>
        <v>2.8999999999999998E-3</v>
      </c>
      <c r="N110" s="91">
        <f>VLOOKUP($A110,'Data Vlaue (Cr)'!$C:$FB,79)</f>
        <v>918</v>
      </c>
      <c r="O110" s="92">
        <f>VLOOKUP($A110,'Data Vlaue (Cr)'!$C:$FB,82)</f>
        <v>-4.5199999999999997E-2</v>
      </c>
    </row>
    <row r="111" spans="1:15" x14ac:dyDescent="0.25">
      <c r="A111" s="97" t="str">
        <f>'Data Vlaue (Cr)'!C106</f>
        <v>IRB</v>
      </c>
      <c r="B111" s="142">
        <f>VLOOKUP(A111,'Data Vlaue (Cr)'!C106:CW327,99,0)</f>
        <v>507</v>
      </c>
      <c r="C111" s="90">
        <f>VLOOKUP(A111,'Data Vlaue (Cr)'!C106:CY327,101,0)</f>
        <v>-9</v>
      </c>
      <c r="D111" s="139">
        <f>VLOOKUP(A111,'Data Vlaue (Cr)'!C106:CZ327,102,0)</f>
        <v>-1.7100000000000001E-2</v>
      </c>
      <c r="E111" s="91">
        <f>VLOOKUP($A111,'Data Vlaue (Cr)'!$C:$FB,75)</f>
        <v>301</v>
      </c>
      <c r="F111" s="91">
        <f>VLOOKUP($A111,'Data Vlaue (Cr)'!$C:$FB,77)</f>
        <v>-8</v>
      </c>
      <c r="G111" s="92">
        <f>VLOOKUP(A111,'Data Vlaue (Cr)'!C106:CB327,78,0)</f>
        <v>-2.4899999999999999E-2</v>
      </c>
      <c r="H111" s="91">
        <f>VLOOKUP($A111,'Data Vlaue (Cr)'!$C:$FB,91)</f>
        <v>139</v>
      </c>
      <c r="I111" s="91">
        <f>VLOOKUP($A111,'Data Vlaue (Cr)'!$C:$FB,93)</f>
        <v>3</v>
      </c>
      <c r="J111" s="92">
        <f>VLOOKUP($A111,'Data Vlaue (Cr)'!$C:$FB,94)</f>
        <v>2.3699999999999999E-2</v>
      </c>
      <c r="K111" s="91">
        <f>VLOOKUP($A111,'Data Vlaue (Cr)'!$C:$FB,95)</f>
        <v>67</v>
      </c>
      <c r="L111" s="91">
        <f>VLOOKUP($A111,'Data Vlaue (Cr)'!$C:$FB,97)</f>
        <v>-4</v>
      </c>
      <c r="M111" s="92">
        <f>VLOOKUP($A111,'Data Vlaue (Cr)'!$C:$FB,98)</f>
        <v>-6.0699999999999997E-2</v>
      </c>
      <c r="N111" s="91">
        <f>VLOOKUP($A111,'Data Vlaue (Cr)'!$C:$FB,79)</f>
        <v>301</v>
      </c>
      <c r="O111" s="92">
        <f>VLOOKUP($A111,'Data Vlaue (Cr)'!$C:$FB,82)</f>
        <v>-2.4899999999999999E-2</v>
      </c>
    </row>
    <row r="112" spans="1:15" x14ac:dyDescent="0.25">
      <c r="A112" s="97" t="str">
        <f>'Data Vlaue (Cr)'!C107</f>
        <v>IRCTC</v>
      </c>
      <c r="B112" s="142">
        <f>VLOOKUP(A112,'Data Vlaue (Cr)'!C107:CW328,99,0)</f>
        <v>2274</v>
      </c>
      <c r="C112" s="90">
        <f>VLOOKUP(A112,'Data Vlaue (Cr)'!C107:CY328,101,0)</f>
        <v>38</v>
      </c>
      <c r="D112" s="139">
        <f>VLOOKUP(A112,'Data Vlaue (Cr)'!C107:CZ328,102,0)</f>
        <v>1.7100000000000001E-2</v>
      </c>
      <c r="E112" s="91">
        <f>VLOOKUP($A112,'Data Vlaue (Cr)'!$C:$FB,75)</f>
        <v>1180</v>
      </c>
      <c r="F112" s="91">
        <f>VLOOKUP($A112,'Data Vlaue (Cr)'!$C:$FB,77)</f>
        <v>13</v>
      </c>
      <c r="G112" s="92">
        <f>VLOOKUP(A112,'Data Vlaue (Cr)'!C107:CB328,78,0)</f>
        <v>1.0999999999999999E-2</v>
      </c>
      <c r="H112" s="91">
        <f>VLOOKUP($A112,'Data Vlaue (Cr)'!$C:$FB,91)</f>
        <v>645</v>
      </c>
      <c r="I112" s="91">
        <f>VLOOKUP($A112,'Data Vlaue (Cr)'!$C:$FB,93)</f>
        <v>5</v>
      </c>
      <c r="J112" s="92">
        <f>VLOOKUP($A112,'Data Vlaue (Cr)'!$C:$FB,94)</f>
        <v>7.4000000000000003E-3</v>
      </c>
      <c r="K112" s="91">
        <f>VLOOKUP($A112,'Data Vlaue (Cr)'!$C:$FB,95)</f>
        <v>449</v>
      </c>
      <c r="L112" s="91">
        <f>VLOOKUP($A112,'Data Vlaue (Cr)'!$C:$FB,97)</f>
        <v>21</v>
      </c>
      <c r="M112" s="92">
        <f>VLOOKUP($A112,'Data Vlaue (Cr)'!$C:$FB,98)</f>
        <v>4.8300000000000003E-2</v>
      </c>
      <c r="N112" s="91">
        <f>VLOOKUP($A112,'Data Vlaue (Cr)'!$C:$FB,79)</f>
        <v>1004</v>
      </c>
      <c r="O112" s="92">
        <f>VLOOKUP($A112,'Data Vlaue (Cr)'!$C:$FB,82)</f>
        <v>-9.1000000000000004E-3</v>
      </c>
    </row>
    <row r="113" spans="1:15" x14ac:dyDescent="0.25">
      <c r="A113" s="97" t="str">
        <f>'Data Vlaue (Cr)'!C108</f>
        <v>IREDA</v>
      </c>
      <c r="B113" s="142">
        <f>VLOOKUP(A113,'Data Vlaue (Cr)'!C108:CW329,99,0)</f>
        <v>1029</v>
      </c>
      <c r="C113" s="90">
        <f>VLOOKUP(A113,'Data Vlaue (Cr)'!C108:CY329,101,0)</f>
        <v>15</v>
      </c>
      <c r="D113" s="139">
        <f>VLOOKUP(A113,'Data Vlaue (Cr)'!C108:CZ329,102,0)</f>
        <v>1.4500000000000001E-2</v>
      </c>
      <c r="E113" s="91">
        <f>VLOOKUP($A113,'Data Vlaue (Cr)'!$C:$FB,75)</f>
        <v>574</v>
      </c>
      <c r="F113" s="91">
        <f>VLOOKUP($A113,'Data Vlaue (Cr)'!$C:$FB,77)</f>
        <v>15</v>
      </c>
      <c r="G113" s="92">
        <f>VLOOKUP(A113,'Data Vlaue (Cr)'!C108:CB329,78,0)</f>
        <v>2.6200000000000001E-2</v>
      </c>
      <c r="H113" s="91">
        <f>VLOOKUP($A113,'Data Vlaue (Cr)'!$C:$FB,91)</f>
        <v>288</v>
      </c>
      <c r="I113" s="91">
        <f>VLOOKUP($A113,'Data Vlaue (Cr)'!$C:$FB,93)</f>
        <v>2</v>
      </c>
      <c r="J113" s="92">
        <f>VLOOKUP($A113,'Data Vlaue (Cr)'!$C:$FB,94)</f>
        <v>7.7000000000000002E-3</v>
      </c>
      <c r="K113" s="91">
        <f>VLOOKUP($A113,'Data Vlaue (Cr)'!$C:$FB,95)</f>
        <v>167</v>
      </c>
      <c r="L113" s="91">
        <f>VLOOKUP($A113,'Data Vlaue (Cr)'!$C:$FB,97)</f>
        <v>-2</v>
      </c>
      <c r="M113" s="92">
        <f>VLOOKUP($A113,'Data Vlaue (Cr)'!$C:$FB,98)</f>
        <v>-1.2699999999999999E-2</v>
      </c>
      <c r="N113" s="91">
        <f>VLOOKUP($A113,'Data Vlaue (Cr)'!$C:$FB,79)</f>
        <v>461</v>
      </c>
      <c r="O113" s="92">
        <f>VLOOKUP($A113,'Data Vlaue (Cr)'!$C:$FB,82)</f>
        <v>-5.1000000000000004E-3</v>
      </c>
    </row>
    <row r="114" spans="1:15" x14ac:dyDescent="0.25">
      <c r="A114" s="97" t="str">
        <f>'Data Vlaue (Cr)'!C109</f>
        <v>IRFC</v>
      </c>
      <c r="B114" s="142">
        <f>VLOOKUP(A114,'Data Vlaue (Cr)'!C109:CW330,99,0)</f>
        <v>1250</v>
      </c>
      <c r="C114" s="90">
        <f>VLOOKUP(A114,'Data Vlaue (Cr)'!C109:CY330,101,0)</f>
        <v>31</v>
      </c>
      <c r="D114" s="139">
        <f>VLOOKUP(A114,'Data Vlaue (Cr)'!C109:CZ330,102,0)</f>
        <v>2.53E-2</v>
      </c>
      <c r="E114" s="91">
        <f>VLOOKUP($A114,'Data Vlaue (Cr)'!$C:$FB,75)</f>
        <v>584</v>
      </c>
      <c r="F114" s="91">
        <f>VLOOKUP($A114,'Data Vlaue (Cr)'!$C:$FB,77)</f>
        <v>16</v>
      </c>
      <c r="G114" s="92">
        <f>VLOOKUP(A114,'Data Vlaue (Cr)'!C109:CB330,78,0)</f>
        <v>2.7400000000000001E-2</v>
      </c>
      <c r="H114" s="91">
        <f>VLOOKUP($A114,'Data Vlaue (Cr)'!$C:$FB,91)</f>
        <v>464</v>
      </c>
      <c r="I114" s="91">
        <f>VLOOKUP($A114,'Data Vlaue (Cr)'!$C:$FB,93)</f>
        <v>9</v>
      </c>
      <c r="J114" s="92">
        <f>VLOOKUP($A114,'Data Vlaue (Cr)'!$C:$FB,94)</f>
        <v>1.9E-2</v>
      </c>
      <c r="K114" s="91">
        <f>VLOOKUP($A114,'Data Vlaue (Cr)'!$C:$FB,95)</f>
        <v>202</v>
      </c>
      <c r="L114" s="91">
        <f>VLOOKUP($A114,'Data Vlaue (Cr)'!$C:$FB,97)</f>
        <v>7</v>
      </c>
      <c r="M114" s="92">
        <f>VLOOKUP($A114,'Data Vlaue (Cr)'!$C:$FB,98)</f>
        <v>3.4099999999999998E-2</v>
      </c>
      <c r="N114" s="91">
        <f>VLOOKUP($A114,'Data Vlaue (Cr)'!$C:$FB,79)</f>
        <v>482</v>
      </c>
      <c r="O114" s="92">
        <f>VLOOKUP($A114,'Data Vlaue (Cr)'!$C:$FB,82)</f>
        <v>-2.5000000000000001E-3</v>
      </c>
    </row>
    <row r="115" spans="1:15" x14ac:dyDescent="0.25">
      <c r="A115" s="97" t="str">
        <f>'Data Vlaue (Cr)'!C110</f>
        <v>ITC</v>
      </c>
      <c r="B115" s="142">
        <f>VLOOKUP(A115,'Data Vlaue (Cr)'!C110:CW331,99,0)</f>
        <v>8097</v>
      </c>
      <c r="C115" s="90">
        <f>VLOOKUP(A115,'Data Vlaue (Cr)'!C110:CY331,101,0)</f>
        <v>396</v>
      </c>
      <c r="D115" s="139">
        <f>VLOOKUP(A115,'Data Vlaue (Cr)'!C110:CZ331,102,0)</f>
        <v>5.1400000000000001E-2</v>
      </c>
      <c r="E115" s="91">
        <f>VLOOKUP($A115,'Data Vlaue (Cr)'!$C:$FB,75)</f>
        <v>4342</v>
      </c>
      <c r="F115" s="91">
        <f>VLOOKUP($A115,'Data Vlaue (Cr)'!$C:$FB,77)</f>
        <v>273</v>
      </c>
      <c r="G115" s="92">
        <f>VLOOKUP(A115,'Data Vlaue (Cr)'!C110:CB331,78,0)</f>
        <v>6.7000000000000004E-2</v>
      </c>
      <c r="H115" s="91">
        <f>VLOOKUP($A115,'Data Vlaue (Cr)'!$C:$FB,91)</f>
        <v>2445</v>
      </c>
      <c r="I115" s="91">
        <f>VLOOKUP($A115,'Data Vlaue (Cr)'!$C:$FB,93)</f>
        <v>65</v>
      </c>
      <c r="J115" s="92">
        <f>VLOOKUP($A115,'Data Vlaue (Cr)'!$C:$FB,94)</f>
        <v>2.7199999999999998E-2</v>
      </c>
      <c r="K115" s="91">
        <f>VLOOKUP($A115,'Data Vlaue (Cr)'!$C:$FB,95)</f>
        <v>1310</v>
      </c>
      <c r="L115" s="91">
        <f>VLOOKUP($A115,'Data Vlaue (Cr)'!$C:$FB,97)</f>
        <v>59</v>
      </c>
      <c r="M115" s="92">
        <f>VLOOKUP($A115,'Data Vlaue (Cr)'!$C:$FB,98)</f>
        <v>4.6899999999999997E-2</v>
      </c>
      <c r="N115" s="91">
        <f>VLOOKUP($A115,'Data Vlaue (Cr)'!$C:$FB,79)</f>
        <v>3643</v>
      </c>
      <c r="O115" s="92">
        <f>VLOOKUP($A115,'Data Vlaue (Cr)'!$C:$FB,82)</f>
        <v>2.35E-2</v>
      </c>
    </row>
    <row r="116" spans="1:15" x14ac:dyDescent="0.25">
      <c r="A116" s="97" t="str">
        <f>'Data Vlaue (Cr)'!C111</f>
        <v>JINDALSTEL</v>
      </c>
      <c r="B116" s="142">
        <f>VLOOKUP(A116,'Data Vlaue (Cr)'!C111:CW332,99,0)</f>
        <v>2200</v>
      </c>
      <c r="C116" s="90">
        <f>VLOOKUP(A116,'Data Vlaue (Cr)'!C111:CY332,101,0)</f>
        <v>-3</v>
      </c>
      <c r="D116" s="139">
        <f>VLOOKUP(A116,'Data Vlaue (Cr)'!C111:CZ332,102,0)</f>
        <v>-1.6000000000000001E-3</v>
      </c>
      <c r="E116" s="91">
        <f>VLOOKUP($A116,'Data Vlaue (Cr)'!$C:$FB,75)</f>
        <v>1382</v>
      </c>
      <c r="F116" s="91">
        <f>VLOOKUP($A116,'Data Vlaue (Cr)'!$C:$FB,77)</f>
        <v>29</v>
      </c>
      <c r="G116" s="92">
        <f>VLOOKUP(A116,'Data Vlaue (Cr)'!C111:CB332,78,0)</f>
        <v>2.1700000000000001E-2</v>
      </c>
      <c r="H116" s="91">
        <f>VLOOKUP($A116,'Data Vlaue (Cr)'!$C:$FB,91)</f>
        <v>447</v>
      </c>
      <c r="I116" s="91">
        <f>VLOOKUP($A116,'Data Vlaue (Cr)'!$C:$FB,93)</f>
        <v>-28</v>
      </c>
      <c r="J116" s="92">
        <f>VLOOKUP($A116,'Data Vlaue (Cr)'!$C:$FB,94)</f>
        <v>-5.8999999999999997E-2</v>
      </c>
      <c r="K116" s="91">
        <f>VLOOKUP($A116,'Data Vlaue (Cr)'!$C:$FB,95)</f>
        <v>371</v>
      </c>
      <c r="L116" s="91">
        <f>VLOOKUP($A116,'Data Vlaue (Cr)'!$C:$FB,97)</f>
        <v>-5</v>
      </c>
      <c r="M116" s="92">
        <f>VLOOKUP($A116,'Data Vlaue (Cr)'!$C:$FB,98)</f>
        <v>-1.2699999999999999E-2</v>
      </c>
      <c r="N116" s="91">
        <f>VLOOKUP($A116,'Data Vlaue (Cr)'!$C:$FB,79)</f>
        <v>1190</v>
      </c>
      <c r="O116" s="92">
        <f>VLOOKUP($A116,'Data Vlaue (Cr)'!$C:$FB,82)</f>
        <v>-6.3100000000000003E-2</v>
      </c>
    </row>
    <row r="117" spans="1:15" x14ac:dyDescent="0.25">
      <c r="A117" s="97" t="str">
        <f>'Data Vlaue (Cr)'!C112</f>
        <v>JIOFIN</v>
      </c>
      <c r="B117" s="142">
        <f>VLOOKUP(A117,'Data Vlaue (Cr)'!C112:CW333,99,0)</f>
        <v>7133</v>
      </c>
      <c r="C117" s="90">
        <f>VLOOKUP(A117,'Data Vlaue (Cr)'!C112:CY333,101,0)</f>
        <v>165</v>
      </c>
      <c r="D117" s="139">
        <f>VLOOKUP(A117,'Data Vlaue (Cr)'!C112:CZ333,102,0)</f>
        <v>2.3699999999999999E-2</v>
      </c>
      <c r="E117" s="91">
        <f>VLOOKUP($A117,'Data Vlaue (Cr)'!$C:$FB,75)</f>
        <v>3817</v>
      </c>
      <c r="F117" s="91">
        <f>VLOOKUP($A117,'Data Vlaue (Cr)'!$C:$FB,77)</f>
        <v>79</v>
      </c>
      <c r="G117" s="92">
        <f>VLOOKUP(A117,'Data Vlaue (Cr)'!C112:CB333,78,0)</f>
        <v>2.1100000000000001E-2</v>
      </c>
      <c r="H117" s="91">
        <f>VLOOKUP($A117,'Data Vlaue (Cr)'!$C:$FB,91)</f>
        <v>1948</v>
      </c>
      <c r="I117" s="91">
        <f>VLOOKUP($A117,'Data Vlaue (Cr)'!$C:$FB,93)</f>
        <v>119</v>
      </c>
      <c r="J117" s="92">
        <f>VLOOKUP($A117,'Data Vlaue (Cr)'!$C:$FB,94)</f>
        <v>6.5100000000000005E-2</v>
      </c>
      <c r="K117" s="91">
        <f>VLOOKUP($A117,'Data Vlaue (Cr)'!$C:$FB,95)</f>
        <v>1369</v>
      </c>
      <c r="L117" s="91">
        <f>VLOOKUP($A117,'Data Vlaue (Cr)'!$C:$FB,97)</f>
        <v>-33</v>
      </c>
      <c r="M117" s="92">
        <f>VLOOKUP($A117,'Data Vlaue (Cr)'!$C:$FB,98)</f>
        <v>-2.3300000000000001E-2</v>
      </c>
      <c r="N117" s="91">
        <f>VLOOKUP($A117,'Data Vlaue (Cr)'!$C:$FB,79)</f>
        <v>3280</v>
      </c>
      <c r="O117" s="92">
        <f>VLOOKUP($A117,'Data Vlaue (Cr)'!$C:$FB,82)</f>
        <v>-1.54E-2</v>
      </c>
    </row>
    <row r="118" spans="1:15" x14ac:dyDescent="0.25">
      <c r="A118" s="97" t="str">
        <f>'Data Vlaue (Cr)'!C113</f>
        <v>JSL</v>
      </c>
      <c r="B118" s="142">
        <f>VLOOKUP(A118,'Data Vlaue (Cr)'!C113:CW334,99,0)</f>
        <v>571</v>
      </c>
      <c r="C118" s="90">
        <f>VLOOKUP(A118,'Data Vlaue (Cr)'!C113:CY334,101,0)</f>
        <v>-11</v>
      </c>
      <c r="D118" s="139">
        <f>VLOOKUP(A118,'Data Vlaue (Cr)'!C113:CZ334,102,0)</f>
        <v>-1.9699999999999999E-2</v>
      </c>
      <c r="E118" s="91">
        <f>VLOOKUP($A118,'Data Vlaue (Cr)'!$C:$FB,75)</f>
        <v>289</v>
      </c>
      <c r="F118" s="91">
        <f>VLOOKUP($A118,'Data Vlaue (Cr)'!$C:$FB,77)</f>
        <v>-20</v>
      </c>
      <c r="G118" s="92">
        <f>VLOOKUP(A118,'Data Vlaue (Cr)'!C113:CB334,78,0)</f>
        <v>-6.3299999999999995E-2</v>
      </c>
      <c r="H118" s="91">
        <f>VLOOKUP($A118,'Data Vlaue (Cr)'!$C:$FB,91)</f>
        <v>158</v>
      </c>
      <c r="I118" s="91">
        <f>VLOOKUP($A118,'Data Vlaue (Cr)'!$C:$FB,93)</f>
        <v>-5</v>
      </c>
      <c r="J118" s="92">
        <f>VLOOKUP($A118,'Data Vlaue (Cr)'!$C:$FB,94)</f>
        <v>-3.3000000000000002E-2</v>
      </c>
      <c r="K118" s="91">
        <f>VLOOKUP($A118,'Data Vlaue (Cr)'!$C:$FB,95)</f>
        <v>124</v>
      </c>
      <c r="L118" s="91">
        <f>VLOOKUP($A118,'Data Vlaue (Cr)'!$C:$FB,97)</f>
        <v>13</v>
      </c>
      <c r="M118" s="92">
        <f>VLOOKUP($A118,'Data Vlaue (Cr)'!$C:$FB,98)</f>
        <v>0.1216</v>
      </c>
      <c r="N118" s="91">
        <f>VLOOKUP($A118,'Data Vlaue (Cr)'!$C:$FB,79)</f>
        <v>289</v>
      </c>
      <c r="O118" s="92">
        <f>VLOOKUP($A118,'Data Vlaue (Cr)'!$C:$FB,82)</f>
        <v>-6.3299999999999995E-2</v>
      </c>
    </row>
    <row r="119" spans="1:15" x14ac:dyDescent="0.25">
      <c r="A119" s="97" t="str">
        <f>'Data Vlaue (Cr)'!C114</f>
        <v>JSWENERGY</v>
      </c>
      <c r="B119" s="142">
        <f>VLOOKUP(A119,'Data Vlaue (Cr)'!C114:CW335,99,0)</f>
        <v>2678</v>
      </c>
      <c r="C119" s="90">
        <f>VLOOKUP(A119,'Data Vlaue (Cr)'!C114:CY335,101,0)</f>
        <v>74</v>
      </c>
      <c r="D119" s="139">
        <f>VLOOKUP(A119,'Data Vlaue (Cr)'!C114:CZ335,102,0)</f>
        <v>2.86E-2</v>
      </c>
      <c r="E119" s="91">
        <f>VLOOKUP($A119,'Data Vlaue (Cr)'!$C:$FB,75)</f>
        <v>1977</v>
      </c>
      <c r="F119" s="91">
        <f>VLOOKUP($A119,'Data Vlaue (Cr)'!$C:$FB,77)</f>
        <v>44</v>
      </c>
      <c r="G119" s="92">
        <f>VLOOKUP(A119,'Data Vlaue (Cr)'!C114:CB335,78,0)</f>
        <v>2.2599999999999999E-2</v>
      </c>
      <c r="H119" s="91">
        <f>VLOOKUP($A119,'Data Vlaue (Cr)'!$C:$FB,91)</f>
        <v>448</v>
      </c>
      <c r="I119" s="91">
        <f>VLOOKUP($A119,'Data Vlaue (Cr)'!$C:$FB,93)</f>
        <v>20</v>
      </c>
      <c r="J119" s="92">
        <f>VLOOKUP($A119,'Data Vlaue (Cr)'!$C:$FB,94)</f>
        <v>4.6399999999999997E-2</v>
      </c>
      <c r="K119" s="91">
        <f>VLOOKUP($A119,'Data Vlaue (Cr)'!$C:$FB,95)</f>
        <v>253</v>
      </c>
      <c r="L119" s="91">
        <f>VLOOKUP($A119,'Data Vlaue (Cr)'!$C:$FB,97)</f>
        <v>11</v>
      </c>
      <c r="M119" s="92">
        <f>VLOOKUP($A119,'Data Vlaue (Cr)'!$C:$FB,98)</f>
        <v>4.48E-2</v>
      </c>
      <c r="N119" s="91">
        <f>VLOOKUP($A119,'Data Vlaue (Cr)'!$C:$FB,79)</f>
        <v>1900</v>
      </c>
      <c r="O119" s="92">
        <f>VLOOKUP($A119,'Data Vlaue (Cr)'!$C:$FB,82)</f>
        <v>1.0200000000000001E-2</v>
      </c>
    </row>
    <row r="120" spans="1:15" x14ac:dyDescent="0.25">
      <c r="A120" s="97" t="str">
        <f>'Data Vlaue (Cr)'!C115</f>
        <v>JSWSTEEL</v>
      </c>
      <c r="B120" s="142">
        <f>VLOOKUP(A120,'Data Vlaue (Cr)'!C115:CW336,99,0)</f>
        <v>6140</v>
      </c>
      <c r="C120" s="90">
        <f>VLOOKUP(A120,'Data Vlaue (Cr)'!C115:CY336,101,0)</f>
        <v>147</v>
      </c>
      <c r="D120" s="139">
        <f>VLOOKUP(A120,'Data Vlaue (Cr)'!C115:CZ336,102,0)</f>
        <v>2.4500000000000001E-2</v>
      </c>
      <c r="E120" s="91">
        <f>VLOOKUP($A120,'Data Vlaue (Cr)'!$C:$FB,75)</f>
        <v>4453</v>
      </c>
      <c r="F120" s="91">
        <f>VLOOKUP($A120,'Data Vlaue (Cr)'!$C:$FB,77)</f>
        <v>19</v>
      </c>
      <c r="G120" s="92">
        <f>VLOOKUP(A120,'Data Vlaue (Cr)'!C115:CB336,78,0)</f>
        <v>4.3E-3</v>
      </c>
      <c r="H120" s="91">
        <f>VLOOKUP($A120,'Data Vlaue (Cr)'!$C:$FB,91)</f>
        <v>952</v>
      </c>
      <c r="I120" s="91">
        <f>VLOOKUP($A120,'Data Vlaue (Cr)'!$C:$FB,93)</f>
        <v>21</v>
      </c>
      <c r="J120" s="92">
        <f>VLOOKUP($A120,'Data Vlaue (Cr)'!$C:$FB,94)</f>
        <v>2.23E-2</v>
      </c>
      <c r="K120" s="91">
        <f>VLOOKUP($A120,'Data Vlaue (Cr)'!$C:$FB,95)</f>
        <v>735</v>
      </c>
      <c r="L120" s="91">
        <f>VLOOKUP($A120,'Data Vlaue (Cr)'!$C:$FB,97)</f>
        <v>107</v>
      </c>
      <c r="M120" s="92">
        <f>VLOOKUP($A120,'Data Vlaue (Cr)'!$C:$FB,98)</f>
        <v>0.17100000000000001</v>
      </c>
      <c r="N120" s="91">
        <f>VLOOKUP($A120,'Data Vlaue (Cr)'!$C:$FB,79)</f>
        <v>4208</v>
      </c>
      <c r="O120" s="92">
        <f>VLOOKUP($A120,'Data Vlaue (Cr)'!$C:$FB,82)</f>
        <v>-9.1999999999999998E-3</v>
      </c>
    </row>
    <row r="121" spans="1:15" x14ac:dyDescent="0.25">
      <c r="A121" s="97" t="str">
        <f>'Data Vlaue (Cr)'!C116</f>
        <v>JUBLFOOD</v>
      </c>
      <c r="B121" s="142">
        <f>VLOOKUP(A121,'Data Vlaue (Cr)'!C116:CW337,99,0)</f>
        <v>2384</v>
      </c>
      <c r="C121" s="90">
        <f>VLOOKUP(A121,'Data Vlaue (Cr)'!C116:CY337,101,0)</f>
        <v>3</v>
      </c>
      <c r="D121" s="139">
        <f>VLOOKUP(A121,'Data Vlaue (Cr)'!C116:CZ337,102,0)</f>
        <v>1.4E-3</v>
      </c>
      <c r="E121" s="91">
        <f>VLOOKUP($A121,'Data Vlaue (Cr)'!$C:$FB,75)</f>
        <v>1618</v>
      </c>
      <c r="F121" s="91">
        <f>VLOOKUP($A121,'Data Vlaue (Cr)'!$C:$FB,77)</f>
        <v>7</v>
      </c>
      <c r="G121" s="92">
        <f>VLOOKUP(A121,'Data Vlaue (Cr)'!C116:CB337,78,0)</f>
        <v>4.1999999999999997E-3</v>
      </c>
      <c r="H121" s="91">
        <f>VLOOKUP($A121,'Data Vlaue (Cr)'!$C:$FB,91)</f>
        <v>503</v>
      </c>
      <c r="I121" s="91">
        <f>VLOOKUP($A121,'Data Vlaue (Cr)'!$C:$FB,93)</f>
        <v>-6</v>
      </c>
      <c r="J121" s="92">
        <f>VLOOKUP($A121,'Data Vlaue (Cr)'!$C:$FB,94)</f>
        <v>-1.1599999999999999E-2</v>
      </c>
      <c r="K121" s="91">
        <f>VLOOKUP($A121,'Data Vlaue (Cr)'!$C:$FB,95)</f>
        <v>263</v>
      </c>
      <c r="L121" s="91">
        <f>VLOOKUP($A121,'Data Vlaue (Cr)'!$C:$FB,97)</f>
        <v>2</v>
      </c>
      <c r="M121" s="92">
        <f>VLOOKUP($A121,'Data Vlaue (Cr)'!$C:$FB,98)</f>
        <v>9.1999999999999998E-3</v>
      </c>
      <c r="N121" s="91">
        <f>VLOOKUP($A121,'Data Vlaue (Cr)'!$C:$FB,79)</f>
        <v>1565</v>
      </c>
      <c r="O121" s="92">
        <f>VLOOKUP($A121,'Data Vlaue (Cr)'!$C:$FB,82)</f>
        <v>-1E-3</v>
      </c>
    </row>
    <row r="122" spans="1:15" x14ac:dyDescent="0.25">
      <c r="A122" s="97" t="str">
        <f>'Data Vlaue (Cr)'!C117</f>
        <v>KALYANKJIL</v>
      </c>
      <c r="B122" s="142">
        <f>VLOOKUP(A122,'Data Vlaue (Cr)'!C117:CW338,99,0)</f>
        <v>3714</v>
      </c>
      <c r="C122" s="90">
        <f>VLOOKUP(A122,'Data Vlaue (Cr)'!C117:CY338,101,0)</f>
        <v>113</v>
      </c>
      <c r="D122" s="139">
        <f>VLOOKUP(A122,'Data Vlaue (Cr)'!C117:CZ338,102,0)</f>
        <v>3.1399999999999997E-2</v>
      </c>
      <c r="E122" s="91">
        <f>VLOOKUP($A122,'Data Vlaue (Cr)'!$C:$FB,75)</f>
        <v>1687</v>
      </c>
      <c r="F122" s="91">
        <f>VLOOKUP($A122,'Data Vlaue (Cr)'!$C:$FB,77)</f>
        <v>63</v>
      </c>
      <c r="G122" s="92">
        <f>VLOOKUP(A122,'Data Vlaue (Cr)'!C117:CB338,78,0)</f>
        <v>3.9100000000000003E-2</v>
      </c>
      <c r="H122" s="91">
        <f>VLOOKUP($A122,'Data Vlaue (Cr)'!$C:$FB,91)</f>
        <v>1507</v>
      </c>
      <c r="I122" s="91">
        <f>VLOOKUP($A122,'Data Vlaue (Cr)'!$C:$FB,93)</f>
        <v>22</v>
      </c>
      <c r="J122" s="92">
        <f>VLOOKUP($A122,'Data Vlaue (Cr)'!$C:$FB,94)</f>
        <v>1.5100000000000001E-2</v>
      </c>
      <c r="K122" s="91">
        <f>VLOOKUP($A122,'Data Vlaue (Cr)'!$C:$FB,95)</f>
        <v>520</v>
      </c>
      <c r="L122" s="91">
        <f>VLOOKUP($A122,'Data Vlaue (Cr)'!$C:$FB,97)</f>
        <v>27</v>
      </c>
      <c r="M122" s="92">
        <f>VLOOKUP($A122,'Data Vlaue (Cr)'!$C:$FB,98)</f>
        <v>5.5300000000000002E-2</v>
      </c>
      <c r="N122" s="91">
        <f>VLOOKUP($A122,'Data Vlaue (Cr)'!$C:$FB,79)</f>
        <v>1068</v>
      </c>
      <c r="O122" s="92">
        <f>VLOOKUP($A122,'Data Vlaue (Cr)'!$C:$FB,82)</f>
        <v>-0.22539999999999999</v>
      </c>
    </row>
    <row r="123" spans="1:15" x14ac:dyDescent="0.25">
      <c r="A123" s="97" t="str">
        <f>'Data Vlaue (Cr)'!C118</f>
        <v>KAYNES</v>
      </c>
      <c r="B123" s="142">
        <f>VLOOKUP(A123,'Data Vlaue (Cr)'!C118:CW339,99,0)</f>
        <v>1497</v>
      </c>
      <c r="C123" s="90">
        <f>VLOOKUP(A123,'Data Vlaue (Cr)'!C118:CY339,101,0)</f>
        <v>54</v>
      </c>
      <c r="D123" s="139">
        <f>VLOOKUP(A123,'Data Vlaue (Cr)'!C118:CZ339,102,0)</f>
        <v>3.7199999999999997E-2</v>
      </c>
      <c r="E123" s="91">
        <f>VLOOKUP($A123,'Data Vlaue (Cr)'!$C:$FB,75)</f>
        <v>516</v>
      </c>
      <c r="F123" s="91">
        <f>VLOOKUP($A123,'Data Vlaue (Cr)'!$C:$FB,77)</f>
        <v>7</v>
      </c>
      <c r="G123" s="92">
        <f>VLOOKUP(A123,'Data Vlaue (Cr)'!C118:CB339,78,0)</f>
        <v>1.3100000000000001E-2</v>
      </c>
      <c r="H123" s="91">
        <f>VLOOKUP($A123,'Data Vlaue (Cr)'!$C:$FB,91)</f>
        <v>601</v>
      </c>
      <c r="I123" s="91">
        <f>VLOOKUP($A123,'Data Vlaue (Cr)'!$C:$FB,93)</f>
        <v>45</v>
      </c>
      <c r="J123" s="92">
        <f>VLOOKUP($A123,'Data Vlaue (Cr)'!$C:$FB,94)</f>
        <v>8.1299999999999997E-2</v>
      </c>
      <c r="K123" s="91">
        <f>VLOOKUP($A123,'Data Vlaue (Cr)'!$C:$FB,95)</f>
        <v>380</v>
      </c>
      <c r="L123" s="91">
        <f>VLOOKUP($A123,'Data Vlaue (Cr)'!$C:$FB,97)</f>
        <v>2</v>
      </c>
      <c r="M123" s="92">
        <f>VLOOKUP($A123,'Data Vlaue (Cr)'!$C:$FB,98)</f>
        <v>4.8999999999999998E-3</v>
      </c>
      <c r="N123" s="91">
        <f>VLOOKUP($A123,'Data Vlaue (Cr)'!$C:$FB,79)</f>
        <v>480</v>
      </c>
      <c r="O123" s="92">
        <f>VLOOKUP($A123,'Data Vlaue (Cr)'!$C:$FB,82)</f>
        <v>0</v>
      </c>
    </row>
    <row r="124" spans="1:15" x14ac:dyDescent="0.25">
      <c r="A124" s="97" t="str">
        <f>'Data Vlaue (Cr)'!C119</f>
        <v>KEI</v>
      </c>
      <c r="B124" s="142">
        <f>VLOOKUP(A124,'Data Vlaue (Cr)'!C119:CW340,99,0)</f>
        <v>814</v>
      </c>
      <c r="C124" s="90">
        <f>VLOOKUP(A124,'Data Vlaue (Cr)'!C119:CY340,101,0)</f>
        <v>49</v>
      </c>
      <c r="D124" s="139">
        <f>VLOOKUP(A124,'Data Vlaue (Cr)'!C119:CZ340,102,0)</f>
        <v>6.4699999999999994E-2</v>
      </c>
      <c r="E124" s="91">
        <f>VLOOKUP($A124,'Data Vlaue (Cr)'!$C:$FB,75)</f>
        <v>467</v>
      </c>
      <c r="F124" s="91">
        <f>VLOOKUP($A124,'Data Vlaue (Cr)'!$C:$FB,77)</f>
        <v>-7</v>
      </c>
      <c r="G124" s="92">
        <f>VLOOKUP(A124,'Data Vlaue (Cr)'!C119:CB340,78,0)</f>
        <v>-1.49E-2</v>
      </c>
      <c r="H124" s="91">
        <f>VLOOKUP($A124,'Data Vlaue (Cr)'!$C:$FB,91)</f>
        <v>202</v>
      </c>
      <c r="I124" s="91">
        <f>VLOOKUP($A124,'Data Vlaue (Cr)'!$C:$FB,93)</f>
        <v>58</v>
      </c>
      <c r="J124" s="92">
        <f>VLOOKUP($A124,'Data Vlaue (Cr)'!$C:$FB,94)</f>
        <v>0.39710000000000001</v>
      </c>
      <c r="K124" s="91">
        <f>VLOOKUP($A124,'Data Vlaue (Cr)'!$C:$FB,95)</f>
        <v>145</v>
      </c>
      <c r="L124" s="91">
        <f>VLOOKUP($A124,'Data Vlaue (Cr)'!$C:$FB,97)</f>
        <v>-1</v>
      </c>
      <c r="M124" s="92">
        <f>VLOOKUP($A124,'Data Vlaue (Cr)'!$C:$FB,98)</f>
        <v>-6.7000000000000002E-3</v>
      </c>
      <c r="N124" s="91">
        <f>VLOOKUP($A124,'Data Vlaue (Cr)'!$C:$FB,79)</f>
        <v>452</v>
      </c>
      <c r="O124" s="92">
        <f>VLOOKUP($A124,'Data Vlaue (Cr)'!$C:$FB,82)</f>
        <v>-2.01E-2</v>
      </c>
    </row>
    <row r="125" spans="1:15" x14ac:dyDescent="0.25">
      <c r="A125" s="97" t="str">
        <f>'Data Vlaue (Cr)'!C120</f>
        <v>KFINTECH</v>
      </c>
      <c r="B125" s="142">
        <f>VLOOKUP(A125,'Data Vlaue (Cr)'!C120:CW341,99,0)</f>
        <v>414</v>
      </c>
      <c r="C125" s="90">
        <f>VLOOKUP(A125,'Data Vlaue (Cr)'!C120:CY341,101,0)</f>
        <v>22</v>
      </c>
      <c r="D125" s="139">
        <f>VLOOKUP(A125,'Data Vlaue (Cr)'!C120:CZ341,102,0)</f>
        <v>5.5500000000000001E-2</v>
      </c>
      <c r="E125" s="91">
        <f>VLOOKUP($A125,'Data Vlaue (Cr)'!$C:$FB,75)</f>
        <v>241</v>
      </c>
      <c r="F125" s="91">
        <f>VLOOKUP($A125,'Data Vlaue (Cr)'!$C:$FB,77)</f>
        <v>6</v>
      </c>
      <c r="G125" s="92">
        <f>VLOOKUP(A125,'Data Vlaue (Cr)'!C120:CB341,78,0)</f>
        <v>2.6700000000000002E-2</v>
      </c>
      <c r="H125" s="91">
        <f>VLOOKUP($A125,'Data Vlaue (Cr)'!$C:$FB,91)</f>
        <v>118</v>
      </c>
      <c r="I125" s="91">
        <f>VLOOKUP($A125,'Data Vlaue (Cr)'!$C:$FB,93)</f>
        <v>17</v>
      </c>
      <c r="J125" s="92">
        <f>VLOOKUP($A125,'Data Vlaue (Cr)'!$C:$FB,94)</f>
        <v>0.17100000000000001</v>
      </c>
      <c r="K125" s="91">
        <f>VLOOKUP($A125,'Data Vlaue (Cr)'!$C:$FB,95)</f>
        <v>55</v>
      </c>
      <c r="L125" s="91">
        <f>VLOOKUP($A125,'Data Vlaue (Cr)'!$C:$FB,97)</f>
        <v>-2</v>
      </c>
      <c r="M125" s="92">
        <f>VLOOKUP($A125,'Data Vlaue (Cr)'!$C:$FB,98)</f>
        <v>-3.0700000000000002E-2</v>
      </c>
      <c r="N125" s="91">
        <f>VLOOKUP($A125,'Data Vlaue (Cr)'!$C:$FB,79)</f>
        <v>223</v>
      </c>
      <c r="O125" s="92">
        <f>VLOOKUP($A125,'Data Vlaue (Cr)'!$C:$FB,82)</f>
        <v>1.43E-2</v>
      </c>
    </row>
    <row r="126" spans="1:15" x14ac:dyDescent="0.25">
      <c r="A126" s="97" t="str">
        <f>'Data Vlaue (Cr)'!C121</f>
        <v>KOTAKBANK</v>
      </c>
      <c r="B126" s="142">
        <f>VLOOKUP(A126,'Data Vlaue (Cr)'!C121:CW342,99,0)</f>
        <v>9517</v>
      </c>
      <c r="C126" s="90">
        <f>VLOOKUP(A126,'Data Vlaue (Cr)'!C121:CY342,101,0)</f>
        <v>-11</v>
      </c>
      <c r="D126" s="139">
        <f>VLOOKUP(A126,'Data Vlaue (Cr)'!C121:CZ342,102,0)</f>
        <v>-1.1000000000000001E-3</v>
      </c>
      <c r="E126" s="91">
        <f>VLOOKUP($A126,'Data Vlaue (Cr)'!$C:$FB,75)</f>
        <v>6835</v>
      </c>
      <c r="F126" s="91">
        <f>VLOOKUP($A126,'Data Vlaue (Cr)'!$C:$FB,77)</f>
        <v>9</v>
      </c>
      <c r="G126" s="92">
        <f>VLOOKUP(A126,'Data Vlaue (Cr)'!C121:CB342,78,0)</f>
        <v>1.2999999999999999E-3</v>
      </c>
      <c r="H126" s="91">
        <f>VLOOKUP($A126,'Data Vlaue (Cr)'!$C:$FB,91)</f>
        <v>1563</v>
      </c>
      <c r="I126" s="91">
        <f>VLOOKUP($A126,'Data Vlaue (Cr)'!$C:$FB,93)</f>
        <v>13</v>
      </c>
      <c r="J126" s="92">
        <f>VLOOKUP($A126,'Data Vlaue (Cr)'!$C:$FB,94)</f>
        <v>8.0999999999999996E-3</v>
      </c>
      <c r="K126" s="91">
        <f>VLOOKUP($A126,'Data Vlaue (Cr)'!$C:$FB,95)</f>
        <v>1120</v>
      </c>
      <c r="L126" s="91">
        <f>VLOOKUP($A126,'Data Vlaue (Cr)'!$C:$FB,97)</f>
        <v>-32</v>
      </c>
      <c r="M126" s="92">
        <f>VLOOKUP($A126,'Data Vlaue (Cr)'!$C:$FB,98)</f>
        <v>-2.8000000000000001E-2</v>
      </c>
      <c r="N126" s="91">
        <f>VLOOKUP($A126,'Data Vlaue (Cr)'!$C:$FB,79)</f>
        <v>6070</v>
      </c>
      <c r="O126" s="92">
        <f>VLOOKUP($A126,'Data Vlaue (Cr)'!$C:$FB,82)</f>
        <v>-2.5100000000000001E-2</v>
      </c>
    </row>
    <row r="127" spans="1:15" x14ac:dyDescent="0.25">
      <c r="A127" s="97" t="str">
        <f>'Data Vlaue (Cr)'!C122</f>
        <v>KPITTECH</v>
      </c>
      <c r="B127" s="142">
        <f>VLOOKUP(A127,'Data Vlaue (Cr)'!C122:CW343,99,0)</f>
        <v>1182</v>
      </c>
      <c r="C127" s="90">
        <f>VLOOKUP(A127,'Data Vlaue (Cr)'!C122:CY343,101,0)</f>
        <v>11</v>
      </c>
      <c r="D127" s="139">
        <f>VLOOKUP(A127,'Data Vlaue (Cr)'!C122:CZ343,102,0)</f>
        <v>8.9999999999999993E-3</v>
      </c>
      <c r="E127" s="91">
        <f>VLOOKUP($A127,'Data Vlaue (Cr)'!$C:$FB,75)</f>
        <v>530</v>
      </c>
      <c r="F127" s="91">
        <f>VLOOKUP($A127,'Data Vlaue (Cr)'!$C:$FB,77)</f>
        <v>-2</v>
      </c>
      <c r="G127" s="92">
        <f>VLOOKUP(A127,'Data Vlaue (Cr)'!C122:CB343,78,0)</f>
        <v>-4.1999999999999997E-3</v>
      </c>
      <c r="H127" s="91">
        <f>VLOOKUP($A127,'Data Vlaue (Cr)'!$C:$FB,91)</f>
        <v>352</v>
      </c>
      <c r="I127" s="91">
        <f>VLOOKUP($A127,'Data Vlaue (Cr)'!$C:$FB,93)</f>
        <v>4</v>
      </c>
      <c r="J127" s="92">
        <f>VLOOKUP($A127,'Data Vlaue (Cr)'!$C:$FB,94)</f>
        <v>1.2800000000000001E-2</v>
      </c>
      <c r="K127" s="91">
        <f>VLOOKUP($A127,'Data Vlaue (Cr)'!$C:$FB,95)</f>
        <v>301</v>
      </c>
      <c r="L127" s="91">
        <f>VLOOKUP($A127,'Data Vlaue (Cr)'!$C:$FB,97)</f>
        <v>8</v>
      </c>
      <c r="M127" s="92">
        <f>VLOOKUP($A127,'Data Vlaue (Cr)'!$C:$FB,98)</f>
        <v>2.87E-2</v>
      </c>
      <c r="N127" s="91">
        <f>VLOOKUP($A127,'Data Vlaue (Cr)'!$C:$FB,79)</f>
        <v>460</v>
      </c>
      <c r="O127" s="92">
        <f>VLOOKUP($A127,'Data Vlaue (Cr)'!$C:$FB,82)</f>
        <v>-3.5999999999999997E-2</v>
      </c>
    </row>
    <row r="128" spans="1:15" x14ac:dyDescent="0.25">
      <c r="A128" s="97" t="str">
        <f>'Data Vlaue (Cr)'!C123</f>
        <v>LAURUSLABS</v>
      </c>
      <c r="B128" s="142">
        <f>VLOOKUP(A128,'Data Vlaue (Cr)'!C123:CW344,99,0)</f>
        <v>3491</v>
      </c>
      <c r="C128" s="90">
        <f>VLOOKUP(A128,'Data Vlaue (Cr)'!C123:CY344,101,0)</f>
        <v>70</v>
      </c>
      <c r="D128" s="139">
        <f>VLOOKUP(A128,'Data Vlaue (Cr)'!C123:CZ344,102,0)</f>
        <v>2.06E-2</v>
      </c>
      <c r="E128" s="91">
        <f>VLOOKUP($A128,'Data Vlaue (Cr)'!$C:$FB,75)</f>
        <v>1312</v>
      </c>
      <c r="F128" s="91">
        <f>VLOOKUP($A128,'Data Vlaue (Cr)'!$C:$FB,77)</f>
        <v>23</v>
      </c>
      <c r="G128" s="92">
        <f>VLOOKUP(A128,'Data Vlaue (Cr)'!C123:CB344,78,0)</f>
        <v>1.77E-2</v>
      </c>
      <c r="H128" s="91">
        <f>VLOOKUP($A128,'Data Vlaue (Cr)'!$C:$FB,91)</f>
        <v>1340</v>
      </c>
      <c r="I128" s="91">
        <f>VLOOKUP($A128,'Data Vlaue (Cr)'!$C:$FB,93)</f>
        <v>61</v>
      </c>
      <c r="J128" s="92">
        <f>VLOOKUP($A128,'Data Vlaue (Cr)'!$C:$FB,94)</f>
        <v>4.7399999999999998E-2</v>
      </c>
      <c r="K128" s="91">
        <f>VLOOKUP($A128,'Data Vlaue (Cr)'!$C:$FB,95)</f>
        <v>839</v>
      </c>
      <c r="L128" s="91">
        <f>VLOOKUP($A128,'Data Vlaue (Cr)'!$C:$FB,97)</f>
        <v>-13</v>
      </c>
      <c r="M128" s="92">
        <f>VLOOKUP($A128,'Data Vlaue (Cr)'!$C:$FB,98)</f>
        <v>-1.52E-2</v>
      </c>
      <c r="N128" s="91">
        <f>VLOOKUP($A128,'Data Vlaue (Cr)'!$C:$FB,79)</f>
        <v>1168</v>
      </c>
      <c r="O128" s="92">
        <f>VLOOKUP($A128,'Data Vlaue (Cr)'!$C:$FB,82)</f>
        <v>3.2000000000000002E-3</v>
      </c>
    </row>
    <row r="129" spans="1:15" x14ac:dyDescent="0.25">
      <c r="A129" s="97" t="str">
        <f>'Data Vlaue (Cr)'!C124</f>
        <v>LICHSGFIN</v>
      </c>
      <c r="B129" s="142">
        <f>VLOOKUP(A129,'Data Vlaue (Cr)'!C124:CW345,99,0)</f>
        <v>2970</v>
      </c>
      <c r="C129" s="90">
        <f>VLOOKUP(A129,'Data Vlaue (Cr)'!C124:CY345,101,0)</f>
        <v>-92</v>
      </c>
      <c r="D129" s="139">
        <f>VLOOKUP(A129,'Data Vlaue (Cr)'!C124:CZ345,102,0)</f>
        <v>-3.0200000000000001E-2</v>
      </c>
      <c r="E129" s="91">
        <f>VLOOKUP($A129,'Data Vlaue (Cr)'!$C:$FB,75)</f>
        <v>1823</v>
      </c>
      <c r="F129" s="91">
        <f>VLOOKUP($A129,'Data Vlaue (Cr)'!$C:$FB,77)</f>
        <v>-83</v>
      </c>
      <c r="G129" s="92">
        <f>VLOOKUP(A129,'Data Vlaue (Cr)'!C124:CB345,78,0)</f>
        <v>-4.36E-2</v>
      </c>
      <c r="H129" s="91">
        <f>VLOOKUP($A129,'Data Vlaue (Cr)'!$C:$FB,91)</f>
        <v>694</v>
      </c>
      <c r="I129" s="91">
        <f>VLOOKUP($A129,'Data Vlaue (Cr)'!$C:$FB,93)</f>
        <v>0</v>
      </c>
      <c r="J129" s="92">
        <f>VLOOKUP($A129,'Data Vlaue (Cr)'!$C:$FB,94)</f>
        <v>-2.9999999999999997E-4</v>
      </c>
      <c r="K129" s="91">
        <f>VLOOKUP($A129,'Data Vlaue (Cr)'!$C:$FB,95)</f>
        <v>452</v>
      </c>
      <c r="L129" s="91">
        <f>VLOOKUP($A129,'Data Vlaue (Cr)'!$C:$FB,97)</f>
        <v>-9</v>
      </c>
      <c r="M129" s="92">
        <f>VLOOKUP($A129,'Data Vlaue (Cr)'!$C:$FB,98)</f>
        <v>-1.9800000000000002E-2</v>
      </c>
      <c r="N129" s="91">
        <f>VLOOKUP($A129,'Data Vlaue (Cr)'!$C:$FB,79)</f>
        <v>1319</v>
      </c>
      <c r="O129" s="92">
        <f>VLOOKUP($A129,'Data Vlaue (Cr)'!$C:$FB,82)</f>
        <v>-6.6699999999999995E-2</v>
      </c>
    </row>
    <row r="130" spans="1:15" x14ac:dyDescent="0.25">
      <c r="A130" s="97" t="str">
        <f>'Data Vlaue (Cr)'!C125</f>
        <v>LICI</v>
      </c>
      <c r="B130" s="142">
        <f>VLOOKUP(A130,'Data Vlaue (Cr)'!C125:CW346,99,0)</f>
        <v>1461</v>
      </c>
      <c r="C130" s="90">
        <f>VLOOKUP(A130,'Data Vlaue (Cr)'!C125:CY346,101,0)</f>
        <v>13</v>
      </c>
      <c r="D130" s="139">
        <f>VLOOKUP(A130,'Data Vlaue (Cr)'!C125:CZ346,102,0)</f>
        <v>9.1999999999999998E-3</v>
      </c>
      <c r="E130" s="91">
        <f>VLOOKUP($A130,'Data Vlaue (Cr)'!$C:$FB,75)</f>
        <v>735</v>
      </c>
      <c r="F130" s="91">
        <f>VLOOKUP($A130,'Data Vlaue (Cr)'!$C:$FB,77)</f>
        <v>20</v>
      </c>
      <c r="G130" s="92">
        <f>VLOOKUP(A130,'Data Vlaue (Cr)'!C125:CB346,78,0)</f>
        <v>2.76E-2</v>
      </c>
      <c r="H130" s="91">
        <f>VLOOKUP($A130,'Data Vlaue (Cr)'!$C:$FB,91)</f>
        <v>462</v>
      </c>
      <c r="I130" s="91">
        <f>VLOOKUP($A130,'Data Vlaue (Cr)'!$C:$FB,93)</f>
        <v>-12</v>
      </c>
      <c r="J130" s="92">
        <f>VLOOKUP($A130,'Data Vlaue (Cr)'!$C:$FB,94)</f>
        <v>-2.5600000000000001E-2</v>
      </c>
      <c r="K130" s="91">
        <f>VLOOKUP($A130,'Data Vlaue (Cr)'!$C:$FB,95)</f>
        <v>265</v>
      </c>
      <c r="L130" s="91">
        <f>VLOOKUP($A130,'Data Vlaue (Cr)'!$C:$FB,97)</f>
        <v>6</v>
      </c>
      <c r="M130" s="92">
        <f>VLOOKUP($A130,'Data Vlaue (Cr)'!$C:$FB,98)</f>
        <v>2.2200000000000001E-2</v>
      </c>
      <c r="N130" s="91">
        <f>VLOOKUP($A130,'Data Vlaue (Cr)'!$C:$FB,79)</f>
        <v>634</v>
      </c>
      <c r="O130" s="92">
        <f>VLOOKUP($A130,'Data Vlaue (Cr)'!$C:$FB,82)</f>
        <v>1.95E-2</v>
      </c>
    </row>
    <row r="131" spans="1:15" x14ac:dyDescent="0.25">
      <c r="A131" s="97" t="str">
        <f>'Data Vlaue (Cr)'!C126</f>
        <v>LODHA</v>
      </c>
      <c r="B131" s="142">
        <f>VLOOKUP(A131,'Data Vlaue (Cr)'!C126:CW347,99,0)</f>
        <v>1584</v>
      </c>
      <c r="C131" s="90">
        <f>VLOOKUP(A131,'Data Vlaue (Cr)'!C126:CY347,101,0)</f>
        <v>4</v>
      </c>
      <c r="D131" s="139">
        <f>VLOOKUP(A131,'Data Vlaue (Cr)'!C126:CZ347,102,0)</f>
        <v>2.3E-3</v>
      </c>
      <c r="E131" s="91">
        <f>VLOOKUP($A131,'Data Vlaue (Cr)'!$C:$FB,75)</f>
        <v>1174</v>
      </c>
      <c r="F131" s="91">
        <f>VLOOKUP($A131,'Data Vlaue (Cr)'!$C:$FB,77)</f>
        <v>11</v>
      </c>
      <c r="G131" s="92">
        <f>VLOOKUP(A131,'Data Vlaue (Cr)'!C126:CB347,78,0)</f>
        <v>9.2999999999999992E-3</v>
      </c>
      <c r="H131" s="91">
        <f>VLOOKUP($A131,'Data Vlaue (Cr)'!$C:$FB,91)</f>
        <v>250</v>
      </c>
      <c r="I131" s="91">
        <f>VLOOKUP($A131,'Data Vlaue (Cr)'!$C:$FB,93)</f>
        <v>-24</v>
      </c>
      <c r="J131" s="92">
        <f>VLOOKUP($A131,'Data Vlaue (Cr)'!$C:$FB,94)</f>
        <v>-8.6800000000000002E-2</v>
      </c>
      <c r="K131" s="91">
        <f>VLOOKUP($A131,'Data Vlaue (Cr)'!$C:$FB,95)</f>
        <v>161</v>
      </c>
      <c r="L131" s="91">
        <f>VLOOKUP($A131,'Data Vlaue (Cr)'!$C:$FB,97)</f>
        <v>17</v>
      </c>
      <c r="M131" s="92">
        <f>VLOOKUP($A131,'Data Vlaue (Cr)'!$C:$FB,98)</f>
        <v>0.1152</v>
      </c>
      <c r="N131" s="91">
        <f>VLOOKUP($A131,'Data Vlaue (Cr)'!$C:$FB,79)</f>
        <v>1097</v>
      </c>
      <c r="O131" s="92">
        <f>VLOOKUP($A131,'Data Vlaue (Cr)'!$C:$FB,82)</f>
        <v>-1.46E-2</v>
      </c>
    </row>
    <row r="132" spans="1:15" x14ac:dyDescent="0.25">
      <c r="A132" s="97" t="str">
        <f>'Data Vlaue (Cr)'!C127</f>
        <v>LT</v>
      </c>
      <c r="B132" s="142">
        <f>VLOOKUP(A132,'Data Vlaue (Cr)'!C127:CW348,99,0)</f>
        <v>8848</v>
      </c>
      <c r="C132" s="90">
        <f>VLOOKUP(A132,'Data Vlaue (Cr)'!C127:CY348,101,0)</f>
        <v>418</v>
      </c>
      <c r="D132" s="139">
        <f>VLOOKUP(A132,'Data Vlaue (Cr)'!C127:CZ348,102,0)</f>
        <v>4.9599999999999998E-2</v>
      </c>
      <c r="E132" s="91">
        <f>VLOOKUP($A132,'Data Vlaue (Cr)'!$C:$FB,75)</f>
        <v>5477</v>
      </c>
      <c r="F132" s="91">
        <f>VLOOKUP($A132,'Data Vlaue (Cr)'!$C:$FB,77)</f>
        <v>43</v>
      </c>
      <c r="G132" s="92">
        <f>VLOOKUP(A132,'Data Vlaue (Cr)'!C127:CB348,78,0)</f>
        <v>7.9000000000000008E-3</v>
      </c>
      <c r="H132" s="91">
        <f>VLOOKUP($A132,'Data Vlaue (Cr)'!$C:$FB,91)</f>
        <v>2285</v>
      </c>
      <c r="I132" s="91">
        <f>VLOOKUP($A132,'Data Vlaue (Cr)'!$C:$FB,93)</f>
        <v>333</v>
      </c>
      <c r="J132" s="92">
        <f>VLOOKUP($A132,'Data Vlaue (Cr)'!$C:$FB,94)</f>
        <v>0.1706</v>
      </c>
      <c r="K132" s="91">
        <f>VLOOKUP($A132,'Data Vlaue (Cr)'!$C:$FB,95)</f>
        <v>1086</v>
      </c>
      <c r="L132" s="91">
        <f>VLOOKUP($A132,'Data Vlaue (Cr)'!$C:$FB,97)</f>
        <v>43</v>
      </c>
      <c r="M132" s="92">
        <f>VLOOKUP($A132,'Data Vlaue (Cr)'!$C:$FB,98)</f>
        <v>4.0800000000000003E-2</v>
      </c>
      <c r="N132" s="91">
        <f>VLOOKUP($A132,'Data Vlaue (Cr)'!$C:$FB,79)</f>
        <v>4578</v>
      </c>
      <c r="O132" s="92">
        <f>VLOOKUP($A132,'Data Vlaue (Cr)'!$C:$FB,82)</f>
        <v>-2.3E-2</v>
      </c>
    </row>
    <row r="133" spans="1:15" x14ac:dyDescent="0.25">
      <c r="A133" s="97" t="str">
        <f>'Data Vlaue (Cr)'!C128</f>
        <v>LTF</v>
      </c>
      <c r="B133" s="142">
        <f>VLOOKUP(A133,'Data Vlaue (Cr)'!C128:CW349,99,0)</f>
        <v>2278</v>
      </c>
      <c r="C133" s="90">
        <f>VLOOKUP(A133,'Data Vlaue (Cr)'!C128:CY349,101,0)</f>
        <v>-20</v>
      </c>
      <c r="D133" s="139">
        <f>VLOOKUP(A133,'Data Vlaue (Cr)'!C128:CZ349,102,0)</f>
        <v>-8.6999999999999994E-3</v>
      </c>
      <c r="E133" s="91">
        <f>VLOOKUP($A133,'Data Vlaue (Cr)'!$C:$FB,75)</f>
        <v>1027</v>
      </c>
      <c r="F133" s="91">
        <f>VLOOKUP($A133,'Data Vlaue (Cr)'!$C:$FB,77)</f>
        <v>-33</v>
      </c>
      <c r="G133" s="92">
        <f>VLOOKUP(A133,'Data Vlaue (Cr)'!C128:CB349,78,0)</f>
        <v>-3.09E-2</v>
      </c>
      <c r="H133" s="91">
        <f>VLOOKUP($A133,'Data Vlaue (Cr)'!$C:$FB,91)</f>
        <v>635</v>
      </c>
      <c r="I133" s="91">
        <f>VLOOKUP($A133,'Data Vlaue (Cr)'!$C:$FB,93)</f>
        <v>10</v>
      </c>
      <c r="J133" s="92">
        <f>VLOOKUP($A133,'Data Vlaue (Cr)'!$C:$FB,94)</f>
        <v>1.67E-2</v>
      </c>
      <c r="K133" s="91">
        <f>VLOOKUP($A133,'Data Vlaue (Cr)'!$C:$FB,95)</f>
        <v>616</v>
      </c>
      <c r="L133" s="91">
        <f>VLOOKUP($A133,'Data Vlaue (Cr)'!$C:$FB,97)</f>
        <v>2</v>
      </c>
      <c r="M133" s="92">
        <f>VLOOKUP($A133,'Data Vlaue (Cr)'!$C:$FB,98)</f>
        <v>3.8999999999999998E-3</v>
      </c>
      <c r="N133" s="91">
        <f>VLOOKUP($A133,'Data Vlaue (Cr)'!$C:$FB,79)</f>
        <v>933</v>
      </c>
      <c r="O133" s="92">
        <f>VLOOKUP($A133,'Data Vlaue (Cr)'!$C:$FB,82)</f>
        <v>-3.6299999999999999E-2</v>
      </c>
    </row>
    <row r="134" spans="1:15" x14ac:dyDescent="0.25">
      <c r="A134" s="97" t="str">
        <f>'Data Vlaue (Cr)'!C129</f>
        <v>LTIM</v>
      </c>
      <c r="B134" s="142">
        <f>VLOOKUP(A134,'Data Vlaue (Cr)'!C129:CW350,99,0)</f>
        <v>2196</v>
      </c>
      <c r="C134" s="90">
        <f>VLOOKUP(A134,'Data Vlaue (Cr)'!C129:CY350,101,0)</f>
        <v>-39</v>
      </c>
      <c r="D134" s="139">
        <f>VLOOKUP(A134,'Data Vlaue (Cr)'!C129:CZ350,102,0)</f>
        <v>-1.7299999999999999E-2</v>
      </c>
      <c r="E134" s="91">
        <f>VLOOKUP($A134,'Data Vlaue (Cr)'!$C:$FB,75)</f>
        <v>1458</v>
      </c>
      <c r="F134" s="91">
        <f>VLOOKUP($A134,'Data Vlaue (Cr)'!$C:$FB,77)</f>
        <v>-2</v>
      </c>
      <c r="G134" s="92">
        <f>VLOOKUP(A134,'Data Vlaue (Cr)'!C129:CB350,78,0)</f>
        <v>-1.6999999999999999E-3</v>
      </c>
      <c r="H134" s="91">
        <f>VLOOKUP($A134,'Data Vlaue (Cr)'!$C:$FB,91)</f>
        <v>443</v>
      </c>
      <c r="I134" s="91">
        <f>VLOOKUP($A134,'Data Vlaue (Cr)'!$C:$FB,93)</f>
        <v>-49</v>
      </c>
      <c r="J134" s="92">
        <f>VLOOKUP($A134,'Data Vlaue (Cr)'!$C:$FB,94)</f>
        <v>-9.9099999999999994E-2</v>
      </c>
      <c r="K134" s="91">
        <f>VLOOKUP($A134,'Data Vlaue (Cr)'!$C:$FB,95)</f>
        <v>294</v>
      </c>
      <c r="L134" s="91">
        <f>VLOOKUP($A134,'Data Vlaue (Cr)'!$C:$FB,97)</f>
        <v>13</v>
      </c>
      <c r="M134" s="92">
        <f>VLOOKUP($A134,'Data Vlaue (Cr)'!$C:$FB,98)</f>
        <v>4.4900000000000002E-2</v>
      </c>
      <c r="N134" s="91">
        <f>VLOOKUP($A134,'Data Vlaue (Cr)'!$C:$FB,79)</f>
        <v>1277</v>
      </c>
      <c r="O134" s="92">
        <f>VLOOKUP($A134,'Data Vlaue (Cr)'!$C:$FB,82)</f>
        <v>-4.4699999999999997E-2</v>
      </c>
    </row>
    <row r="135" spans="1:15" x14ac:dyDescent="0.25">
      <c r="A135" s="97" t="str">
        <f>'Data Vlaue (Cr)'!C130</f>
        <v>LUPIN</v>
      </c>
      <c r="B135" s="142">
        <f>VLOOKUP(A135,'Data Vlaue (Cr)'!C130:CW351,99,0)</f>
        <v>3428</v>
      </c>
      <c r="C135" s="90">
        <f>VLOOKUP(A135,'Data Vlaue (Cr)'!C130:CY351,101,0)</f>
        <v>59</v>
      </c>
      <c r="D135" s="139">
        <f>VLOOKUP(A135,'Data Vlaue (Cr)'!C130:CZ351,102,0)</f>
        <v>1.7600000000000001E-2</v>
      </c>
      <c r="E135" s="91">
        <f>VLOOKUP($A135,'Data Vlaue (Cr)'!$C:$FB,75)</f>
        <v>2171</v>
      </c>
      <c r="F135" s="91">
        <f>VLOOKUP($A135,'Data Vlaue (Cr)'!$C:$FB,77)</f>
        <v>2</v>
      </c>
      <c r="G135" s="92">
        <f>VLOOKUP(A135,'Data Vlaue (Cr)'!C130:CB351,78,0)</f>
        <v>6.9999999999999999E-4</v>
      </c>
      <c r="H135" s="91">
        <f>VLOOKUP($A135,'Data Vlaue (Cr)'!$C:$FB,91)</f>
        <v>745</v>
      </c>
      <c r="I135" s="91">
        <f>VLOOKUP($A135,'Data Vlaue (Cr)'!$C:$FB,93)</f>
        <v>50</v>
      </c>
      <c r="J135" s="92">
        <f>VLOOKUP($A135,'Data Vlaue (Cr)'!$C:$FB,94)</f>
        <v>7.1800000000000003E-2</v>
      </c>
      <c r="K135" s="91">
        <f>VLOOKUP($A135,'Data Vlaue (Cr)'!$C:$FB,95)</f>
        <v>512</v>
      </c>
      <c r="L135" s="91">
        <f>VLOOKUP($A135,'Data Vlaue (Cr)'!$C:$FB,97)</f>
        <v>8</v>
      </c>
      <c r="M135" s="92">
        <f>VLOOKUP($A135,'Data Vlaue (Cr)'!$C:$FB,98)</f>
        <v>1.52E-2</v>
      </c>
      <c r="N135" s="91">
        <f>VLOOKUP($A135,'Data Vlaue (Cr)'!$C:$FB,79)</f>
        <v>2046</v>
      </c>
      <c r="O135" s="92">
        <f>VLOOKUP($A135,'Data Vlaue (Cr)'!$C:$FB,82)</f>
        <v>-1.2800000000000001E-2</v>
      </c>
    </row>
    <row r="136" spans="1:15" x14ac:dyDescent="0.25">
      <c r="A136" s="97" t="str">
        <f>'Data Vlaue (Cr)'!C131</f>
        <v>M&amp;M</v>
      </c>
      <c r="B136" s="142">
        <f>VLOOKUP(A136,'Data Vlaue (Cr)'!C131:CW352,99,0)</f>
        <v>11057</v>
      </c>
      <c r="C136" s="90">
        <f>VLOOKUP(A136,'Data Vlaue (Cr)'!C131:CY352,101,0)</f>
        <v>114</v>
      </c>
      <c r="D136" s="139">
        <f>VLOOKUP(A136,'Data Vlaue (Cr)'!C131:CZ352,102,0)</f>
        <v>1.04E-2</v>
      </c>
      <c r="E136" s="91">
        <f>VLOOKUP($A136,'Data Vlaue (Cr)'!$C:$FB,75)</f>
        <v>6693</v>
      </c>
      <c r="F136" s="91">
        <f>VLOOKUP($A136,'Data Vlaue (Cr)'!$C:$FB,77)</f>
        <v>-47</v>
      </c>
      <c r="G136" s="92">
        <f>VLOOKUP(A136,'Data Vlaue (Cr)'!C131:CB352,78,0)</f>
        <v>-6.8999999999999999E-3</v>
      </c>
      <c r="H136" s="91">
        <f>VLOOKUP($A136,'Data Vlaue (Cr)'!$C:$FB,91)</f>
        <v>2357</v>
      </c>
      <c r="I136" s="91">
        <f>VLOOKUP($A136,'Data Vlaue (Cr)'!$C:$FB,93)</f>
        <v>19</v>
      </c>
      <c r="J136" s="92">
        <f>VLOOKUP($A136,'Data Vlaue (Cr)'!$C:$FB,94)</f>
        <v>8.3000000000000001E-3</v>
      </c>
      <c r="K136" s="91">
        <f>VLOOKUP($A136,'Data Vlaue (Cr)'!$C:$FB,95)</f>
        <v>2007</v>
      </c>
      <c r="L136" s="91">
        <f>VLOOKUP($A136,'Data Vlaue (Cr)'!$C:$FB,97)</f>
        <v>141</v>
      </c>
      <c r="M136" s="92">
        <f>VLOOKUP($A136,'Data Vlaue (Cr)'!$C:$FB,98)</f>
        <v>7.5700000000000003E-2</v>
      </c>
      <c r="N136" s="91">
        <f>VLOOKUP($A136,'Data Vlaue (Cr)'!$C:$FB,79)</f>
        <v>5837</v>
      </c>
      <c r="O136" s="92">
        <f>VLOOKUP($A136,'Data Vlaue (Cr)'!$C:$FB,82)</f>
        <v>-1.72E-2</v>
      </c>
    </row>
    <row r="137" spans="1:15" x14ac:dyDescent="0.25">
      <c r="A137" s="97" t="str">
        <f>'Data Vlaue (Cr)'!C132</f>
        <v>MANAPPURAM</v>
      </c>
      <c r="B137" s="142">
        <f>VLOOKUP(A137,'Data Vlaue (Cr)'!C132:CW353,99,0)</f>
        <v>1639</v>
      </c>
      <c r="C137" s="90">
        <f>VLOOKUP(A137,'Data Vlaue (Cr)'!C132:CY353,101,0)</f>
        <v>50</v>
      </c>
      <c r="D137" s="139">
        <f>VLOOKUP(A137,'Data Vlaue (Cr)'!C132:CZ353,102,0)</f>
        <v>3.1699999999999999E-2</v>
      </c>
      <c r="E137" s="91">
        <f>VLOOKUP($A137,'Data Vlaue (Cr)'!$C:$FB,75)</f>
        <v>726</v>
      </c>
      <c r="F137" s="91">
        <f>VLOOKUP($A137,'Data Vlaue (Cr)'!$C:$FB,77)</f>
        <v>36</v>
      </c>
      <c r="G137" s="92">
        <f>VLOOKUP(A137,'Data Vlaue (Cr)'!C132:CB353,78,0)</f>
        <v>5.1799999999999999E-2</v>
      </c>
      <c r="H137" s="91">
        <f>VLOOKUP($A137,'Data Vlaue (Cr)'!$C:$FB,91)</f>
        <v>502</v>
      </c>
      <c r="I137" s="91">
        <f>VLOOKUP($A137,'Data Vlaue (Cr)'!$C:$FB,93)</f>
        <v>18</v>
      </c>
      <c r="J137" s="92">
        <f>VLOOKUP($A137,'Data Vlaue (Cr)'!$C:$FB,94)</f>
        <v>3.6799999999999999E-2</v>
      </c>
      <c r="K137" s="91">
        <f>VLOOKUP($A137,'Data Vlaue (Cr)'!$C:$FB,95)</f>
        <v>411</v>
      </c>
      <c r="L137" s="91">
        <f>VLOOKUP($A137,'Data Vlaue (Cr)'!$C:$FB,97)</f>
        <v>-3</v>
      </c>
      <c r="M137" s="92">
        <f>VLOOKUP($A137,'Data Vlaue (Cr)'!$C:$FB,98)</f>
        <v>-7.9000000000000008E-3</v>
      </c>
      <c r="N137" s="91">
        <f>VLOOKUP($A137,'Data Vlaue (Cr)'!$C:$FB,79)</f>
        <v>661</v>
      </c>
      <c r="O137" s="92">
        <f>VLOOKUP($A137,'Data Vlaue (Cr)'!$C:$FB,82)</f>
        <v>2.93E-2</v>
      </c>
    </row>
    <row r="138" spans="1:15" x14ac:dyDescent="0.25">
      <c r="A138" s="97" t="str">
        <f>'Data Vlaue (Cr)'!C133</f>
        <v>MANKIND</v>
      </c>
      <c r="B138" s="142">
        <f>VLOOKUP(A138,'Data Vlaue (Cr)'!C133:CW354,99,0)</f>
        <v>762</v>
      </c>
      <c r="C138" s="90">
        <f>VLOOKUP(A138,'Data Vlaue (Cr)'!C133:CY354,101,0)</f>
        <v>5</v>
      </c>
      <c r="D138" s="139">
        <f>VLOOKUP(A138,'Data Vlaue (Cr)'!C133:CZ354,102,0)</f>
        <v>6.3E-3</v>
      </c>
      <c r="E138" s="91">
        <f>VLOOKUP($A138,'Data Vlaue (Cr)'!$C:$FB,75)</f>
        <v>464</v>
      </c>
      <c r="F138" s="91">
        <f>VLOOKUP($A138,'Data Vlaue (Cr)'!$C:$FB,77)</f>
        <v>8</v>
      </c>
      <c r="G138" s="92">
        <f>VLOOKUP(A138,'Data Vlaue (Cr)'!C133:CB354,78,0)</f>
        <v>1.67E-2</v>
      </c>
      <c r="H138" s="91">
        <f>VLOOKUP($A138,'Data Vlaue (Cr)'!$C:$FB,91)</f>
        <v>202</v>
      </c>
      <c r="I138" s="91">
        <f>VLOOKUP($A138,'Data Vlaue (Cr)'!$C:$FB,93)</f>
        <v>-3</v>
      </c>
      <c r="J138" s="92">
        <f>VLOOKUP($A138,'Data Vlaue (Cr)'!$C:$FB,94)</f>
        <v>-1.35E-2</v>
      </c>
      <c r="K138" s="91">
        <f>VLOOKUP($A138,'Data Vlaue (Cr)'!$C:$FB,95)</f>
        <v>96</v>
      </c>
      <c r="L138" s="91">
        <f>VLOOKUP($A138,'Data Vlaue (Cr)'!$C:$FB,97)</f>
        <v>0</v>
      </c>
      <c r="M138" s="92">
        <f>VLOOKUP($A138,'Data Vlaue (Cr)'!$C:$FB,98)</f>
        <v>-1.1999999999999999E-3</v>
      </c>
      <c r="N138" s="91">
        <f>VLOOKUP($A138,'Data Vlaue (Cr)'!$C:$FB,79)</f>
        <v>438</v>
      </c>
      <c r="O138" s="92">
        <f>VLOOKUP($A138,'Data Vlaue (Cr)'!$C:$FB,82)</f>
        <v>7.1000000000000004E-3</v>
      </c>
    </row>
    <row r="139" spans="1:15" x14ac:dyDescent="0.25">
      <c r="A139" s="97" t="str">
        <f>'Data Vlaue (Cr)'!C134</f>
        <v>MARICO</v>
      </c>
      <c r="B139" s="142">
        <f>VLOOKUP(A139,'Data Vlaue (Cr)'!C134:CW355,99,0)</f>
        <v>2730</v>
      </c>
      <c r="C139" s="90">
        <f>VLOOKUP(A139,'Data Vlaue (Cr)'!C134:CY355,101,0)</f>
        <v>136</v>
      </c>
      <c r="D139" s="139">
        <f>VLOOKUP(A139,'Data Vlaue (Cr)'!C134:CZ355,102,0)</f>
        <v>5.2499999999999998E-2</v>
      </c>
      <c r="E139" s="91">
        <f>VLOOKUP($A139,'Data Vlaue (Cr)'!$C:$FB,75)</f>
        <v>1888</v>
      </c>
      <c r="F139" s="91">
        <f>VLOOKUP($A139,'Data Vlaue (Cr)'!$C:$FB,77)</f>
        <v>52</v>
      </c>
      <c r="G139" s="92">
        <f>VLOOKUP(A139,'Data Vlaue (Cr)'!C134:CB355,78,0)</f>
        <v>2.8199999999999999E-2</v>
      </c>
      <c r="H139" s="91">
        <f>VLOOKUP($A139,'Data Vlaue (Cr)'!$C:$FB,91)</f>
        <v>494</v>
      </c>
      <c r="I139" s="91">
        <f>VLOOKUP($A139,'Data Vlaue (Cr)'!$C:$FB,93)</f>
        <v>-44</v>
      </c>
      <c r="J139" s="92">
        <f>VLOOKUP($A139,'Data Vlaue (Cr)'!$C:$FB,94)</f>
        <v>-8.09E-2</v>
      </c>
      <c r="K139" s="91">
        <f>VLOOKUP($A139,'Data Vlaue (Cr)'!$C:$FB,95)</f>
        <v>347</v>
      </c>
      <c r="L139" s="91">
        <f>VLOOKUP($A139,'Data Vlaue (Cr)'!$C:$FB,97)</f>
        <v>128</v>
      </c>
      <c r="M139" s="92">
        <f>VLOOKUP($A139,'Data Vlaue (Cr)'!$C:$FB,98)</f>
        <v>0.58360000000000001</v>
      </c>
      <c r="N139" s="91">
        <f>VLOOKUP($A139,'Data Vlaue (Cr)'!$C:$FB,79)</f>
        <v>1812</v>
      </c>
      <c r="O139" s="92">
        <f>VLOOKUP($A139,'Data Vlaue (Cr)'!$C:$FB,82)</f>
        <v>3.3999999999999998E-3</v>
      </c>
    </row>
    <row r="140" spans="1:15" x14ac:dyDescent="0.25">
      <c r="A140" s="97" t="str">
        <f>'Data Vlaue (Cr)'!C135</f>
        <v>MARUTI</v>
      </c>
      <c r="B140" s="142">
        <f>VLOOKUP(A140,'Data Vlaue (Cr)'!C135:CW356,99,0)</f>
        <v>18649</v>
      </c>
      <c r="C140" s="90">
        <f>VLOOKUP(A140,'Data Vlaue (Cr)'!C135:CY356,101,0)</f>
        <v>-27</v>
      </c>
      <c r="D140" s="139">
        <f>VLOOKUP(A140,'Data Vlaue (Cr)'!C135:CZ356,102,0)</f>
        <v>-1.4E-3</v>
      </c>
      <c r="E140" s="91">
        <f>VLOOKUP($A140,'Data Vlaue (Cr)'!$C:$FB,75)</f>
        <v>5648</v>
      </c>
      <c r="F140" s="91">
        <f>VLOOKUP($A140,'Data Vlaue (Cr)'!$C:$FB,77)</f>
        <v>-20</v>
      </c>
      <c r="G140" s="92">
        <f>VLOOKUP(A140,'Data Vlaue (Cr)'!C135:CB356,78,0)</f>
        <v>-3.5000000000000001E-3</v>
      </c>
      <c r="H140" s="91">
        <f>VLOOKUP($A140,'Data Vlaue (Cr)'!$C:$FB,91)</f>
        <v>6167</v>
      </c>
      <c r="I140" s="91">
        <f>VLOOKUP($A140,'Data Vlaue (Cr)'!$C:$FB,93)</f>
        <v>75</v>
      </c>
      <c r="J140" s="92">
        <f>VLOOKUP($A140,'Data Vlaue (Cr)'!$C:$FB,94)</f>
        <v>1.2200000000000001E-2</v>
      </c>
      <c r="K140" s="91">
        <f>VLOOKUP($A140,'Data Vlaue (Cr)'!$C:$FB,95)</f>
        <v>6834</v>
      </c>
      <c r="L140" s="91">
        <f>VLOOKUP($A140,'Data Vlaue (Cr)'!$C:$FB,97)</f>
        <v>-81</v>
      </c>
      <c r="M140" s="92">
        <f>VLOOKUP($A140,'Data Vlaue (Cr)'!$C:$FB,98)</f>
        <v>-1.18E-2</v>
      </c>
      <c r="N140" s="91">
        <f>VLOOKUP($A140,'Data Vlaue (Cr)'!$C:$FB,79)</f>
        <v>5166</v>
      </c>
      <c r="O140" s="92">
        <f>VLOOKUP($A140,'Data Vlaue (Cr)'!$C:$FB,82)</f>
        <v>-1.4E-2</v>
      </c>
    </row>
    <row r="141" spans="1:15" x14ac:dyDescent="0.25">
      <c r="A141" s="97" t="str">
        <f>'Data Vlaue (Cr)'!C136</f>
        <v>MAXHEALTH</v>
      </c>
      <c r="B141" s="142">
        <f>VLOOKUP(A141,'Data Vlaue (Cr)'!C136:CW357,99,0)</f>
        <v>2397</v>
      </c>
      <c r="C141" s="90">
        <f>VLOOKUP(A141,'Data Vlaue (Cr)'!C136:CY357,101,0)</f>
        <v>60</v>
      </c>
      <c r="D141" s="139">
        <f>VLOOKUP(A141,'Data Vlaue (Cr)'!C136:CZ357,102,0)</f>
        <v>2.5600000000000001E-2</v>
      </c>
      <c r="E141" s="91">
        <f>VLOOKUP($A141,'Data Vlaue (Cr)'!$C:$FB,75)</f>
        <v>1637</v>
      </c>
      <c r="F141" s="91">
        <f>VLOOKUP($A141,'Data Vlaue (Cr)'!$C:$FB,77)</f>
        <v>34</v>
      </c>
      <c r="G141" s="92">
        <f>VLOOKUP(A141,'Data Vlaue (Cr)'!C136:CB357,78,0)</f>
        <v>2.1399999999999999E-2</v>
      </c>
      <c r="H141" s="91">
        <f>VLOOKUP($A141,'Data Vlaue (Cr)'!$C:$FB,91)</f>
        <v>556</v>
      </c>
      <c r="I141" s="91">
        <f>VLOOKUP($A141,'Data Vlaue (Cr)'!$C:$FB,93)</f>
        <v>16</v>
      </c>
      <c r="J141" s="92">
        <f>VLOOKUP($A141,'Data Vlaue (Cr)'!$C:$FB,94)</f>
        <v>2.9600000000000001E-2</v>
      </c>
      <c r="K141" s="91">
        <f>VLOOKUP($A141,'Data Vlaue (Cr)'!$C:$FB,95)</f>
        <v>203</v>
      </c>
      <c r="L141" s="91">
        <f>VLOOKUP($A141,'Data Vlaue (Cr)'!$C:$FB,97)</f>
        <v>9</v>
      </c>
      <c r="M141" s="92">
        <f>VLOOKUP($A141,'Data Vlaue (Cr)'!$C:$FB,98)</f>
        <v>4.87E-2</v>
      </c>
      <c r="N141" s="91">
        <f>VLOOKUP($A141,'Data Vlaue (Cr)'!$C:$FB,79)</f>
        <v>1492</v>
      </c>
      <c r="O141" s="92">
        <f>VLOOKUP($A141,'Data Vlaue (Cr)'!$C:$FB,82)</f>
        <v>-9.2999999999999992E-3</v>
      </c>
    </row>
    <row r="142" spans="1:15" x14ac:dyDescent="0.25">
      <c r="A142" s="97" t="str">
        <f>'Data Vlaue (Cr)'!C137</f>
        <v>MAZDOCK</v>
      </c>
      <c r="B142" s="142">
        <f>VLOOKUP(A142,'Data Vlaue (Cr)'!C137:CW358,99,0)</f>
        <v>1802</v>
      </c>
      <c r="C142" s="90">
        <f>VLOOKUP(A142,'Data Vlaue (Cr)'!C137:CY358,101,0)</f>
        <v>18</v>
      </c>
      <c r="D142" s="139">
        <f>VLOOKUP(A142,'Data Vlaue (Cr)'!C137:CZ358,102,0)</f>
        <v>0.01</v>
      </c>
      <c r="E142" s="91">
        <f>VLOOKUP($A142,'Data Vlaue (Cr)'!$C:$FB,75)</f>
        <v>961</v>
      </c>
      <c r="F142" s="91">
        <f>VLOOKUP($A142,'Data Vlaue (Cr)'!$C:$FB,77)</f>
        <v>51</v>
      </c>
      <c r="G142" s="92">
        <f>VLOOKUP(A142,'Data Vlaue (Cr)'!C137:CB358,78,0)</f>
        <v>5.6399999999999999E-2</v>
      </c>
      <c r="H142" s="91">
        <f>VLOOKUP($A142,'Data Vlaue (Cr)'!$C:$FB,91)</f>
        <v>576</v>
      </c>
      <c r="I142" s="91">
        <f>VLOOKUP($A142,'Data Vlaue (Cr)'!$C:$FB,93)</f>
        <v>-38</v>
      </c>
      <c r="J142" s="92">
        <f>VLOOKUP($A142,'Data Vlaue (Cr)'!$C:$FB,94)</f>
        <v>-6.1400000000000003E-2</v>
      </c>
      <c r="K142" s="91">
        <f>VLOOKUP($A142,'Data Vlaue (Cr)'!$C:$FB,95)</f>
        <v>265</v>
      </c>
      <c r="L142" s="91">
        <f>VLOOKUP($A142,'Data Vlaue (Cr)'!$C:$FB,97)</f>
        <v>4</v>
      </c>
      <c r="M142" s="92">
        <f>VLOOKUP($A142,'Data Vlaue (Cr)'!$C:$FB,98)</f>
        <v>1.6400000000000001E-2</v>
      </c>
      <c r="N142" s="91">
        <f>VLOOKUP($A142,'Data Vlaue (Cr)'!$C:$FB,79)</f>
        <v>886</v>
      </c>
      <c r="O142" s="92">
        <f>VLOOKUP($A142,'Data Vlaue (Cr)'!$C:$FB,82)</f>
        <v>4.3299999999999998E-2</v>
      </c>
    </row>
    <row r="143" spans="1:15" x14ac:dyDescent="0.25">
      <c r="A143" s="97" t="str">
        <f>'Data Vlaue (Cr)'!C138</f>
        <v>MCX</v>
      </c>
      <c r="B143" s="142">
        <f>VLOOKUP(A143,'Data Vlaue (Cr)'!C138:CW359,99,0)</f>
        <v>4451</v>
      </c>
      <c r="C143" s="90">
        <f>VLOOKUP(A143,'Data Vlaue (Cr)'!C138:CY359,101,0)</f>
        <v>-36</v>
      </c>
      <c r="D143" s="139">
        <f>VLOOKUP(A143,'Data Vlaue (Cr)'!C138:CZ359,102,0)</f>
        <v>-8.0000000000000002E-3</v>
      </c>
      <c r="E143" s="91">
        <f>VLOOKUP($A143,'Data Vlaue (Cr)'!$C:$FB,75)</f>
        <v>1549</v>
      </c>
      <c r="F143" s="91">
        <f>VLOOKUP($A143,'Data Vlaue (Cr)'!$C:$FB,77)</f>
        <v>12</v>
      </c>
      <c r="G143" s="92">
        <f>VLOOKUP(A143,'Data Vlaue (Cr)'!C138:CB359,78,0)</f>
        <v>7.6E-3</v>
      </c>
      <c r="H143" s="91">
        <f>VLOOKUP($A143,'Data Vlaue (Cr)'!$C:$FB,91)</f>
        <v>1748</v>
      </c>
      <c r="I143" s="91">
        <f>VLOOKUP($A143,'Data Vlaue (Cr)'!$C:$FB,93)</f>
        <v>19</v>
      </c>
      <c r="J143" s="92">
        <f>VLOOKUP($A143,'Data Vlaue (Cr)'!$C:$FB,94)</f>
        <v>1.1299999999999999E-2</v>
      </c>
      <c r="K143" s="91">
        <f>VLOOKUP($A143,'Data Vlaue (Cr)'!$C:$FB,95)</f>
        <v>1154</v>
      </c>
      <c r="L143" s="91">
        <f>VLOOKUP($A143,'Data Vlaue (Cr)'!$C:$FB,97)</f>
        <v>-67</v>
      </c>
      <c r="M143" s="92">
        <f>VLOOKUP($A143,'Data Vlaue (Cr)'!$C:$FB,98)</f>
        <v>-5.4899999999999997E-2</v>
      </c>
      <c r="N143" s="91">
        <f>VLOOKUP($A143,'Data Vlaue (Cr)'!$C:$FB,79)</f>
        <v>1439</v>
      </c>
      <c r="O143" s="92">
        <f>VLOOKUP($A143,'Data Vlaue (Cr)'!$C:$FB,82)</f>
        <v>-4.3E-3</v>
      </c>
    </row>
    <row r="144" spans="1:15" x14ac:dyDescent="0.25">
      <c r="A144" s="97" t="str">
        <f>'Data Vlaue (Cr)'!C139</f>
        <v>MFSL</v>
      </c>
      <c r="B144" s="142">
        <f>VLOOKUP(A144,'Data Vlaue (Cr)'!C139:CW360,99,0)</f>
        <v>1333</v>
      </c>
      <c r="C144" s="90">
        <f>VLOOKUP(A144,'Data Vlaue (Cr)'!C139:CY360,101,0)</f>
        <v>-10</v>
      </c>
      <c r="D144" s="139">
        <f>VLOOKUP(A144,'Data Vlaue (Cr)'!C139:CZ360,102,0)</f>
        <v>-7.7000000000000002E-3</v>
      </c>
      <c r="E144" s="91">
        <f>VLOOKUP($A144,'Data Vlaue (Cr)'!$C:$FB,75)</f>
        <v>858</v>
      </c>
      <c r="F144" s="91">
        <f>VLOOKUP($A144,'Data Vlaue (Cr)'!$C:$FB,77)</f>
        <v>-1</v>
      </c>
      <c r="G144" s="92">
        <f>VLOOKUP(A144,'Data Vlaue (Cr)'!C139:CB360,78,0)</f>
        <v>-1.1999999999999999E-3</v>
      </c>
      <c r="H144" s="91">
        <f>VLOOKUP($A144,'Data Vlaue (Cr)'!$C:$FB,91)</f>
        <v>249</v>
      </c>
      <c r="I144" s="91">
        <f>VLOOKUP($A144,'Data Vlaue (Cr)'!$C:$FB,93)</f>
        <v>-9</v>
      </c>
      <c r="J144" s="92">
        <f>VLOOKUP($A144,'Data Vlaue (Cr)'!$C:$FB,94)</f>
        <v>-3.32E-2</v>
      </c>
      <c r="K144" s="91">
        <f>VLOOKUP($A144,'Data Vlaue (Cr)'!$C:$FB,95)</f>
        <v>226</v>
      </c>
      <c r="L144" s="91">
        <f>VLOOKUP($A144,'Data Vlaue (Cr)'!$C:$FB,97)</f>
        <v>-1</v>
      </c>
      <c r="M144" s="92">
        <f>VLOOKUP($A144,'Data Vlaue (Cr)'!$C:$FB,98)</f>
        <v>-3.5000000000000001E-3</v>
      </c>
      <c r="N144" s="91">
        <f>VLOOKUP($A144,'Data Vlaue (Cr)'!$C:$FB,79)</f>
        <v>825</v>
      </c>
      <c r="O144" s="92">
        <f>VLOOKUP($A144,'Data Vlaue (Cr)'!$C:$FB,82)</f>
        <v>-2.8999999999999998E-3</v>
      </c>
    </row>
    <row r="145" spans="1:15" x14ac:dyDescent="0.25">
      <c r="A145" s="97" t="str">
        <f>'Data Vlaue (Cr)'!C140</f>
        <v>MIDCPNIFTY</v>
      </c>
      <c r="B145" s="142">
        <f>VLOOKUP(A145,'Data Vlaue (Cr)'!C140:CW361,99,0)</f>
        <v>27571</v>
      </c>
      <c r="C145" s="90">
        <f>VLOOKUP(A145,'Data Vlaue (Cr)'!C140:CY361,101,0)</f>
        <v>3585</v>
      </c>
      <c r="D145" s="139">
        <f>VLOOKUP(A145,'Data Vlaue (Cr)'!C140:CZ361,102,0)</f>
        <v>0.14949999999999999</v>
      </c>
      <c r="E145" s="91">
        <f>VLOOKUP($A145,'Data Vlaue (Cr)'!$C:$FB,75)</f>
        <v>3481</v>
      </c>
      <c r="F145" s="91">
        <f>VLOOKUP($A145,'Data Vlaue (Cr)'!$C:$FB,77)</f>
        <v>78</v>
      </c>
      <c r="G145" s="92">
        <f>VLOOKUP(A145,'Data Vlaue (Cr)'!C140:CB361,78,0)</f>
        <v>2.29E-2</v>
      </c>
      <c r="H145" s="91">
        <f>VLOOKUP($A145,'Data Vlaue (Cr)'!$C:$FB,91)</f>
        <v>10332</v>
      </c>
      <c r="I145" s="91">
        <f>VLOOKUP($A145,'Data Vlaue (Cr)'!$C:$FB,93)</f>
        <v>637</v>
      </c>
      <c r="J145" s="92">
        <f>VLOOKUP($A145,'Data Vlaue (Cr)'!$C:$FB,94)</f>
        <v>6.5699999999999995E-2</v>
      </c>
      <c r="K145" s="91">
        <f>VLOOKUP($A145,'Data Vlaue (Cr)'!$C:$FB,95)</f>
        <v>13758</v>
      </c>
      <c r="L145" s="91">
        <f>VLOOKUP($A145,'Data Vlaue (Cr)'!$C:$FB,97)</f>
        <v>2871</v>
      </c>
      <c r="M145" s="92">
        <f>VLOOKUP($A145,'Data Vlaue (Cr)'!$C:$FB,98)</f>
        <v>0.26369999999999999</v>
      </c>
      <c r="N145" s="91">
        <f>VLOOKUP($A145,'Data Vlaue (Cr)'!$C:$FB,79)</f>
        <v>3232</v>
      </c>
      <c r="O145" s="92">
        <f>VLOOKUP($A145,'Data Vlaue (Cr)'!$C:$FB,82)</f>
        <v>1.06E-2</v>
      </c>
    </row>
    <row r="146" spans="1:15" x14ac:dyDescent="0.25">
      <c r="A146" s="97" t="str">
        <f>'Data Vlaue (Cr)'!C141</f>
        <v>MOTHERSON</v>
      </c>
      <c r="B146" s="142">
        <f>VLOOKUP(A146,'Data Vlaue (Cr)'!C141:CW362,99,0)</f>
        <v>2408</v>
      </c>
      <c r="C146" s="90">
        <f>VLOOKUP(A146,'Data Vlaue (Cr)'!C141:CY362,101,0)</f>
        <v>-1</v>
      </c>
      <c r="D146" s="139">
        <f>VLOOKUP(A146,'Data Vlaue (Cr)'!C141:CZ362,102,0)</f>
        <v>-5.0000000000000001E-4</v>
      </c>
      <c r="E146" s="91">
        <f>VLOOKUP($A146,'Data Vlaue (Cr)'!$C:$FB,75)</f>
        <v>1579</v>
      </c>
      <c r="F146" s="91">
        <f>VLOOKUP($A146,'Data Vlaue (Cr)'!$C:$FB,77)</f>
        <v>-8</v>
      </c>
      <c r="G146" s="92">
        <f>VLOOKUP(A146,'Data Vlaue (Cr)'!C141:CB362,78,0)</f>
        <v>-4.7999999999999996E-3</v>
      </c>
      <c r="H146" s="91">
        <f>VLOOKUP($A146,'Data Vlaue (Cr)'!$C:$FB,91)</f>
        <v>478</v>
      </c>
      <c r="I146" s="91">
        <f>VLOOKUP($A146,'Data Vlaue (Cr)'!$C:$FB,93)</f>
        <v>39</v>
      </c>
      <c r="J146" s="92">
        <f>VLOOKUP($A146,'Data Vlaue (Cr)'!$C:$FB,94)</f>
        <v>8.7599999999999997E-2</v>
      </c>
      <c r="K146" s="91">
        <f>VLOOKUP($A146,'Data Vlaue (Cr)'!$C:$FB,95)</f>
        <v>351</v>
      </c>
      <c r="L146" s="91">
        <f>VLOOKUP($A146,'Data Vlaue (Cr)'!$C:$FB,97)</f>
        <v>-32</v>
      </c>
      <c r="M146" s="92">
        <f>VLOOKUP($A146,'Data Vlaue (Cr)'!$C:$FB,98)</f>
        <v>-8.3299999999999999E-2</v>
      </c>
      <c r="N146" s="91">
        <f>VLOOKUP($A146,'Data Vlaue (Cr)'!$C:$FB,79)</f>
        <v>1476</v>
      </c>
      <c r="O146" s="92">
        <f>VLOOKUP($A146,'Data Vlaue (Cr)'!$C:$FB,82)</f>
        <v>-1.24E-2</v>
      </c>
    </row>
    <row r="147" spans="1:15" x14ac:dyDescent="0.25">
      <c r="A147" s="97" t="str">
        <f>'Data Vlaue (Cr)'!C142</f>
        <v>MPHASIS</v>
      </c>
      <c r="B147" s="142">
        <f>VLOOKUP(A147,'Data Vlaue (Cr)'!C142:CW363,99,0)</f>
        <v>1595</v>
      </c>
      <c r="C147" s="90">
        <f>VLOOKUP(A147,'Data Vlaue (Cr)'!C142:CY363,101,0)</f>
        <v>76</v>
      </c>
      <c r="D147" s="139">
        <f>VLOOKUP(A147,'Data Vlaue (Cr)'!C142:CZ363,102,0)</f>
        <v>4.99E-2</v>
      </c>
      <c r="E147" s="91">
        <f>VLOOKUP($A147,'Data Vlaue (Cr)'!$C:$FB,75)</f>
        <v>1182</v>
      </c>
      <c r="F147" s="91">
        <f>VLOOKUP($A147,'Data Vlaue (Cr)'!$C:$FB,77)</f>
        <v>24</v>
      </c>
      <c r="G147" s="92">
        <f>VLOOKUP(A147,'Data Vlaue (Cr)'!C142:CB363,78,0)</f>
        <v>2.1000000000000001E-2</v>
      </c>
      <c r="H147" s="91">
        <f>VLOOKUP($A147,'Data Vlaue (Cr)'!$C:$FB,91)</f>
        <v>237</v>
      </c>
      <c r="I147" s="91">
        <f>VLOOKUP($A147,'Data Vlaue (Cr)'!$C:$FB,93)</f>
        <v>2</v>
      </c>
      <c r="J147" s="92">
        <f>VLOOKUP($A147,'Data Vlaue (Cr)'!$C:$FB,94)</f>
        <v>1.0699999999999999E-2</v>
      </c>
      <c r="K147" s="91">
        <f>VLOOKUP($A147,'Data Vlaue (Cr)'!$C:$FB,95)</f>
        <v>176</v>
      </c>
      <c r="L147" s="91">
        <f>VLOOKUP($A147,'Data Vlaue (Cr)'!$C:$FB,97)</f>
        <v>49</v>
      </c>
      <c r="M147" s="92">
        <f>VLOOKUP($A147,'Data Vlaue (Cr)'!$C:$FB,98)</f>
        <v>0.38450000000000001</v>
      </c>
      <c r="N147" s="91">
        <f>VLOOKUP($A147,'Data Vlaue (Cr)'!$C:$FB,79)</f>
        <v>1145</v>
      </c>
      <c r="O147" s="92">
        <f>VLOOKUP($A147,'Data Vlaue (Cr)'!$C:$FB,82)</f>
        <v>5.0000000000000001E-3</v>
      </c>
    </row>
    <row r="148" spans="1:15" x14ac:dyDescent="0.25">
      <c r="A148" s="97" t="str">
        <f>'Data Vlaue (Cr)'!C143</f>
        <v>MUTHOOTFIN</v>
      </c>
      <c r="B148" s="142">
        <f>VLOOKUP(A148,'Data Vlaue (Cr)'!C143:CW364,99,0)</f>
        <v>3520</v>
      </c>
      <c r="C148" s="90">
        <f>VLOOKUP(A148,'Data Vlaue (Cr)'!C143:CY364,101,0)</f>
        <v>187</v>
      </c>
      <c r="D148" s="139">
        <f>VLOOKUP(A148,'Data Vlaue (Cr)'!C143:CZ364,102,0)</f>
        <v>5.62E-2</v>
      </c>
      <c r="E148" s="91">
        <f>VLOOKUP($A148,'Data Vlaue (Cr)'!$C:$FB,75)</f>
        <v>1099</v>
      </c>
      <c r="F148" s="91">
        <f>VLOOKUP($A148,'Data Vlaue (Cr)'!$C:$FB,77)</f>
        <v>18</v>
      </c>
      <c r="G148" s="92">
        <f>VLOOKUP(A148,'Data Vlaue (Cr)'!C143:CB364,78,0)</f>
        <v>1.6500000000000001E-2</v>
      </c>
      <c r="H148" s="91">
        <f>VLOOKUP($A148,'Data Vlaue (Cr)'!$C:$FB,91)</f>
        <v>1535</v>
      </c>
      <c r="I148" s="91">
        <f>VLOOKUP($A148,'Data Vlaue (Cr)'!$C:$FB,93)</f>
        <v>169</v>
      </c>
      <c r="J148" s="92">
        <f>VLOOKUP($A148,'Data Vlaue (Cr)'!$C:$FB,94)</f>
        <v>0.1234</v>
      </c>
      <c r="K148" s="91">
        <f>VLOOKUP($A148,'Data Vlaue (Cr)'!$C:$FB,95)</f>
        <v>886</v>
      </c>
      <c r="L148" s="91">
        <f>VLOOKUP($A148,'Data Vlaue (Cr)'!$C:$FB,97)</f>
        <v>1</v>
      </c>
      <c r="M148" s="92">
        <f>VLOOKUP($A148,'Data Vlaue (Cr)'!$C:$FB,98)</f>
        <v>8.0000000000000004E-4</v>
      </c>
      <c r="N148" s="91">
        <f>VLOOKUP($A148,'Data Vlaue (Cr)'!$C:$FB,79)</f>
        <v>958</v>
      </c>
      <c r="O148" s="92">
        <f>VLOOKUP($A148,'Data Vlaue (Cr)'!$C:$FB,82)</f>
        <v>-5.7000000000000002E-3</v>
      </c>
    </row>
    <row r="149" spans="1:15" x14ac:dyDescent="0.25">
      <c r="A149" s="97" t="str">
        <f>'Data Vlaue (Cr)'!C144</f>
        <v>NATIONALUM</v>
      </c>
      <c r="B149" s="142">
        <f>VLOOKUP(A149,'Data Vlaue (Cr)'!C144:CW365,99,0)</f>
        <v>2171</v>
      </c>
      <c r="C149" s="90">
        <f>VLOOKUP(A149,'Data Vlaue (Cr)'!C144:CY365,101,0)</f>
        <v>53</v>
      </c>
      <c r="D149" s="139">
        <f>VLOOKUP(A149,'Data Vlaue (Cr)'!C144:CZ365,102,0)</f>
        <v>2.5000000000000001E-2</v>
      </c>
      <c r="E149" s="91">
        <f>VLOOKUP($A149,'Data Vlaue (Cr)'!$C:$FB,75)</f>
        <v>1336</v>
      </c>
      <c r="F149" s="91">
        <f>VLOOKUP($A149,'Data Vlaue (Cr)'!$C:$FB,77)</f>
        <v>20</v>
      </c>
      <c r="G149" s="92">
        <f>VLOOKUP(A149,'Data Vlaue (Cr)'!C144:CB365,78,0)</f>
        <v>1.5100000000000001E-2</v>
      </c>
      <c r="H149" s="91">
        <f>VLOOKUP($A149,'Data Vlaue (Cr)'!$C:$FB,91)</f>
        <v>471</v>
      </c>
      <c r="I149" s="91">
        <f>VLOOKUP($A149,'Data Vlaue (Cr)'!$C:$FB,93)</f>
        <v>18</v>
      </c>
      <c r="J149" s="92">
        <f>VLOOKUP($A149,'Data Vlaue (Cr)'!$C:$FB,94)</f>
        <v>4.0599999999999997E-2</v>
      </c>
      <c r="K149" s="91">
        <f>VLOOKUP($A149,'Data Vlaue (Cr)'!$C:$FB,95)</f>
        <v>363</v>
      </c>
      <c r="L149" s="91">
        <f>VLOOKUP($A149,'Data Vlaue (Cr)'!$C:$FB,97)</f>
        <v>15</v>
      </c>
      <c r="M149" s="92">
        <f>VLOOKUP($A149,'Data Vlaue (Cr)'!$C:$FB,98)</f>
        <v>4.2000000000000003E-2</v>
      </c>
      <c r="N149" s="91">
        <f>VLOOKUP($A149,'Data Vlaue (Cr)'!$C:$FB,79)</f>
        <v>1134</v>
      </c>
      <c r="O149" s="92">
        <f>VLOOKUP($A149,'Data Vlaue (Cr)'!$C:$FB,82)</f>
        <v>-3.4700000000000002E-2</v>
      </c>
    </row>
    <row r="150" spans="1:15" x14ac:dyDescent="0.25">
      <c r="A150" s="97" t="str">
        <f>'Data Vlaue (Cr)'!C145</f>
        <v>NAUKRI</v>
      </c>
      <c r="B150" s="142">
        <f>VLOOKUP(A150,'Data Vlaue (Cr)'!C145:CW366,99,0)</f>
        <v>2167</v>
      </c>
      <c r="C150" s="90">
        <f>VLOOKUP(A150,'Data Vlaue (Cr)'!C145:CY366,101,0)</f>
        <v>-14</v>
      </c>
      <c r="D150" s="139">
        <f>VLOOKUP(A150,'Data Vlaue (Cr)'!C145:CZ366,102,0)</f>
        <v>-6.4000000000000003E-3</v>
      </c>
      <c r="E150" s="91">
        <f>VLOOKUP($A150,'Data Vlaue (Cr)'!$C:$FB,75)</f>
        <v>1739</v>
      </c>
      <c r="F150" s="91">
        <f>VLOOKUP($A150,'Data Vlaue (Cr)'!$C:$FB,77)</f>
        <v>-4</v>
      </c>
      <c r="G150" s="92">
        <f>VLOOKUP(A150,'Data Vlaue (Cr)'!C145:CB366,78,0)</f>
        <v>-2.5000000000000001E-3</v>
      </c>
      <c r="H150" s="91">
        <f>VLOOKUP($A150,'Data Vlaue (Cr)'!$C:$FB,91)</f>
        <v>242</v>
      </c>
      <c r="I150" s="91">
        <f>VLOOKUP($A150,'Data Vlaue (Cr)'!$C:$FB,93)</f>
        <v>-9</v>
      </c>
      <c r="J150" s="92">
        <f>VLOOKUP($A150,'Data Vlaue (Cr)'!$C:$FB,94)</f>
        <v>-3.5200000000000002E-2</v>
      </c>
      <c r="K150" s="91">
        <f>VLOOKUP($A150,'Data Vlaue (Cr)'!$C:$FB,95)</f>
        <v>186</v>
      </c>
      <c r="L150" s="91">
        <f>VLOOKUP($A150,'Data Vlaue (Cr)'!$C:$FB,97)</f>
        <v>-1</v>
      </c>
      <c r="M150" s="92">
        <f>VLOOKUP($A150,'Data Vlaue (Cr)'!$C:$FB,98)</f>
        <v>-4.1999999999999997E-3</v>
      </c>
      <c r="N150" s="91">
        <f>VLOOKUP($A150,'Data Vlaue (Cr)'!$C:$FB,79)</f>
        <v>1671</v>
      </c>
      <c r="O150" s="92">
        <f>VLOOKUP($A150,'Data Vlaue (Cr)'!$C:$FB,82)</f>
        <v>-2.1899999999999999E-2</v>
      </c>
    </row>
    <row r="151" spans="1:15" x14ac:dyDescent="0.25">
      <c r="A151" s="97" t="str">
        <f>'Data Vlaue (Cr)'!C146</f>
        <v>NBCC</v>
      </c>
      <c r="B151" s="142">
        <f>VLOOKUP(A151,'Data Vlaue (Cr)'!C146:CW367,99,0)</f>
        <v>820</v>
      </c>
      <c r="C151" s="90">
        <f>VLOOKUP(A151,'Data Vlaue (Cr)'!C146:CY367,101,0)</f>
        <v>25</v>
      </c>
      <c r="D151" s="139">
        <f>VLOOKUP(A151,'Data Vlaue (Cr)'!C146:CZ367,102,0)</f>
        <v>3.1399999999999997E-2</v>
      </c>
      <c r="E151" s="91">
        <f>VLOOKUP($A151,'Data Vlaue (Cr)'!$C:$FB,75)</f>
        <v>563</v>
      </c>
      <c r="F151" s="91">
        <f>VLOOKUP($A151,'Data Vlaue (Cr)'!$C:$FB,77)</f>
        <v>9</v>
      </c>
      <c r="G151" s="92">
        <f>VLOOKUP(A151,'Data Vlaue (Cr)'!C146:CB367,78,0)</f>
        <v>1.55E-2</v>
      </c>
      <c r="H151" s="91">
        <f>VLOOKUP($A151,'Data Vlaue (Cr)'!$C:$FB,91)</f>
        <v>173</v>
      </c>
      <c r="I151" s="91">
        <f>VLOOKUP($A151,'Data Vlaue (Cr)'!$C:$FB,93)</f>
        <v>13</v>
      </c>
      <c r="J151" s="92">
        <f>VLOOKUP($A151,'Data Vlaue (Cr)'!$C:$FB,94)</f>
        <v>0.08</v>
      </c>
      <c r="K151" s="91">
        <f>VLOOKUP($A151,'Data Vlaue (Cr)'!$C:$FB,95)</f>
        <v>83</v>
      </c>
      <c r="L151" s="91">
        <f>VLOOKUP($A151,'Data Vlaue (Cr)'!$C:$FB,97)</f>
        <v>4</v>
      </c>
      <c r="M151" s="92">
        <f>VLOOKUP($A151,'Data Vlaue (Cr)'!$C:$FB,98)</f>
        <v>4.48E-2</v>
      </c>
      <c r="N151" s="91">
        <f>VLOOKUP($A151,'Data Vlaue (Cr)'!$C:$FB,79)</f>
        <v>501</v>
      </c>
      <c r="O151" s="92">
        <f>VLOOKUP($A151,'Data Vlaue (Cr)'!$C:$FB,82)</f>
        <v>-1.2E-2</v>
      </c>
    </row>
    <row r="152" spans="1:15" x14ac:dyDescent="0.25">
      <c r="A152" s="97" t="str">
        <f>'Data Vlaue (Cr)'!C147</f>
        <v>NCC</v>
      </c>
      <c r="B152" s="142">
        <f>VLOOKUP(A152,'Data Vlaue (Cr)'!C147:CW368,99,0)</f>
        <v>623</v>
      </c>
      <c r="C152" s="90">
        <f>VLOOKUP(A152,'Data Vlaue (Cr)'!C147:CY368,101,0)</f>
        <v>18</v>
      </c>
      <c r="D152" s="139">
        <f>VLOOKUP(A152,'Data Vlaue (Cr)'!C147:CZ368,102,0)</f>
        <v>0.03</v>
      </c>
      <c r="E152" s="91">
        <f>VLOOKUP($A152,'Data Vlaue (Cr)'!$C:$FB,75)</f>
        <v>332</v>
      </c>
      <c r="F152" s="91">
        <f>VLOOKUP($A152,'Data Vlaue (Cr)'!$C:$FB,77)</f>
        <v>13</v>
      </c>
      <c r="G152" s="92">
        <f>VLOOKUP(A152,'Data Vlaue (Cr)'!C147:CB368,78,0)</f>
        <v>3.9199999999999999E-2</v>
      </c>
      <c r="H152" s="91">
        <f>VLOOKUP($A152,'Data Vlaue (Cr)'!$C:$FB,91)</f>
        <v>168</v>
      </c>
      <c r="I152" s="91">
        <f>VLOOKUP($A152,'Data Vlaue (Cr)'!$C:$FB,93)</f>
        <v>8</v>
      </c>
      <c r="J152" s="92">
        <f>VLOOKUP($A152,'Data Vlaue (Cr)'!$C:$FB,94)</f>
        <v>4.7E-2</v>
      </c>
      <c r="K152" s="91">
        <f>VLOOKUP($A152,'Data Vlaue (Cr)'!$C:$FB,95)</f>
        <v>123</v>
      </c>
      <c r="L152" s="91">
        <f>VLOOKUP($A152,'Data Vlaue (Cr)'!$C:$FB,97)</f>
        <v>-2</v>
      </c>
      <c r="M152" s="92">
        <f>VLOOKUP($A152,'Data Vlaue (Cr)'!$C:$FB,98)</f>
        <v>-1.5299999999999999E-2</v>
      </c>
      <c r="N152" s="91">
        <f>VLOOKUP($A152,'Data Vlaue (Cr)'!$C:$FB,79)</f>
        <v>293</v>
      </c>
      <c r="O152" s="92">
        <f>VLOOKUP($A152,'Data Vlaue (Cr)'!$C:$FB,82)</f>
        <v>6.4000000000000003E-3</v>
      </c>
    </row>
    <row r="153" spans="1:15" x14ac:dyDescent="0.25">
      <c r="A153" s="97" t="str">
        <f>'Data Vlaue (Cr)'!C148</f>
        <v>NESTLEIND</v>
      </c>
      <c r="B153" s="142">
        <f>VLOOKUP(A153,'Data Vlaue (Cr)'!C148:CW369,99,0)</f>
        <v>3527</v>
      </c>
      <c r="C153" s="90">
        <f>VLOOKUP(A153,'Data Vlaue (Cr)'!C148:CY369,101,0)</f>
        <v>134</v>
      </c>
      <c r="D153" s="139">
        <f>VLOOKUP(A153,'Data Vlaue (Cr)'!C148:CZ369,102,0)</f>
        <v>3.9600000000000003E-2</v>
      </c>
      <c r="E153" s="91">
        <f>VLOOKUP($A153,'Data Vlaue (Cr)'!$C:$FB,75)</f>
        <v>2562</v>
      </c>
      <c r="F153" s="91">
        <f>VLOOKUP($A153,'Data Vlaue (Cr)'!$C:$FB,77)</f>
        <v>49</v>
      </c>
      <c r="G153" s="92">
        <f>VLOOKUP(A153,'Data Vlaue (Cr)'!C148:CB369,78,0)</f>
        <v>1.9400000000000001E-2</v>
      </c>
      <c r="H153" s="91">
        <f>VLOOKUP($A153,'Data Vlaue (Cr)'!$C:$FB,91)</f>
        <v>520</v>
      </c>
      <c r="I153" s="91">
        <f>VLOOKUP($A153,'Data Vlaue (Cr)'!$C:$FB,93)</f>
        <v>23</v>
      </c>
      <c r="J153" s="92">
        <f>VLOOKUP($A153,'Data Vlaue (Cr)'!$C:$FB,94)</f>
        <v>4.6199999999999998E-2</v>
      </c>
      <c r="K153" s="91">
        <f>VLOOKUP($A153,'Data Vlaue (Cr)'!$C:$FB,95)</f>
        <v>445</v>
      </c>
      <c r="L153" s="91">
        <f>VLOOKUP($A153,'Data Vlaue (Cr)'!$C:$FB,97)</f>
        <v>63</v>
      </c>
      <c r="M153" s="92">
        <f>VLOOKUP($A153,'Data Vlaue (Cr)'!$C:$FB,98)</f>
        <v>0.1636</v>
      </c>
      <c r="N153" s="91">
        <f>VLOOKUP($A153,'Data Vlaue (Cr)'!$C:$FB,79)</f>
        <v>2396</v>
      </c>
      <c r="O153" s="92">
        <f>VLOOKUP($A153,'Data Vlaue (Cr)'!$C:$FB,82)</f>
        <v>8.5000000000000006E-3</v>
      </c>
    </row>
    <row r="154" spans="1:15" x14ac:dyDescent="0.25">
      <c r="A154" s="97" t="str">
        <f>'Data Vlaue (Cr)'!C149</f>
        <v>NHPC</v>
      </c>
      <c r="B154" s="142">
        <f>VLOOKUP(A154,'Data Vlaue (Cr)'!C149:CW370,99,0)</f>
        <v>726</v>
      </c>
      <c r="C154" s="90">
        <f>VLOOKUP(A154,'Data Vlaue (Cr)'!C149:CY370,101,0)</f>
        <v>-1</v>
      </c>
      <c r="D154" s="139">
        <f>VLOOKUP(A154,'Data Vlaue (Cr)'!C149:CZ370,102,0)</f>
        <v>-1.4E-3</v>
      </c>
      <c r="E154" s="91">
        <f>VLOOKUP($A154,'Data Vlaue (Cr)'!$C:$FB,75)</f>
        <v>498</v>
      </c>
      <c r="F154" s="91">
        <f>VLOOKUP($A154,'Data Vlaue (Cr)'!$C:$FB,77)</f>
        <v>6</v>
      </c>
      <c r="G154" s="92">
        <f>VLOOKUP(A154,'Data Vlaue (Cr)'!C149:CB370,78,0)</f>
        <v>1.1299999999999999E-2</v>
      </c>
      <c r="H154" s="91">
        <f>VLOOKUP($A154,'Data Vlaue (Cr)'!$C:$FB,91)</f>
        <v>141</v>
      </c>
      <c r="I154" s="91">
        <f>VLOOKUP($A154,'Data Vlaue (Cr)'!$C:$FB,93)</f>
        <v>-9</v>
      </c>
      <c r="J154" s="92">
        <f>VLOOKUP($A154,'Data Vlaue (Cr)'!$C:$FB,94)</f>
        <v>-5.74E-2</v>
      </c>
      <c r="K154" s="91">
        <f>VLOOKUP($A154,'Data Vlaue (Cr)'!$C:$FB,95)</f>
        <v>88</v>
      </c>
      <c r="L154" s="91">
        <f>VLOOKUP($A154,'Data Vlaue (Cr)'!$C:$FB,97)</f>
        <v>2</v>
      </c>
      <c r="M154" s="92">
        <f>VLOOKUP($A154,'Data Vlaue (Cr)'!$C:$FB,98)</f>
        <v>2.3E-2</v>
      </c>
      <c r="N154" s="91">
        <f>VLOOKUP($A154,'Data Vlaue (Cr)'!$C:$FB,79)</f>
        <v>447</v>
      </c>
      <c r="O154" s="92">
        <f>VLOOKUP($A154,'Data Vlaue (Cr)'!$C:$FB,82)</f>
        <v>-1.2800000000000001E-2</v>
      </c>
    </row>
    <row r="155" spans="1:15" x14ac:dyDescent="0.25">
      <c r="A155" s="97" t="str">
        <f>'Data Vlaue (Cr)'!C150</f>
        <v>NIFTY</v>
      </c>
      <c r="B155" s="142">
        <f>VLOOKUP(A155,'Data Vlaue (Cr)'!C150:CW371,99,0)</f>
        <v>1403827</v>
      </c>
      <c r="C155" s="90">
        <f>VLOOKUP(A155,'Data Vlaue (Cr)'!C150:CY371,101,0)</f>
        <v>191165</v>
      </c>
      <c r="D155" s="139">
        <f>VLOOKUP(A155,'Data Vlaue (Cr)'!C150:CZ371,102,0)</f>
        <v>0.15759999999999999</v>
      </c>
      <c r="E155" s="91">
        <f>VLOOKUP($A155,'Data Vlaue (Cr)'!$C:$FB,75)</f>
        <v>45314</v>
      </c>
      <c r="F155" s="91">
        <f>VLOOKUP($A155,'Data Vlaue (Cr)'!$C:$FB,77)</f>
        <v>-97</v>
      </c>
      <c r="G155" s="92">
        <f>VLOOKUP(A155,'Data Vlaue (Cr)'!C150:CB371,78,0)</f>
        <v>-2.0999999999999999E-3</v>
      </c>
      <c r="H155" s="91">
        <f>VLOOKUP($A155,'Data Vlaue (Cr)'!$C:$FB,91)</f>
        <v>596892</v>
      </c>
      <c r="I155" s="91">
        <f>VLOOKUP($A155,'Data Vlaue (Cr)'!$C:$FB,93)</f>
        <v>51662</v>
      </c>
      <c r="J155" s="92">
        <f>VLOOKUP($A155,'Data Vlaue (Cr)'!$C:$FB,94)</f>
        <v>9.4799999999999995E-2</v>
      </c>
      <c r="K155" s="91">
        <f>VLOOKUP($A155,'Data Vlaue (Cr)'!$C:$FB,95)</f>
        <v>761620</v>
      </c>
      <c r="L155" s="91">
        <f>VLOOKUP($A155,'Data Vlaue (Cr)'!$C:$FB,97)</f>
        <v>139601</v>
      </c>
      <c r="M155" s="92">
        <f>VLOOKUP($A155,'Data Vlaue (Cr)'!$C:$FB,98)</f>
        <v>0.22439999999999999</v>
      </c>
      <c r="N155" s="91">
        <f>VLOOKUP($A155,'Data Vlaue (Cr)'!$C:$FB,79)</f>
        <v>39856</v>
      </c>
      <c r="O155" s="92">
        <f>VLOOKUP($A155,'Data Vlaue (Cr)'!$C:$FB,82)</f>
        <v>-2.1100000000000001E-2</v>
      </c>
    </row>
    <row r="156" spans="1:15" x14ac:dyDescent="0.25">
      <c r="A156" s="97" t="str">
        <f>'Data Vlaue (Cr)'!C151</f>
        <v>NIFTYNXT50</v>
      </c>
      <c r="B156" s="142">
        <f>VLOOKUP(A156,'Data Vlaue (Cr)'!C151:CW372,99,0)</f>
        <v>259</v>
      </c>
      <c r="C156" s="90">
        <f>VLOOKUP(A156,'Data Vlaue (Cr)'!C151:CY372,101,0)</f>
        <v>13</v>
      </c>
      <c r="D156" s="139">
        <f>VLOOKUP(A156,'Data Vlaue (Cr)'!C151:CZ372,102,0)</f>
        <v>5.3499999999999999E-2</v>
      </c>
      <c r="E156" s="91">
        <f>VLOOKUP($A156,'Data Vlaue (Cr)'!$C:$FB,75)</f>
        <v>164</v>
      </c>
      <c r="F156" s="91">
        <f>VLOOKUP($A156,'Data Vlaue (Cr)'!$C:$FB,77)</f>
        <v>-1</v>
      </c>
      <c r="G156" s="92">
        <f>VLOOKUP(A156,'Data Vlaue (Cr)'!C151:CB372,78,0)</f>
        <v>-7.1999999999999998E-3</v>
      </c>
      <c r="H156" s="91">
        <f>VLOOKUP($A156,'Data Vlaue (Cr)'!$C:$FB,91)</f>
        <v>61</v>
      </c>
      <c r="I156" s="91">
        <f>VLOOKUP($A156,'Data Vlaue (Cr)'!$C:$FB,93)</f>
        <v>11</v>
      </c>
      <c r="J156" s="92">
        <f>VLOOKUP($A156,'Data Vlaue (Cr)'!$C:$FB,94)</f>
        <v>0.2203</v>
      </c>
      <c r="K156" s="91">
        <f>VLOOKUP($A156,'Data Vlaue (Cr)'!$C:$FB,95)</f>
        <v>33</v>
      </c>
      <c r="L156" s="91">
        <f>VLOOKUP($A156,'Data Vlaue (Cr)'!$C:$FB,97)</f>
        <v>3</v>
      </c>
      <c r="M156" s="92">
        <f>VLOOKUP($A156,'Data Vlaue (Cr)'!$C:$FB,98)</f>
        <v>0.108</v>
      </c>
      <c r="N156" s="91">
        <f>VLOOKUP($A156,'Data Vlaue (Cr)'!$C:$FB,79)</f>
        <v>144</v>
      </c>
      <c r="O156" s="92">
        <f>VLOOKUP($A156,'Data Vlaue (Cr)'!$C:$FB,82)</f>
        <v>-1.6299999999999999E-2</v>
      </c>
    </row>
    <row r="157" spans="1:15" x14ac:dyDescent="0.25">
      <c r="A157" s="97" t="str">
        <f>'Data Vlaue (Cr)'!C152</f>
        <v>NMDC</v>
      </c>
      <c r="B157" s="142">
        <f>VLOOKUP(A157,'Data Vlaue (Cr)'!C152:CW373,99,0)</f>
        <v>3530</v>
      </c>
      <c r="C157" s="90">
        <f>VLOOKUP(A157,'Data Vlaue (Cr)'!C152:CY373,101,0)</f>
        <v>-7</v>
      </c>
      <c r="D157" s="139">
        <f>VLOOKUP(A157,'Data Vlaue (Cr)'!C152:CZ373,102,0)</f>
        <v>-2E-3</v>
      </c>
      <c r="E157" s="91">
        <f>VLOOKUP($A157,'Data Vlaue (Cr)'!$C:$FB,75)</f>
        <v>1904</v>
      </c>
      <c r="F157" s="91">
        <f>VLOOKUP($A157,'Data Vlaue (Cr)'!$C:$FB,77)</f>
        <v>-1</v>
      </c>
      <c r="G157" s="92">
        <f>VLOOKUP(A157,'Data Vlaue (Cr)'!C152:CB373,78,0)</f>
        <v>-8.0000000000000004E-4</v>
      </c>
      <c r="H157" s="91">
        <f>VLOOKUP($A157,'Data Vlaue (Cr)'!$C:$FB,91)</f>
        <v>921</v>
      </c>
      <c r="I157" s="91">
        <f>VLOOKUP($A157,'Data Vlaue (Cr)'!$C:$FB,93)</f>
        <v>-23</v>
      </c>
      <c r="J157" s="92">
        <f>VLOOKUP($A157,'Data Vlaue (Cr)'!$C:$FB,94)</f>
        <v>-2.41E-2</v>
      </c>
      <c r="K157" s="91">
        <f>VLOOKUP($A157,'Data Vlaue (Cr)'!$C:$FB,95)</f>
        <v>705</v>
      </c>
      <c r="L157" s="91">
        <f>VLOOKUP($A157,'Data Vlaue (Cr)'!$C:$FB,97)</f>
        <v>17</v>
      </c>
      <c r="M157" s="92">
        <f>VLOOKUP($A157,'Data Vlaue (Cr)'!$C:$FB,98)</f>
        <v>2.52E-2</v>
      </c>
      <c r="N157" s="91">
        <f>VLOOKUP($A157,'Data Vlaue (Cr)'!$C:$FB,79)</f>
        <v>1494</v>
      </c>
      <c r="O157" s="92">
        <f>VLOOKUP($A157,'Data Vlaue (Cr)'!$C:$FB,82)</f>
        <v>-3.2500000000000001E-2</v>
      </c>
    </row>
    <row r="158" spans="1:15" x14ac:dyDescent="0.25">
      <c r="A158" s="97" t="str">
        <f>'Data Vlaue (Cr)'!C153</f>
        <v>NTPC</v>
      </c>
      <c r="B158" s="142">
        <f>VLOOKUP(A158,'Data Vlaue (Cr)'!C153:CW374,99,0)</f>
        <v>5924</v>
      </c>
      <c r="C158" s="90">
        <f>VLOOKUP(A158,'Data Vlaue (Cr)'!C153:CY374,101,0)</f>
        <v>349</v>
      </c>
      <c r="D158" s="139">
        <f>VLOOKUP(A158,'Data Vlaue (Cr)'!C153:CZ374,102,0)</f>
        <v>6.2700000000000006E-2</v>
      </c>
      <c r="E158" s="91">
        <f>VLOOKUP($A158,'Data Vlaue (Cr)'!$C:$FB,75)</f>
        <v>3615</v>
      </c>
      <c r="F158" s="91">
        <f>VLOOKUP($A158,'Data Vlaue (Cr)'!$C:$FB,77)</f>
        <v>77</v>
      </c>
      <c r="G158" s="92">
        <f>VLOOKUP(A158,'Data Vlaue (Cr)'!C153:CB374,78,0)</f>
        <v>2.1899999999999999E-2</v>
      </c>
      <c r="H158" s="91">
        <f>VLOOKUP($A158,'Data Vlaue (Cr)'!$C:$FB,91)</f>
        <v>1526</v>
      </c>
      <c r="I158" s="91">
        <f>VLOOKUP($A158,'Data Vlaue (Cr)'!$C:$FB,93)</f>
        <v>100</v>
      </c>
      <c r="J158" s="92">
        <f>VLOOKUP($A158,'Data Vlaue (Cr)'!$C:$FB,94)</f>
        <v>6.9800000000000001E-2</v>
      </c>
      <c r="K158" s="91">
        <f>VLOOKUP($A158,'Data Vlaue (Cr)'!$C:$FB,95)</f>
        <v>783</v>
      </c>
      <c r="L158" s="91">
        <f>VLOOKUP($A158,'Data Vlaue (Cr)'!$C:$FB,97)</f>
        <v>172</v>
      </c>
      <c r="M158" s="92">
        <f>VLOOKUP($A158,'Data Vlaue (Cr)'!$C:$FB,98)</f>
        <v>0.2823</v>
      </c>
      <c r="N158" s="91">
        <f>VLOOKUP($A158,'Data Vlaue (Cr)'!$C:$FB,79)</f>
        <v>3254</v>
      </c>
      <c r="O158" s="92">
        <f>VLOOKUP($A158,'Data Vlaue (Cr)'!$C:$FB,82)</f>
        <v>2.8E-3</v>
      </c>
    </row>
    <row r="159" spans="1:15" x14ac:dyDescent="0.25">
      <c r="A159" s="97" t="str">
        <f>'Data Vlaue (Cr)'!C154</f>
        <v>NUVAMA</v>
      </c>
      <c r="B159" s="142">
        <f>VLOOKUP(A159,'Data Vlaue (Cr)'!C154:CW375,99,0)</f>
        <v>487</v>
      </c>
      <c r="C159" s="90">
        <f>VLOOKUP(A159,'Data Vlaue (Cr)'!C154:CY375,101,0)</f>
        <v>-89</v>
      </c>
      <c r="D159" s="139">
        <f>VLOOKUP(A159,'Data Vlaue (Cr)'!C154:CZ375,102,0)</f>
        <v>-0.155</v>
      </c>
      <c r="E159" s="91">
        <f>VLOOKUP($A159,'Data Vlaue (Cr)'!$C:$FB,75)</f>
        <v>150</v>
      </c>
      <c r="F159" s="91">
        <f>VLOOKUP($A159,'Data Vlaue (Cr)'!$C:$FB,77)</f>
        <v>-8</v>
      </c>
      <c r="G159" s="92">
        <f>VLOOKUP(A159,'Data Vlaue (Cr)'!C154:CB375,78,0)</f>
        <v>-5.2299999999999999E-2</v>
      </c>
      <c r="H159" s="91">
        <f>VLOOKUP($A159,'Data Vlaue (Cr)'!$C:$FB,91)</f>
        <v>208</v>
      </c>
      <c r="I159" s="91">
        <f>VLOOKUP($A159,'Data Vlaue (Cr)'!$C:$FB,93)</f>
        <v>-75</v>
      </c>
      <c r="J159" s="92">
        <f>VLOOKUP($A159,'Data Vlaue (Cr)'!$C:$FB,94)</f>
        <v>-0.26629999999999998</v>
      </c>
      <c r="K159" s="91">
        <f>VLOOKUP($A159,'Data Vlaue (Cr)'!$C:$FB,95)</f>
        <v>129</v>
      </c>
      <c r="L159" s="91">
        <f>VLOOKUP($A159,'Data Vlaue (Cr)'!$C:$FB,97)</f>
        <v>-6</v>
      </c>
      <c r="M159" s="92">
        <f>VLOOKUP($A159,'Data Vlaue (Cr)'!$C:$FB,98)</f>
        <v>-4.1599999999999998E-2</v>
      </c>
      <c r="N159" s="91">
        <f>VLOOKUP($A159,'Data Vlaue (Cr)'!$C:$FB,79)</f>
        <v>135</v>
      </c>
      <c r="O159" s="92">
        <f>VLOOKUP($A159,'Data Vlaue (Cr)'!$C:$FB,82)</f>
        <v>-6.8699999999999997E-2</v>
      </c>
    </row>
    <row r="160" spans="1:15" x14ac:dyDescent="0.25">
      <c r="A160" s="97" t="str">
        <f>'Data Vlaue (Cr)'!C155</f>
        <v>NYKAA</v>
      </c>
      <c r="B160" s="142">
        <f>VLOOKUP(A160,'Data Vlaue (Cr)'!C155:CW376,99,0)</f>
        <v>1826</v>
      </c>
      <c r="C160" s="90">
        <f>VLOOKUP(A160,'Data Vlaue (Cr)'!C155:CY376,101,0)</f>
        <v>10</v>
      </c>
      <c r="D160" s="139">
        <f>VLOOKUP(A160,'Data Vlaue (Cr)'!C155:CZ376,102,0)</f>
        <v>5.4000000000000003E-3</v>
      </c>
      <c r="E160" s="91">
        <f>VLOOKUP($A160,'Data Vlaue (Cr)'!$C:$FB,75)</f>
        <v>1247</v>
      </c>
      <c r="F160" s="91">
        <f>VLOOKUP($A160,'Data Vlaue (Cr)'!$C:$FB,77)</f>
        <v>18</v>
      </c>
      <c r="G160" s="92">
        <f>VLOOKUP(A160,'Data Vlaue (Cr)'!C155:CB376,78,0)</f>
        <v>1.46E-2</v>
      </c>
      <c r="H160" s="91">
        <f>VLOOKUP($A160,'Data Vlaue (Cr)'!$C:$FB,91)</f>
        <v>322</v>
      </c>
      <c r="I160" s="91">
        <f>VLOOKUP($A160,'Data Vlaue (Cr)'!$C:$FB,93)</f>
        <v>-13</v>
      </c>
      <c r="J160" s="92">
        <f>VLOOKUP($A160,'Data Vlaue (Cr)'!$C:$FB,94)</f>
        <v>-0.04</v>
      </c>
      <c r="K160" s="91">
        <f>VLOOKUP($A160,'Data Vlaue (Cr)'!$C:$FB,95)</f>
        <v>257</v>
      </c>
      <c r="L160" s="91">
        <f>VLOOKUP($A160,'Data Vlaue (Cr)'!$C:$FB,97)</f>
        <v>5</v>
      </c>
      <c r="M160" s="92">
        <f>VLOOKUP($A160,'Data Vlaue (Cr)'!$C:$FB,98)</f>
        <v>2.06E-2</v>
      </c>
      <c r="N160" s="91">
        <f>VLOOKUP($A160,'Data Vlaue (Cr)'!$C:$FB,79)</f>
        <v>1138</v>
      </c>
      <c r="O160" s="92">
        <f>VLOOKUP($A160,'Data Vlaue (Cr)'!$C:$FB,82)</f>
        <v>-1.34E-2</v>
      </c>
    </row>
    <row r="161" spans="1:15" x14ac:dyDescent="0.25">
      <c r="A161" s="97" t="str">
        <f>'Data Vlaue (Cr)'!C156</f>
        <v>OBEROIRLTY</v>
      </c>
      <c r="B161" s="142">
        <f>VLOOKUP(A161,'Data Vlaue (Cr)'!C156:CW377,99,0)</f>
        <v>1298</v>
      </c>
      <c r="C161" s="90">
        <f>VLOOKUP(A161,'Data Vlaue (Cr)'!C156:CY377,101,0)</f>
        <v>24</v>
      </c>
      <c r="D161" s="139">
        <f>VLOOKUP(A161,'Data Vlaue (Cr)'!C156:CZ377,102,0)</f>
        <v>1.8700000000000001E-2</v>
      </c>
      <c r="E161" s="91">
        <f>VLOOKUP($A161,'Data Vlaue (Cr)'!$C:$FB,75)</f>
        <v>845</v>
      </c>
      <c r="F161" s="91">
        <f>VLOOKUP($A161,'Data Vlaue (Cr)'!$C:$FB,77)</f>
        <v>-3</v>
      </c>
      <c r="G161" s="92">
        <f>VLOOKUP(A161,'Data Vlaue (Cr)'!C156:CB377,78,0)</f>
        <v>-3.8999999999999998E-3</v>
      </c>
      <c r="H161" s="91">
        <f>VLOOKUP($A161,'Data Vlaue (Cr)'!$C:$FB,91)</f>
        <v>291</v>
      </c>
      <c r="I161" s="91">
        <f>VLOOKUP($A161,'Data Vlaue (Cr)'!$C:$FB,93)</f>
        <v>29</v>
      </c>
      <c r="J161" s="92">
        <f>VLOOKUP($A161,'Data Vlaue (Cr)'!$C:$FB,94)</f>
        <v>0.1125</v>
      </c>
      <c r="K161" s="91">
        <f>VLOOKUP($A161,'Data Vlaue (Cr)'!$C:$FB,95)</f>
        <v>162</v>
      </c>
      <c r="L161" s="91">
        <f>VLOOKUP($A161,'Data Vlaue (Cr)'!$C:$FB,97)</f>
        <v>-2</v>
      </c>
      <c r="M161" s="92">
        <f>VLOOKUP($A161,'Data Vlaue (Cr)'!$C:$FB,98)</f>
        <v>-1.41E-2</v>
      </c>
      <c r="N161" s="91">
        <f>VLOOKUP($A161,'Data Vlaue (Cr)'!$C:$FB,79)</f>
        <v>794</v>
      </c>
      <c r="O161" s="92">
        <f>VLOOKUP($A161,'Data Vlaue (Cr)'!$C:$FB,82)</f>
        <v>-1.4200000000000001E-2</v>
      </c>
    </row>
    <row r="162" spans="1:15" x14ac:dyDescent="0.25">
      <c r="A162" s="97" t="str">
        <f>'Data Vlaue (Cr)'!C157</f>
        <v>OFSS</v>
      </c>
      <c r="B162" s="142">
        <f>VLOOKUP(A162,'Data Vlaue (Cr)'!C157:CW378,99,0)</f>
        <v>1364</v>
      </c>
      <c r="C162" s="90">
        <f>VLOOKUP(A162,'Data Vlaue (Cr)'!C157:CY378,101,0)</f>
        <v>74</v>
      </c>
      <c r="D162" s="139">
        <f>VLOOKUP(A162,'Data Vlaue (Cr)'!C157:CZ378,102,0)</f>
        <v>5.7599999999999998E-2</v>
      </c>
      <c r="E162" s="91">
        <f>VLOOKUP($A162,'Data Vlaue (Cr)'!$C:$FB,75)</f>
        <v>837</v>
      </c>
      <c r="F162" s="91">
        <f>VLOOKUP($A162,'Data Vlaue (Cr)'!$C:$FB,77)</f>
        <v>17</v>
      </c>
      <c r="G162" s="92">
        <f>VLOOKUP(A162,'Data Vlaue (Cr)'!C157:CB378,78,0)</f>
        <v>2.0500000000000001E-2</v>
      </c>
      <c r="H162" s="91">
        <f>VLOOKUP($A162,'Data Vlaue (Cr)'!$C:$FB,91)</f>
        <v>334</v>
      </c>
      <c r="I162" s="91">
        <f>VLOOKUP($A162,'Data Vlaue (Cr)'!$C:$FB,93)</f>
        <v>18</v>
      </c>
      <c r="J162" s="92">
        <f>VLOOKUP($A162,'Data Vlaue (Cr)'!$C:$FB,94)</f>
        <v>5.74E-2</v>
      </c>
      <c r="K162" s="91">
        <f>VLOOKUP($A162,'Data Vlaue (Cr)'!$C:$FB,95)</f>
        <v>193</v>
      </c>
      <c r="L162" s="91">
        <f>VLOOKUP($A162,'Data Vlaue (Cr)'!$C:$FB,97)</f>
        <v>39</v>
      </c>
      <c r="M162" s="92">
        <f>VLOOKUP($A162,'Data Vlaue (Cr)'!$C:$FB,98)</f>
        <v>0.25629999999999997</v>
      </c>
      <c r="N162" s="91">
        <f>VLOOKUP($A162,'Data Vlaue (Cr)'!$C:$FB,79)</f>
        <v>780</v>
      </c>
      <c r="O162" s="92">
        <f>VLOOKUP($A162,'Data Vlaue (Cr)'!$C:$FB,82)</f>
        <v>2.8E-3</v>
      </c>
    </row>
    <row r="163" spans="1:15" x14ac:dyDescent="0.25">
      <c r="A163" s="97" t="str">
        <f>'Data Vlaue (Cr)'!C158</f>
        <v>OIL</v>
      </c>
      <c r="B163" s="142">
        <f>VLOOKUP(A163,'Data Vlaue (Cr)'!C158:CW379,99,0)</f>
        <v>879</v>
      </c>
      <c r="C163" s="90">
        <f>VLOOKUP(A163,'Data Vlaue (Cr)'!C158:CY379,101,0)</f>
        <v>30</v>
      </c>
      <c r="D163" s="139">
        <f>VLOOKUP(A163,'Data Vlaue (Cr)'!C158:CZ379,102,0)</f>
        <v>3.5900000000000001E-2</v>
      </c>
      <c r="E163" s="91">
        <f>VLOOKUP($A163,'Data Vlaue (Cr)'!$C:$FB,75)</f>
        <v>525</v>
      </c>
      <c r="F163" s="91">
        <f>VLOOKUP($A163,'Data Vlaue (Cr)'!$C:$FB,77)</f>
        <v>31</v>
      </c>
      <c r="G163" s="92">
        <f>VLOOKUP(A163,'Data Vlaue (Cr)'!C158:CB379,78,0)</f>
        <v>6.3200000000000006E-2</v>
      </c>
      <c r="H163" s="91">
        <f>VLOOKUP($A163,'Data Vlaue (Cr)'!$C:$FB,91)</f>
        <v>230</v>
      </c>
      <c r="I163" s="91">
        <f>VLOOKUP($A163,'Data Vlaue (Cr)'!$C:$FB,93)</f>
        <v>-5</v>
      </c>
      <c r="J163" s="92">
        <f>VLOOKUP($A163,'Data Vlaue (Cr)'!$C:$FB,94)</f>
        <v>-1.95E-2</v>
      </c>
      <c r="K163" s="91">
        <f>VLOOKUP($A163,'Data Vlaue (Cr)'!$C:$FB,95)</f>
        <v>125</v>
      </c>
      <c r="L163" s="91">
        <f>VLOOKUP($A163,'Data Vlaue (Cr)'!$C:$FB,97)</f>
        <v>4</v>
      </c>
      <c r="M163" s="92">
        <f>VLOOKUP($A163,'Data Vlaue (Cr)'!$C:$FB,98)</f>
        <v>3.1600000000000003E-2</v>
      </c>
      <c r="N163" s="91">
        <f>VLOOKUP($A163,'Data Vlaue (Cr)'!$C:$FB,79)</f>
        <v>456</v>
      </c>
      <c r="O163" s="92">
        <f>VLOOKUP($A163,'Data Vlaue (Cr)'!$C:$FB,82)</f>
        <v>4.4999999999999997E-3</v>
      </c>
    </row>
    <row r="164" spans="1:15" x14ac:dyDescent="0.25">
      <c r="A164" s="97" t="str">
        <f>'Data Vlaue (Cr)'!C159</f>
        <v>ONGC</v>
      </c>
      <c r="B164" s="142">
        <f>VLOOKUP(A164,'Data Vlaue (Cr)'!C159:CW380,99,0)</f>
        <v>3789</v>
      </c>
      <c r="C164" s="90">
        <f>VLOOKUP(A164,'Data Vlaue (Cr)'!C159:CY380,101,0)</f>
        <v>79</v>
      </c>
      <c r="D164" s="139">
        <f>VLOOKUP(A164,'Data Vlaue (Cr)'!C159:CZ380,102,0)</f>
        <v>2.12E-2</v>
      </c>
      <c r="E164" s="91">
        <f>VLOOKUP($A164,'Data Vlaue (Cr)'!$C:$FB,75)</f>
        <v>2006</v>
      </c>
      <c r="F164" s="91">
        <f>VLOOKUP($A164,'Data Vlaue (Cr)'!$C:$FB,77)</f>
        <v>-4</v>
      </c>
      <c r="G164" s="92">
        <f>VLOOKUP(A164,'Data Vlaue (Cr)'!C159:CB380,78,0)</f>
        <v>-2E-3</v>
      </c>
      <c r="H164" s="91">
        <f>VLOOKUP($A164,'Data Vlaue (Cr)'!$C:$FB,91)</f>
        <v>1261</v>
      </c>
      <c r="I164" s="91">
        <f>VLOOKUP($A164,'Data Vlaue (Cr)'!$C:$FB,93)</f>
        <v>69</v>
      </c>
      <c r="J164" s="92">
        <f>VLOOKUP($A164,'Data Vlaue (Cr)'!$C:$FB,94)</f>
        <v>5.7500000000000002E-2</v>
      </c>
      <c r="K164" s="91">
        <f>VLOOKUP($A164,'Data Vlaue (Cr)'!$C:$FB,95)</f>
        <v>522</v>
      </c>
      <c r="L164" s="91">
        <f>VLOOKUP($A164,'Data Vlaue (Cr)'!$C:$FB,97)</f>
        <v>14</v>
      </c>
      <c r="M164" s="92">
        <f>VLOOKUP($A164,'Data Vlaue (Cr)'!$C:$FB,98)</f>
        <v>2.8000000000000001E-2</v>
      </c>
      <c r="N164" s="91">
        <f>VLOOKUP($A164,'Data Vlaue (Cr)'!$C:$FB,79)</f>
        <v>1832</v>
      </c>
      <c r="O164" s="92">
        <f>VLOOKUP($A164,'Data Vlaue (Cr)'!$C:$FB,82)</f>
        <v>-1.4999999999999999E-2</v>
      </c>
    </row>
    <row r="165" spans="1:15" x14ac:dyDescent="0.25">
      <c r="A165" s="97" t="str">
        <f>'Data Vlaue (Cr)'!C160</f>
        <v>PAGEIND</v>
      </c>
      <c r="B165" s="142">
        <f>VLOOKUP(A165,'Data Vlaue (Cr)'!C160:CW381,99,0)</f>
        <v>2039</v>
      </c>
      <c r="C165" s="90">
        <f>VLOOKUP(A165,'Data Vlaue (Cr)'!C160:CY381,101,0)</f>
        <v>51</v>
      </c>
      <c r="D165" s="139">
        <f>VLOOKUP(A165,'Data Vlaue (Cr)'!C160:CZ381,102,0)</f>
        <v>2.58E-2</v>
      </c>
      <c r="E165" s="91">
        <f>VLOOKUP($A165,'Data Vlaue (Cr)'!$C:$FB,75)</f>
        <v>1334</v>
      </c>
      <c r="F165" s="91">
        <f>VLOOKUP($A165,'Data Vlaue (Cr)'!$C:$FB,77)</f>
        <v>-1</v>
      </c>
      <c r="G165" s="92">
        <f>VLOOKUP(A165,'Data Vlaue (Cr)'!C160:CB381,78,0)</f>
        <v>-8.9999999999999998E-4</v>
      </c>
      <c r="H165" s="91">
        <f>VLOOKUP($A165,'Data Vlaue (Cr)'!$C:$FB,91)</f>
        <v>525</v>
      </c>
      <c r="I165" s="91">
        <f>VLOOKUP($A165,'Data Vlaue (Cr)'!$C:$FB,93)</f>
        <v>42</v>
      </c>
      <c r="J165" s="92">
        <f>VLOOKUP($A165,'Data Vlaue (Cr)'!$C:$FB,94)</f>
        <v>8.5999999999999993E-2</v>
      </c>
      <c r="K165" s="91">
        <f>VLOOKUP($A165,'Data Vlaue (Cr)'!$C:$FB,95)</f>
        <v>180</v>
      </c>
      <c r="L165" s="91">
        <f>VLOOKUP($A165,'Data Vlaue (Cr)'!$C:$FB,97)</f>
        <v>11</v>
      </c>
      <c r="M165" s="92">
        <f>VLOOKUP($A165,'Data Vlaue (Cr)'!$C:$FB,98)</f>
        <v>6.4600000000000005E-2</v>
      </c>
      <c r="N165" s="91">
        <f>VLOOKUP($A165,'Data Vlaue (Cr)'!$C:$FB,79)</f>
        <v>1251</v>
      </c>
      <c r="O165" s="92">
        <f>VLOOKUP($A165,'Data Vlaue (Cr)'!$C:$FB,82)</f>
        <v>-1.1900000000000001E-2</v>
      </c>
    </row>
    <row r="166" spans="1:15" x14ac:dyDescent="0.25">
      <c r="A166" s="97" t="str">
        <f>'Data Vlaue (Cr)'!C161</f>
        <v>PATANJALI</v>
      </c>
      <c r="B166" s="142">
        <f>VLOOKUP(A166,'Data Vlaue (Cr)'!C161:CW382,99,0)</f>
        <v>2743</v>
      </c>
      <c r="C166" s="90">
        <f>VLOOKUP(A166,'Data Vlaue (Cr)'!C161:CY382,101,0)</f>
        <v>23</v>
      </c>
      <c r="D166" s="139">
        <f>VLOOKUP(A166,'Data Vlaue (Cr)'!C161:CZ382,102,0)</f>
        <v>8.3999999999999995E-3</v>
      </c>
      <c r="E166" s="91">
        <f>VLOOKUP($A166,'Data Vlaue (Cr)'!$C:$FB,75)</f>
        <v>2065</v>
      </c>
      <c r="F166" s="91">
        <f>VLOOKUP($A166,'Data Vlaue (Cr)'!$C:$FB,77)</f>
        <v>6</v>
      </c>
      <c r="G166" s="92">
        <f>VLOOKUP(A166,'Data Vlaue (Cr)'!C161:CB382,78,0)</f>
        <v>3.0999999999999999E-3</v>
      </c>
      <c r="H166" s="91">
        <f>VLOOKUP($A166,'Data Vlaue (Cr)'!$C:$FB,91)</f>
        <v>472</v>
      </c>
      <c r="I166" s="91">
        <f>VLOOKUP($A166,'Data Vlaue (Cr)'!$C:$FB,93)</f>
        <v>18</v>
      </c>
      <c r="J166" s="92">
        <f>VLOOKUP($A166,'Data Vlaue (Cr)'!$C:$FB,94)</f>
        <v>3.8899999999999997E-2</v>
      </c>
      <c r="K166" s="91">
        <f>VLOOKUP($A166,'Data Vlaue (Cr)'!$C:$FB,95)</f>
        <v>205</v>
      </c>
      <c r="L166" s="91">
        <f>VLOOKUP($A166,'Data Vlaue (Cr)'!$C:$FB,97)</f>
        <v>-1</v>
      </c>
      <c r="M166" s="92">
        <f>VLOOKUP($A166,'Data Vlaue (Cr)'!$C:$FB,98)</f>
        <v>-5.7999999999999996E-3</v>
      </c>
      <c r="N166" s="91">
        <f>VLOOKUP($A166,'Data Vlaue (Cr)'!$C:$FB,79)</f>
        <v>1837</v>
      </c>
      <c r="O166" s="92">
        <f>VLOOKUP($A166,'Data Vlaue (Cr)'!$C:$FB,82)</f>
        <v>-5.1999999999999998E-3</v>
      </c>
    </row>
    <row r="167" spans="1:15" x14ac:dyDescent="0.25">
      <c r="A167" s="97" t="str">
        <f>'Data Vlaue (Cr)'!C162</f>
        <v>PAYTM</v>
      </c>
      <c r="B167" s="142">
        <f>VLOOKUP(A167,'Data Vlaue (Cr)'!C162:CW383,99,0)</f>
        <v>6651</v>
      </c>
      <c r="C167" s="90">
        <f>VLOOKUP(A167,'Data Vlaue (Cr)'!C162:CY383,101,0)</f>
        <v>299</v>
      </c>
      <c r="D167" s="139">
        <f>VLOOKUP(A167,'Data Vlaue (Cr)'!C162:CZ383,102,0)</f>
        <v>4.7E-2</v>
      </c>
      <c r="E167" s="91">
        <f>VLOOKUP($A167,'Data Vlaue (Cr)'!$C:$FB,75)</f>
        <v>3521</v>
      </c>
      <c r="F167" s="91">
        <f>VLOOKUP($A167,'Data Vlaue (Cr)'!$C:$FB,77)</f>
        <v>39</v>
      </c>
      <c r="G167" s="92">
        <f>VLOOKUP(A167,'Data Vlaue (Cr)'!C162:CB383,78,0)</f>
        <v>1.12E-2</v>
      </c>
      <c r="H167" s="91">
        <f>VLOOKUP($A167,'Data Vlaue (Cr)'!$C:$FB,91)</f>
        <v>1641</v>
      </c>
      <c r="I167" s="91">
        <f>VLOOKUP($A167,'Data Vlaue (Cr)'!$C:$FB,93)</f>
        <v>180</v>
      </c>
      <c r="J167" s="92">
        <f>VLOOKUP($A167,'Data Vlaue (Cr)'!$C:$FB,94)</f>
        <v>0.123</v>
      </c>
      <c r="K167" s="91">
        <f>VLOOKUP($A167,'Data Vlaue (Cr)'!$C:$FB,95)</f>
        <v>1489</v>
      </c>
      <c r="L167" s="91">
        <f>VLOOKUP($A167,'Data Vlaue (Cr)'!$C:$FB,97)</f>
        <v>80</v>
      </c>
      <c r="M167" s="92">
        <f>VLOOKUP($A167,'Data Vlaue (Cr)'!$C:$FB,98)</f>
        <v>5.6800000000000003E-2</v>
      </c>
      <c r="N167" s="91">
        <f>VLOOKUP($A167,'Data Vlaue (Cr)'!$C:$FB,79)</f>
        <v>3289</v>
      </c>
      <c r="O167" s="92">
        <f>VLOOKUP($A167,'Data Vlaue (Cr)'!$C:$FB,82)</f>
        <v>-4.4000000000000003E-3</v>
      </c>
    </row>
    <row r="168" spans="1:15" x14ac:dyDescent="0.25">
      <c r="A168" s="97" t="str">
        <f>'Data Vlaue (Cr)'!C163</f>
        <v>PERSISTENT</v>
      </c>
      <c r="B168" s="142">
        <f>VLOOKUP(A168,'Data Vlaue (Cr)'!C163:CW384,99,0)</f>
        <v>2691</v>
      </c>
      <c r="C168" s="90">
        <f>VLOOKUP(A168,'Data Vlaue (Cr)'!C163:CY384,101,0)</f>
        <v>-66</v>
      </c>
      <c r="D168" s="139">
        <f>VLOOKUP(A168,'Data Vlaue (Cr)'!C163:CZ384,102,0)</f>
        <v>-2.4E-2</v>
      </c>
      <c r="E168" s="91">
        <f>VLOOKUP($A168,'Data Vlaue (Cr)'!$C:$FB,75)</f>
        <v>1616</v>
      </c>
      <c r="F168" s="91">
        <f>VLOOKUP($A168,'Data Vlaue (Cr)'!$C:$FB,77)</f>
        <v>24</v>
      </c>
      <c r="G168" s="92">
        <f>VLOOKUP(A168,'Data Vlaue (Cr)'!C163:CB384,78,0)</f>
        <v>1.5299999999999999E-2</v>
      </c>
      <c r="H168" s="91">
        <f>VLOOKUP($A168,'Data Vlaue (Cr)'!$C:$FB,91)</f>
        <v>664</v>
      </c>
      <c r="I168" s="91">
        <f>VLOOKUP($A168,'Data Vlaue (Cr)'!$C:$FB,93)</f>
        <v>-79</v>
      </c>
      <c r="J168" s="92">
        <f>VLOOKUP($A168,'Data Vlaue (Cr)'!$C:$FB,94)</f>
        <v>-0.1067</v>
      </c>
      <c r="K168" s="91">
        <f>VLOOKUP($A168,'Data Vlaue (Cr)'!$C:$FB,95)</f>
        <v>411</v>
      </c>
      <c r="L168" s="91">
        <f>VLOOKUP($A168,'Data Vlaue (Cr)'!$C:$FB,97)</f>
        <v>-11</v>
      </c>
      <c r="M168" s="92">
        <f>VLOOKUP($A168,'Data Vlaue (Cr)'!$C:$FB,98)</f>
        <v>-2.6599999999999999E-2</v>
      </c>
      <c r="N168" s="91">
        <f>VLOOKUP($A168,'Data Vlaue (Cr)'!$C:$FB,79)</f>
        <v>1472</v>
      </c>
      <c r="O168" s="92">
        <f>VLOOKUP($A168,'Data Vlaue (Cr)'!$C:$FB,82)</f>
        <v>-9.7999999999999997E-3</v>
      </c>
    </row>
    <row r="169" spans="1:15" x14ac:dyDescent="0.25">
      <c r="A169" s="97" t="str">
        <f>'Data Vlaue (Cr)'!C164</f>
        <v>PETRONET</v>
      </c>
      <c r="B169" s="142">
        <f>VLOOKUP(A169,'Data Vlaue (Cr)'!C164:CW385,99,0)</f>
        <v>1989</v>
      </c>
      <c r="C169" s="90">
        <f>VLOOKUP(A169,'Data Vlaue (Cr)'!C164:CY385,101,0)</f>
        <v>10</v>
      </c>
      <c r="D169" s="139">
        <f>VLOOKUP(A169,'Data Vlaue (Cr)'!C164:CZ385,102,0)</f>
        <v>4.8999999999999998E-3</v>
      </c>
      <c r="E169" s="91">
        <f>VLOOKUP($A169,'Data Vlaue (Cr)'!$C:$FB,75)</f>
        <v>1115</v>
      </c>
      <c r="F169" s="91">
        <f>VLOOKUP($A169,'Data Vlaue (Cr)'!$C:$FB,77)</f>
        <v>-1</v>
      </c>
      <c r="G169" s="92">
        <f>VLOOKUP(A169,'Data Vlaue (Cr)'!C164:CB385,78,0)</f>
        <v>-1.1000000000000001E-3</v>
      </c>
      <c r="H169" s="91">
        <f>VLOOKUP($A169,'Data Vlaue (Cr)'!$C:$FB,91)</f>
        <v>413</v>
      </c>
      <c r="I169" s="91">
        <f>VLOOKUP($A169,'Data Vlaue (Cr)'!$C:$FB,93)</f>
        <v>-5</v>
      </c>
      <c r="J169" s="92">
        <f>VLOOKUP($A169,'Data Vlaue (Cr)'!$C:$FB,94)</f>
        <v>-1.2E-2</v>
      </c>
      <c r="K169" s="91">
        <f>VLOOKUP($A169,'Data Vlaue (Cr)'!$C:$FB,95)</f>
        <v>462</v>
      </c>
      <c r="L169" s="91">
        <f>VLOOKUP($A169,'Data Vlaue (Cr)'!$C:$FB,97)</f>
        <v>16</v>
      </c>
      <c r="M169" s="92">
        <f>VLOOKUP($A169,'Data Vlaue (Cr)'!$C:$FB,98)</f>
        <v>3.5900000000000001E-2</v>
      </c>
      <c r="N169" s="91">
        <f>VLOOKUP($A169,'Data Vlaue (Cr)'!$C:$FB,79)</f>
        <v>1051</v>
      </c>
      <c r="O169" s="92">
        <f>VLOOKUP($A169,'Data Vlaue (Cr)'!$C:$FB,82)</f>
        <v>-1.52E-2</v>
      </c>
    </row>
    <row r="170" spans="1:15" x14ac:dyDescent="0.25">
      <c r="A170" s="97" t="str">
        <f>'Data Vlaue (Cr)'!C165</f>
        <v>PFC</v>
      </c>
      <c r="B170" s="142">
        <f>VLOOKUP(A170,'Data Vlaue (Cr)'!C165:CW386,99,0)</f>
        <v>4137</v>
      </c>
      <c r="C170" s="90">
        <f>VLOOKUP(A170,'Data Vlaue (Cr)'!C165:CY386,101,0)</f>
        <v>265</v>
      </c>
      <c r="D170" s="139">
        <f>VLOOKUP(A170,'Data Vlaue (Cr)'!C165:CZ386,102,0)</f>
        <v>6.8500000000000005E-2</v>
      </c>
      <c r="E170" s="91">
        <f>VLOOKUP($A170,'Data Vlaue (Cr)'!$C:$FB,75)</f>
        <v>2235</v>
      </c>
      <c r="F170" s="91">
        <f>VLOOKUP($A170,'Data Vlaue (Cr)'!$C:$FB,77)</f>
        <v>-20</v>
      </c>
      <c r="G170" s="92">
        <f>VLOOKUP(A170,'Data Vlaue (Cr)'!C165:CB386,78,0)</f>
        <v>-8.6999999999999994E-3</v>
      </c>
      <c r="H170" s="91">
        <f>VLOOKUP($A170,'Data Vlaue (Cr)'!$C:$FB,91)</f>
        <v>1063</v>
      </c>
      <c r="I170" s="91">
        <f>VLOOKUP($A170,'Data Vlaue (Cr)'!$C:$FB,93)</f>
        <v>201</v>
      </c>
      <c r="J170" s="92">
        <f>VLOOKUP($A170,'Data Vlaue (Cr)'!$C:$FB,94)</f>
        <v>0.23350000000000001</v>
      </c>
      <c r="K170" s="91">
        <f>VLOOKUP($A170,'Data Vlaue (Cr)'!$C:$FB,95)</f>
        <v>840</v>
      </c>
      <c r="L170" s="91">
        <f>VLOOKUP($A170,'Data Vlaue (Cr)'!$C:$FB,97)</f>
        <v>84</v>
      </c>
      <c r="M170" s="92">
        <f>VLOOKUP($A170,'Data Vlaue (Cr)'!$C:$FB,98)</f>
        <v>0.1109</v>
      </c>
      <c r="N170" s="91">
        <f>VLOOKUP($A170,'Data Vlaue (Cr)'!$C:$FB,79)</f>
        <v>1809</v>
      </c>
      <c r="O170" s="92">
        <f>VLOOKUP($A170,'Data Vlaue (Cr)'!$C:$FB,82)</f>
        <v>-2.5000000000000001E-2</v>
      </c>
    </row>
    <row r="171" spans="1:15" x14ac:dyDescent="0.25">
      <c r="A171" s="97" t="str">
        <f>'Data Vlaue (Cr)'!C166</f>
        <v>PGEL</v>
      </c>
      <c r="B171" s="142">
        <f>VLOOKUP(A171,'Data Vlaue (Cr)'!C166:CW387,99,0)</f>
        <v>1881</v>
      </c>
      <c r="C171" s="90">
        <f>VLOOKUP(A171,'Data Vlaue (Cr)'!C166:CY387,101,0)</f>
        <v>543</v>
      </c>
      <c r="D171" s="139">
        <f>VLOOKUP(A171,'Data Vlaue (Cr)'!C166:CZ387,102,0)</f>
        <v>0.40550000000000003</v>
      </c>
      <c r="E171" s="91">
        <f>VLOOKUP($A171,'Data Vlaue (Cr)'!$C:$FB,75)</f>
        <v>744</v>
      </c>
      <c r="F171" s="91">
        <f>VLOOKUP($A171,'Data Vlaue (Cr)'!$C:$FB,77)</f>
        <v>100</v>
      </c>
      <c r="G171" s="92">
        <f>VLOOKUP(A171,'Data Vlaue (Cr)'!C166:CB387,78,0)</f>
        <v>0.15540000000000001</v>
      </c>
      <c r="H171" s="91">
        <f>VLOOKUP($A171,'Data Vlaue (Cr)'!$C:$FB,91)</f>
        <v>779</v>
      </c>
      <c r="I171" s="91">
        <f>VLOOKUP($A171,'Data Vlaue (Cr)'!$C:$FB,93)</f>
        <v>302</v>
      </c>
      <c r="J171" s="92">
        <f>VLOOKUP($A171,'Data Vlaue (Cr)'!$C:$FB,94)</f>
        <v>0.63270000000000004</v>
      </c>
      <c r="K171" s="91">
        <f>VLOOKUP($A171,'Data Vlaue (Cr)'!$C:$FB,95)</f>
        <v>358</v>
      </c>
      <c r="L171" s="91">
        <f>VLOOKUP($A171,'Data Vlaue (Cr)'!$C:$FB,97)</f>
        <v>141</v>
      </c>
      <c r="M171" s="92">
        <f>VLOOKUP($A171,'Data Vlaue (Cr)'!$C:$FB,98)</f>
        <v>0.64649999999999996</v>
      </c>
      <c r="N171" s="91">
        <f>VLOOKUP($A171,'Data Vlaue (Cr)'!$C:$FB,79)</f>
        <v>539</v>
      </c>
      <c r="O171" s="92">
        <f>VLOOKUP($A171,'Data Vlaue (Cr)'!$C:$FB,82)</f>
        <v>8.3199999999999996E-2</v>
      </c>
    </row>
    <row r="172" spans="1:15" x14ac:dyDescent="0.25">
      <c r="A172" s="97" t="str">
        <f>'Data Vlaue (Cr)'!C167</f>
        <v>PHOENIXLTD</v>
      </c>
      <c r="B172" s="142">
        <f>VLOOKUP(A172,'Data Vlaue (Cr)'!C167:CW388,99,0)</f>
        <v>916</v>
      </c>
      <c r="C172" s="90">
        <f>VLOOKUP(A172,'Data Vlaue (Cr)'!C167:CY388,101,0)</f>
        <v>23</v>
      </c>
      <c r="D172" s="139">
        <f>VLOOKUP(A172,'Data Vlaue (Cr)'!C167:CZ388,102,0)</f>
        <v>2.5399999999999999E-2</v>
      </c>
      <c r="E172" s="91">
        <f>VLOOKUP($A172,'Data Vlaue (Cr)'!$C:$FB,75)</f>
        <v>688</v>
      </c>
      <c r="F172" s="91">
        <f>VLOOKUP($A172,'Data Vlaue (Cr)'!$C:$FB,77)</f>
        <v>-3</v>
      </c>
      <c r="G172" s="92">
        <f>VLOOKUP(A172,'Data Vlaue (Cr)'!C167:CB388,78,0)</f>
        <v>-3.8E-3</v>
      </c>
      <c r="H172" s="91">
        <f>VLOOKUP($A172,'Data Vlaue (Cr)'!$C:$FB,91)</f>
        <v>138</v>
      </c>
      <c r="I172" s="91">
        <f>VLOOKUP($A172,'Data Vlaue (Cr)'!$C:$FB,93)</f>
        <v>9</v>
      </c>
      <c r="J172" s="92">
        <f>VLOOKUP($A172,'Data Vlaue (Cr)'!$C:$FB,94)</f>
        <v>7.2999999999999995E-2</v>
      </c>
      <c r="K172" s="91">
        <f>VLOOKUP($A172,'Data Vlaue (Cr)'!$C:$FB,95)</f>
        <v>89</v>
      </c>
      <c r="L172" s="91">
        <f>VLOOKUP($A172,'Data Vlaue (Cr)'!$C:$FB,97)</f>
        <v>16</v>
      </c>
      <c r="M172" s="92">
        <f>VLOOKUP($A172,'Data Vlaue (Cr)'!$C:$FB,98)</f>
        <v>0.2172</v>
      </c>
      <c r="N172" s="91">
        <f>VLOOKUP($A172,'Data Vlaue (Cr)'!$C:$FB,79)</f>
        <v>653</v>
      </c>
      <c r="O172" s="92">
        <f>VLOOKUP($A172,'Data Vlaue (Cr)'!$C:$FB,82)</f>
        <v>-3.1800000000000002E-2</v>
      </c>
    </row>
    <row r="173" spans="1:15" x14ac:dyDescent="0.25">
      <c r="A173" s="97" t="str">
        <f>'Data Vlaue (Cr)'!C168</f>
        <v>PIDILITIND</v>
      </c>
      <c r="B173" s="142">
        <f>VLOOKUP(A173,'Data Vlaue (Cr)'!C168:CW389,99,0)</f>
        <v>1762</v>
      </c>
      <c r="C173" s="90">
        <f>VLOOKUP(A173,'Data Vlaue (Cr)'!C168:CY389,101,0)</f>
        <v>-8</v>
      </c>
      <c r="D173" s="139">
        <f>VLOOKUP(A173,'Data Vlaue (Cr)'!C168:CZ389,102,0)</f>
        <v>-4.7000000000000002E-3</v>
      </c>
      <c r="E173" s="91">
        <f>VLOOKUP($A173,'Data Vlaue (Cr)'!$C:$FB,75)</f>
        <v>1210</v>
      </c>
      <c r="F173" s="91">
        <f>VLOOKUP($A173,'Data Vlaue (Cr)'!$C:$FB,77)</f>
        <v>2</v>
      </c>
      <c r="G173" s="92">
        <f>VLOOKUP(A173,'Data Vlaue (Cr)'!C168:CB389,78,0)</f>
        <v>1.2999999999999999E-3</v>
      </c>
      <c r="H173" s="91">
        <f>VLOOKUP($A173,'Data Vlaue (Cr)'!$C:$FB,91)</f>
        <v>311</v>
      </c>
      <c r="I173" s="91">
        <f>VLOOKUP($A173,'Data Vlaue (Cr)'!$C:$FB,93)</f>
        <v>-7</v>
      </c>
      <c r="J173" s="92">
        <f>VLOOKUP($A173,'Data Vlaue (Cr)'!$C:$FB,94)</f>
        <v>-2.1100000000000001E-2</v>
      </c>
      <c r="K173" s="91">
        <f>VLOOKUP($A173,'Data Vlaue (Cr)'!$C:$FB,95)</f>
        <v>240</v>
      </c>
      <c r="L173" s="91">
        <f>VLOOKUP($A173,'Data Vlaue (Cr)'!$C:$FB,97)</f>
        <v>-3</v>
      </c>
      <c r="M173" s="92">
        <f>VLOOKUP($A173,'Data Vlaue (Cr)'!$C:$FB,98)</f>
        <v>-1.3299999999999999E-2</v>
      </c>
      <c r="N173" s="91">
        <f>VLOOKUP($A173,'Data Vlaue (Cr)'!$C:$FB,79)</f>
        <v>1166</v>
      </c>
      <c r="O173" s="92">
        <f>VLOOKUP($A173,'Data Vlaue (Cr)'!$C:$FB,82)</f>
        <v>-1.1000000000000001E-3</v>
      </c>
    </row>
    <row r="174" spans="1:15" x14ac:dyDescent="0.25">
      <c r="A174" s="97" t="str">
        <f>'Data Vlaue (Cr)'!C169</f>
        <v>PIIND</v>
      </c>
      <c r="B174" s="142">
        <f>VLOOKUP(A174,'Data Vlaue (Cr)'!C169:CW390,99,0)</f>
        <v>1379</v>
      </c>
      <c r="C174" s="90">
        <f>VLOOKUP(A174,'Data Vlaue (Cr)'!C169:CY390,101,0)</f>
        <v>-59</v>
      </c>
      <c r="D174" s="139">
        <f>VLOOKUP(A174,'Data Vlaue (Cr)'!C169:CZ390,102,0)</f>
        <v>-4.0899999999999999E-2</v>
      </c>
      <c r="E174" s="91">
        <f>VLOOKUP($A174,'Data Vlaue (Cr)'!$C:$FB,75)</f>
        <v>785</v>
      </c>
      <c r="F174" s="91">
        <f>VLOOKUP($A174,'Data Vlaue (Cr)'!$C:$FB,77)</f>
        <v>5</v>
      </c>
      <c r="G174" s="92">
        <f>VLOOKUP(A174,'Data Vlaue (Cr)'!C169:CB390,78,0)</f>
        <v>6.1000000000000004E-3</v>
      </c>
      <c r="H174" s="91">
        <f>VLOOKUP($A174,'Data Vlaue (Cr)'!$C:$FB,91)</f>
        <v>359</v>
      </c>
      <c r="I174" s="91">
        <f>VLOOKUP($A174,'Data Vlaue (Cr)'!$C:$FB,93)</f>
        <v>-45</v>
      </c>
      <c r="J174" s="92">
        <f>VLOOKUP($A174,'Data Vlaue (Cr)'!$C:$FB,94)</f>
        <v>-0.11070000000000001</v>
      </c>
      <c r="K174" s="91">
        <f>VLOOKUP($A174,'Data Vlaue (Cr)'!$C:$FB,95)</f>
        <v>235</v>
      </c>
      <c r="L174" s="91">
        <f>VLOOKUP($A174,'Data Vlaue (Cr)'!$C:$FB,97)</f>
        <v>-19</v>
      </c>
      <c r="M174" s="92">
        <f>VLOOKUP($A174,'Data Vlaue (Cr)'!$C:$FB,98)</f>
        <v>-7.4200000000000002E-2</v>
      </c>
      <c r="N174" s="91">
        <f>VLOOKUP($A174,'Data Vlaue (Cr)'!$C:$FB,79)</f>
        <v>722</v>
      </c>
      <c r="O174" s="92">
        <f>VLOOKUP($A174,'Data Vlaue (Cr)'!$C:$FB,82)</f>
        <v>-1.5699999999999999E-2</v>
      </c>
    </row>
    <row r="175" spans="1:15" x14ac:dyDescent="0.25">
      <c r="A175" s="97" t="str">
        <f>'Data Vlaue (Cr)'!C170</f>
        <v>PNB</v>
      </c>
      <c r="B175" s="142">
        <f>VLOOKUP(A175,'Data Vlaue (Cr)'!C170:CW391,99,0)</f>
        <v>5053</v>
      </c>
      <c r="C175" s="90">
        <f>VLOOKUP(A175,'Data Vlaue (Cr)'!C170:CY391,101,0)</f>
        <v>135</v>
      </c>
      <c r="D175" s="139">
        <f>VLOOKUP(A175,'Data Vlaue (Cr)'!C170:CZ391,102,0)</f>
        <v>2.75E-2</v>
      </c>
      <c r="E175" s="91">
        <f>VLOOKUP($A175,'Data Vlaue (Cr)'!$C:$FB,75)</f>
        <v>2853</v>
      </c>
      <c r="F175" s="91">
        <f>VLOOKUP($A175,'Data Vlaue (Cr)'!$C:$FB,77)</f>
        <v>65</v>
      </c>
      <c r="G175" s="92">
        <f>VLOOKUP(A175,'Data Vlaue (Cr)'!C170:CB391,78,0)</f>
        <v>2.3300000000000001E-2</v>
      </c>
      <c r="H175" s="91">
        <f>VLOOKUP($A175,'Data Vlaue (Cr)'!$C:$FB,91)</f>
        <v>1376</v>
      </c>
      <c r="I175" s="91">
        <f>VLOOKUP($A175,'Data Vlaue (Cr)'!$C:$FB,93)</f>
        <v>68</v>
      </c>
      <c r="J175" s="92">
        <f>VLOOKUP($A175,'Data Vlaue (Cr)'!$C:$FB,94)</f>
        <v>5.1999999999999998E-2</v>
      </c>
      <c r="K175" s="91">
        <f>VLOOKUP($A175,'Data Vlaue (Cr)'!$C:$FB,95)</f>
        <v>824</v>
      </c>
      <c r="L175" s="91">
        <f>VLOOKUP($A175,'Data Vlaue (Cr)'!$C:$FB,97)</f>
        <v>3</v>
      </c>
      <c r="M175" s="92">
        <f>VLOOKUP($A175,'Data Vlaue (Cr)'!$C:$FB,98)</f>
        <v>3.0999999999999999E-3</v>
      </c>
      <c r="N175" s="91">
        <f>VLOOKUP($A175,'Data Vlaue (Cr)'!$C:$FB,79)</f>
        <v>2555</v>
      </c>
      <c r="O175" s="92">
        <f>VLOOKUP($A175,'Data Vlaue (Cr)'!$C:$FB,82)</f>
        <v>2.5999999999999999E-3</v>
      </c>
    </row>
    <row r="176" spans="1:15" x14ac:dyDescent="0.25">
      <c r="A176" s="97" t="str">
        <f>'Data Vlaue (Cr)'!C171</f>
        <v>PNBHOUSING</v>
      </c>
      <c r="B176" s="142">
        <f>VLOOKUP(A176,'Data Vlaue (Cr)'!C171:CW392,99,0)</f>
        <v>2696</v>
      </c>
      <c r="C176" s="90">
        <f>VLOOKUP(A176,'Data Vlaue (Cr)'!C171:CY392,101,0)</f>
        <v>150</v>
      </c>
      <c r="D176" s="139">
        <f>VLOOKUP(A176,'Data Vlaue (Cr)'!C171:CZ392,102,0)</f>
        <v>5.8900000000000001E-2</v>
      </c>
      <c r="E176" s="91">
        <f>VLOOKUP($A176,'Data Vlaue (Cr)'!$C:$FB,75)</f>
        <v>1313</v>
      </c>
      <c r="F176" s="91">
        <f>VLOOKUP($A176,'Data Vlaue (Cr)'!$C:$FB,77)</f>
        <v>58</v>
      </c>
      <c r="G176" s="92">
        <f>VLOOKUP(A176,'Data Vlaue (Cr)'!C171:CB392,78,0)</f>
        <v>4.5900000000000003E-2</v>
      </c>
      <c r="H176" s="91">
        <f>VLOOKUP($A176,'Data Vlaue (Cr)'!$C:$FB,91)</f>
        <v>978</v>
      </c>
      <c r="I176" s="91">
        <f>VLOOKUP($A176,'Data Vlaue (Cr)'!$C:$FB,93)</f>
        <v>60</v>
      </c>
      <c r="J176" s="92">
        <f>VLOOKUP($A176,'Data Vlaue (Cr)'!$C:$FB,94)</f>
        <v>6.5299999999999997E-2</v>
      </c>
      <c r="K176" s="91">
        <f>VLOOKUP($A176,'Data Vlaue (Cr)'!$C:$FB,95)</f>
        <v>405</v>
      </c>
      <c r="L176" s="91">
        <f>VLOOKUP($A176,'Data Vlaue (Cr)'!$C:$FB,97)</f>
        <v>32</v>
      </c>
      <c r="M176" s="92">
        <f>VLOOKUP($A176,'Data Vlaue (Cr)'!$C:$FB,98)</f>
        <v>8.6800000000000002E-2</v>
      </c>
      <c r="N176" s="91">
        <f>VLOOKUP($A176,'Data Vlaue (Cr)'!$C:$FB,79)</f>
        <v>1117</v>
      </c>
      <c r="O176" s="92">
        <f>VLOOKUP($A176,'Data Vlaue (Cr)'!$C:$FB,82)</f>
        <v>1.34E-2</v>
      </c>
    </row>
    <row r="177" spans="1:15" x14ac:dyDescent="0.25">
      <c r="A177" s="97" t="str">
        <f>'Data Vlaue (Cr)'!C172</f>
        <v>POLICYBZR</v>
      </c>
      <c r="B177" s="142">
        <f>VLOOKUP(A177,'Data Vlaue (Cr)'!C172:CW393,99,0)</f>
        <v>1795</v>
      </c>
      <c r="C177" s="90">
        <f>VLOOKUP(A177,'Data Vlaue (Cr)'!C172:CY393,101,0)</f>
        <v>-16</v>
      </c>
      <c r="D177" s="139">
        <f>VLOOKUP(A177,'Data Vlaue (Cr)'!C172:CZ393,102,0)</f>
        <v>-8.8000000000000005E-3</v>
      </c>
      <c r="E177" s="91">
        <f>VLOOKUP($A177,'Data Vlaue (Cr)'!$C:$FB,75)</f>
        <v>1442</v>
      </c>
      <c r="F177" s="91">
        <f>VLOOKUP($A177,'Data Vlaue (Cr)'!$C:$FB,77)</f>
        <v>-18</v>
      </c>
      <c r="G177" s="92">
        <f>VLOOKUP(A177,'Data Vlaue (Cr)'!C172:CB393,78,0)</f>
        <v>-1.21E-2</v>
      </c>
      <c r="H177" s="91">
        <f>VLOOKUP($A177,'Data Vlaue (Cr)'!$C:$FB,91)</f>
        <v>188</v>
      </c>
      <c r="I177" s="91">
        <f>VLOOKUP($A177,'Data Vlaue (Cr)'!$C:$FB,93)</f>
        <v>1</v>
      </c>
      <c r="J177" s="92">
        <f>VLOOKUP($A177,'Data Vlaue (Cr)'!$C:$FB,94)</f>
        <v>4.0000000000000001E-3</v>
      </c>
      <c r="K177" s="91">
        <f>VLOOKUP($A177,'Data Vlaue (Cr)'!$C:$FB,95)</f>
        <v>165</v>
      </c>
      <c r="L177" s="91">
        <f>VLOOKUP($A177,'Data Vlaue (Cr)'!$C:$FB,97)</f>
        <v>1</v>
      </c>
      <c r="M177" s="92">
        <f>VLOOKUP($A177,'Data Vlaue (Cr)'!$C:$FB,98)</f>
        <v>6.1000000000000004E-3</v>
      </c>
      <c r="N177" s="91">
        <f>VLOOKUP($A177,'Data Vlaue (Cr)'!$C:$FB,79)</f>
        <v>1343</v>
      </c>
      <c r="O177" s="92">
        <f>VLOOKUP($A177,'Data Vlaue (Cr)'!$C:$FB,82)</f>
        <v>-2.5000000000000001E-2</v>
      </c>
    </row>
    <row r="178" spans="1:15" x14ac:dyDescent="0.25">
      <c r="A178" s="97" t="str">
        <f>'Data Vlaue (Cr)'!C173</f>
        <v>POLYCAB</v>
      </c>
      <c r="B178" s="142">
        <f>VLOOKUP(A178,'Data Vlaue (Cr)'!C173:CW394,99,0)</f>
        <v>2297</v>
      </c>
      <c r="C178" s="90">
        <f>VLOOKUP(A178,'Data Vlaue (Cr)'!C173:CY394,101,0)</f>
        <v>6</v>
      </c>
      <c r="D178" s="139">
        <f>VLOOKUP(A178,'Data Vlaue (Cr)'!C173:CZ394,102,0)</f>
        <v>2.5000000000000001E-3</v>
      </c>
      <c r="E178" s="91">
        <f>VLOOKUP($A178,'Data Vlaue (Cr)'!$C:$FB,75)</f>
        <v>1204</v>
      </c>
      <c r="F178" s="91">
        <f>VLOOKUP($A178,'Data Vlaue (Cr)'!$C:$FB,77)</f>
        <v>-22</v>
      </c>
      <c r="G178" s="92">
        <f>VLOOKUP(A178,'Data Vlaue (Cr)'!C173:CB394,78,0)</f>
        <v>-1.8200000000000001E-2</v>
      </c>
      <c r="H178" s="91">
        <f>VLOOKUP($A178,'Data Vlaue (Cr)'!$C:$FB,91)</f>
        <v>612</v>
      </c>
      <c r="I178" s="91">
        <f>VLOOKUP($A178,'Data Vlaue (Cr)'!$C:$FB,93)</f>
        <v>2</v>
      </c>
      <c r="J178" s="92">
        <f>VLOOKUP($A178,'Data Vlaue (Cr)'!$C:$FB,94)</f>
        <v>2.8E-3</v>
      </c>
      <c r="K178" s="91">
        <f>VLOOKUP($A178,'Data Vlaue (Cr)'!$C:$FB,95)</f>
        <v>481</v>
      </c>
      <c r="L178" s="91">
        <f>VLOOKUP($A178,'Data Vlaue (Cr)'!$C:$FB,97)</f>
        <v>26</v>
      </c>
      <c r="M178" s="92">
        <f>VLOOKUP($A178,'Data Vlaue (Cr)'!$C:$FB,98)</f>
        <v>5.7700000000000001E-2</v>
      </c>
      <c r="N178" s="91">
        <f>VLOOKUP($A178,'Data Vlaue (Cr)'!$C:$FB,79)</f>
        <v>1144</v>
      </c>
      <c r="O178" s="92">
        <f>VLOOKUP($A178,'Data Vlaue (Cr)'!$C:$FB,82)</f>
        <v>-1.9699999999999999E-2</v>
      </c>
    </row>
    <row r="179" spans="1:15" x14ac:dyDescent="0.25">
      <c r="A179" s="97" t="str">
        <f>'Data Vlaue (Cr)'!C174</f>
        <v>POONAWALLA</v>
      </c>
      <c r="B179" s="142">
        <f>VLOOKUP(A179,'Data Vlaue (Cr)'!C174:CW395,99,0)</f>
        <v>657</v>
      </c>
      <c r="C179" s="90">
        <f>VLOOKUP(A179,'Data Vlaue (Cr)'!C174:CY395,101,0)</f>
        <v>-7</v>
      </c>
      <c r="D179" s="139">
        <f>VLOOKUP(A179,'Data Vlaue (Cr)'!C174:CZ395,102,0)</f>
        <v>-1.0699999999999999E-2</v>
      </c>
      <c r="E179" s="91">
        <f>VLOOKUP($A179,'Data Vlaue (Cr)'!$C:$FB,75)</f>
        <v>427</v>
      </c>
      <c r="F179" s="91">
        <f>VLOOKUP($A179,'Data Vlaue (Cr)'!$C:$FB,77)</f>
        <v>-4</v>
      </c>
      <c r="G179" s="92">
        <f>VLOOKUP(A179,'Data Vlaue (Cr)'!C174:CB395,78,0)</f>
        <v>-8.6E-3</v>
      </c>
      <c r="H179" s="91">
        <f>VLOOKUP($A179,'Data Vlaue (Cr)'!$C:$FB,91)</f>
        <v>126</v>
      </c>
      <c r="I179" s="91">
        <f>VLOOKUP($A179,'Data Vlaue (Cr)'!$C:$FB,93)</f>
        <v>0</v>
      </c>
      <c r="J179" s="92">
        <f>VLOOKUP($A179,'Data Vlaue (Cr)'!$C:$FB,94)</f>
        <v>-5.9999999999999995E-4</v>
      </c>
      <c r="K179" s="91">
        <f>VLOOKUP($A179,'Data Vlaue (Cr)'!$C:$FB,95)</f>
        <v>103</v>
      </c>
      <c r="L179" s="91">
        <f>VLOOKUP($A179,'Data Vlaue (Cr)'!$C:$FB,97)</f>
        <v>-3</v>
      </c>
      <c r="M179" s="92">
        <f>VLOOKUP($A179,'Data Vlaue (Cr)'!$C:$FB,98)</f>
        <v>-3.1099999999999999E-2</v>
      </c>
      <c r="N179" s="91">
        <f>VLOOKUP($A179,'Data Vlaue (Cr)'!$C:$FB,79)</f>
        <v>427</v>
      </c>
      <c r="O179" s="92">
        <f>VLOOKUP($A179,'Data Vlaue (Cr)'!$C:$FB,82)</f>
        <v>-8.6E-3</v>
      </c>
    </row>
    <row r="180" spans="1:15" x14ac:dyDescent="0.25">
      <c r="A180" s="97" t="str">
        <f>'Data Vlaue (Cr)'!C175</f>
        <v>POWERGRID</v>
      </c>
      <c r="B180" s="142">
        <f>VLOOKUP(A180,'Data Vlaue (Cr)'!C175:CW396,99,0)</f>
        <v>3102</v>
      </c>
      <c r="C180" s="90">
        <f>VLOOKUP(A180,'Data Vlaue (Cr)'!C175:CY396,101,0)</f>
        <v>6</v>
      </c>
      <c r="D180" s="139">
        <f>VLOOKUP(A180,'Data Vlaue (Cr)'!C175:CZ396,102,0)</f>
        <v>2.0999999999999999E-3</v>
      </c>
      <c r="E180" s="91">
        <f>VLOOKUP($A180,'Data Vlaue (Cr)'!$C:$FB,75)</f>
        <v>2153</v>
      </c>
      <c r="F180" s="91">
        <f>VLOOKUP($A180,'Data Vlaue (Cr)'!$C:$FB,77)</f>
        <v>-2</v>
      </c>
      <c r="G180" s="92">
        <f>VLOOKUP(A180,'Data Vlaue (Cr)'!C175:CB396,78,0)</f>
        <v>-8.9999999999999998E-4</v>
      </c>
      <c r="H180" s="91">
        <f>VLOOKUP($A180,'Data Vlaue (Cr)'!$C:$FB,91)</f>
        <v>624</v>
      </c>
      <c r="I180" s="91">
        <f>VLOOKUP($A180,'Data Vlaue (Cr)'!$C:$FB,93)</f>
        <v>-2</v>
      </c>
      <c r="J180" s="92">
        <f>VLOOKUP($A180,'Data Vlaue (Cr)'!$C:$FB,94)</f>
        <v>-3.2000000000000002E-3</v>
      </c>
      <c r="K180" s="91">
        <f>VLOOKUP($A180,'Data Vlaue (Cr)'!$C:$FB,95)</f>
        <v>325</v>
      </c>
      <c r="L180" s="91">
        <f>VLOOKUP($A180,'Data Vlaue (Cr)'!$C:$FB,97)</f>
        <v>10</v>
      </c>
      <c r="M180" s="92">
        <f>VLOOKUP($A180,'Data Vlaue (Cr)'!$C:$FB,98)</f>
        <v>3.3000000000000002E-2</v>
      </c>
      <c r="N180" s="91">
        <f>VLOOKUP($A180,'Data Vlaue (Cr)'!$C:$FB,79)</f>
        <v>2018</v>
      </c>
      <c r="O180" s="92">
        <f>VLOOKUP($A180,'Data Vlaue (Cr)'!$C:$FB,82)</f>
        <v>-1.49E-2</v>
      </c>
    </row>
    <row r="181" spans="1:15" x14ac:dyDescent="0.25">
      <c r="A181" s="97" t="str">
        <f>'Data Vlaue (Cr)'!C176</f>
        <v>PPLPHARMA</v>
      </c>
      <c r="B181" s="142">
        <f>VLOOKUP(A181,'Data Vlaue (Cr)'!C176:CW397,99,0)</f>
        <v>481</v>
      </c>
      <c r="C181" s="90">
        <f>VLOOKUP(A181,'Data Vlaue (Cr)'!C176:CY397,101,0)</f>
        <v>3</v>
      </c>
      <c r="D181" s="139">
        <f>VLOOKUP(A181,'Data Vlaue (Cr)'!C176:CZ397,102,0)</f>
        <v>5.4999999999999997E-3</v>
      </c>
      <c r="E181" s="91">
        <f>VLOOKUP($A181,'Data Vlaue (Cr)'!$C:$FB,75)</f>
        <v>248</v>
      </c>
      <c r="F181" s="91">
        <f>VLOOKUP($A181,'Data Vlaue (Cr)'!$C:$FB,77)</f>
        <v>1</v>
      </c>
      <c r="G181" s="92">
        <f>VLOOKUP(A181,'Data Vlaue (Cr)'!C176:CB397,78,0)</f>
        <v>4.1000000000000003E-3</v>
      </c>
      <c r="H181" s="91">
        <f>VLOOKUP($A181,'Data Vlaue (Cr)'!$C:$FB,91)</f>
        <v>146</v>
      </c>
      <c r="I181" s="91">
        <f>VLOOKUP($A181,'Data Vlaue (Cr)'!$C:$FB,93)</f>
        <v>-1</v>
      </c>
      <c r="J181" s="92">
        <f>VLOOKUP($A181,'Data Vlaue (Cr)'!$C:$FB,94)</f>
        <v>-8.8000000000000005E-3</v>
      </c>
      <c r="K181" s="91">
        <f>VLOOKUP($A181,'Data Vlaue (Cr)'!$C:$FB,95)</f>
        <v>88</v>
      </c>
      <c r="L181" s="91">
        <f>VLOOKUP($A181,'Data Vlaue (Cr)'!$C:$FB,97)</f>
        <v>3</v>
      </c>
      <c r="M181" s="92">
        <f>VLOOKUP($A181,'Data Vlaue (Cr)'!$C:$FB,98)</f>
        <v>3.4500000000000003E-2</v>
      </c>
      <c r="N181" s="91">
        <f>VLOOKUP($A181,'Data Vlaue (Cr)'!$C:$FB,79)</f>
        <v>224</v>
      </c>
      <c r="O181" s="92">
        <f>VLOOKUP($A181,'Data Vlaue (Cr)'!$C:$FB,82)</f>
        <v>-1.12E-2</v>
      </c>
    </row>
    <row r="182" spans="1:15" x14ac:dyDescent="0.25">
      <c r="A182" s="97" t="str">
        <f>'Data Vlaue (Cr)'!C177</f>
        <v>PRESTIGE</v>
      </c>
      <c r="B182" s="142">
        <f>VLOOKUP(A182,'Data Vlaue (Cr)'!C177:CW398,99,0)</f>
        <v>1341</v>
      </c>
      <c r="C182" s="90">
        <f>VLOOKUP(A182,'Data Vlaue (Cr)'!C177:CY398,101,0)</f>
        <v>20</v>
      </c>
      <c r="D182" s="139">
        <f>VLOOKUP(A182,'Data Vlaue (Cr)'!C177:CZ398,102,0)</f>
        <v>1.49E-2</v>
      </c>
      <c r="E182" s="91">
        <f>VLOOKUP($A182,'Data Vlaue (Cr)'!$C:$FB,75)</f>
        <v>852</v>
      </c>
      <c r="F182" s="91">
        <f>VLOOKUP($A182,'Data Vlaue (Cr)'!$C:$FB,77)</f>
        <v>20</v>
      </c>
      <c r="G182" s="92">
        <f>VLOOKUP(A182,'Data Vlaue (Cr)'!C177:CB398,78,0)</f>
        <v>2.3800000000000002E-2</v>
      </c>
      <c r="H182" s="91">
        <f>VLOOKUP($A182,'Data Vlaue (Cr)'!$C:$FB,91)</f>
        <v>340</v>
      </c>
      <c r="I182" s="91">
        <f>VLOOKUP($A182,'Data Vlaue (Cr)'!$C:$FB,93)</f>
        <v>3</v>
      </c>
      <c r="J182" s="92">
        <f>VLOOKUP($A182,'Data Vlaue (Cr)'!$C:$FB,94)</f>
        <v>8.0999999999999996E-3</v>
      </c>
      <c r="K182" s="91">
        <f>VLOOKUP($A182,'Data Vlaue (Cr)'!$C:$FB,95)</f>
        <v>150</v>
      </c>
      <c r="L182" s="91">
        <f>VLOOKUP($A182,'Data Vlaue (Cr)'!$C:$FB,97)</f>
        <v>-3</v>
      </c>
      <c r="M182" s="92">
        <f>VLOOKUP($A182,'Data Vlaue (Cr)'!$C:$FB,98)</f>
        <v>-1.8800000000000001E-2</v>
      </c>
      <c r="N182" s="91">
        <f>VLOOKUP($A182,'Data Vlaue (Cr)'!$C:$FB,79)</f>
        <v>821</v>
      </c>
      <c r="O182" s="92">
        <f>VLOOKUP($A182,'Data Vlaue (Cr)'!$C:$FB,82)</f>
        <v>1.12E-2</v>
      </c>
    </row>
    <row r="183" spans="1:15" x14ac:dyDescent="0.25">
      <c r="A183" s="97" t="str">
        <f>'Data Vlaue (Cr)'!C178</f>
        <v>RBLBANK</v>
      </c>
      <c r="B183" s="142">
        <f>VLOOKUP(A183,'Data Vlaue (Cr)'!C178:CW399,99,0)</f>
        <v>3061</v>
      </c>
      <c r="C183" s="90">
        <f>VLOOKUP(A183,'Data Vlaue (Cr)'!C178:CY399,101,0)</f>
        <v>-39</v>
      </c>
      <c r="D183" s="139">
        <f>VLOOKUP(A183,'Data Vlaue (Cr)'!C178:CZ399,102,0)</f>
        <v>-1.2500000000000001E-2</v>
      </c>
      <c r="E183" s="91">
        <f>VLOOKUP($A183,'Data Vlaue (Cr)'!$C:$FB,75)</f>
        <v>2317</v>
      </c>
      <c r="F183" s="91">
        <f>VLOOKUP($A183,'Data Vlaue (Cr)'!$C:$FB,77)</f>
        <v>-26</v>
      </c>
      <c r="G183" s="92">
        <f>VLOOKUP(A183,'Data Vlaue (Cr)'!C178:CB399,78,0)</f>
        <v>-1.09E-2</v>
      </c>
      <c r="H183" s="91">
        <f>VLOOKUP($A183,'Data Vlaue (Cr)'!$C:$FB,91)</f>
        <v>481</v>
      </c>
      <c r="I183" s="91">
        <f>VLOOKUP($A183,'Data Vlaue (Cr)'!$C:$FB,93)</f>
        <v>-11</v>
      </c>
      <c r="J183" s="92">
        <f>VLOOKUP($A183,'Data Vlaue (Cr)'!$C:$FB,94)</f>
        <v>-2.29E-2</v>
      </c>
      <c r="K183" s="91">
        <f>VLOOKUP($A183,'Data Vlaue (Cr)'!$C:$FB,95)</f>
        <v>263</v>
      </c>
      <c r="L183" s="91">
        <f>VLOOKUP($A183,'Data Vlaue (Cr)'!$C:$FB,97)</f>
        <v>-2</v>
      </c>
      <c r="M183" s="92">
        <f>VLOOKUP($A183,'Data Vlaue (Cr)'!$C:$FB,98)</f>
        <v>-7.7000000000000002E-3</v>
      </c>
      <c r="N183" s="91">
        <f>VLOOKUP($A183,'Data Vlaue (Cr)'!$C:$FB,79)</f>
        <v>2180</v>
      </c>
      <c r="O183" s="92">
        <f>VLOOKUP($A183,'Data Vlaue (Cr)'!$C:$FB,82)</f>
        <v>-1.0800000000000001E-2</v>
      </c>
    </row>
    <row r="184" spans="1:15" x14ac:dyDescent="0.25">
      <c r="A184" s="97" t="str">
        <f>'Data Vlaue (Cr)'!C179</f>
        <v>RECLTD</v>
      </c>
      <c r="B184" s="142">
        <f>VLOOKUP(A184,'Data Vlaue (Cr)'!C179:CW400,99,0)</f>
        <v>5402</v>
      </c>
      <c r="C184" s="90">
        <f>VLOOKUP(A184,'Data Vlaue (Cr)'!C179:CY400,101,0)</f>
        <v>31</v>
      </c>
      <c r="D184" s="139">
        <f>VLOOKUP(A184,'Data Vlaue (Cr)'!C179:CZ400,102,0)</f>
        <v>5.7000000000000002E-3</v>
      </c>
      <c r="E184" s="91">
        <f>VLOOKUP($A184,'Data Vlaue (Cr)'!$C:$FB,75)</f>
        <v>3363</v>
      </c>
      <c r="F184" s="91">
        <f>VLOOKUP($A184,'Data Vlaue (Cr)'!$C:$FB,77)</f>
        <v>10</v>
      </c>
      <c r="G184" s="92">
        <f>VLOOKUP(A184,'Data Vlaue (Cr)'!C179:CB400,78,0)</f>
        <v>3.0999999999999999E-3</v>
      </c>
      <c r="H184" s="91">
        <f>VLOOKUP($A184,'Data Vlaue (Cr)'!$C:$FB,91)</f>
        <v>1239</v>
      </c>
      <c r="I184" s="91">
        <f>VLOOKUP($A184,'Data Vlaue (Cr)'!$C:$FB,93)</f>
        <v>11</v>
      </c>
      <c r="J184" s="92">
        <f>VLOOKUP($A184,'Data Vlaue (Cr)'!$C:$FB,94)</f>
        <v>9.1000000000000004E-3</v>
      </c>
      <c r="K184" s="91">
        <f>VLOOKUP($A184,'Data Vlaue (Cr)'!$C:$FB,95)</f>
        <v>799</v>
      </c>
      <c r="L184" s="91">
        <f>VLOOKUP($A184,'Data Vlaue (Cr)'!$C:$FB,97)</f>
        <v>9</v>
      </c>
      <c r="M184" s="92">
        <f>VLOOKUP($A184,'Data Vlaue (Cr)'!$C:$FB,98)</f>
        <v>1.14E-2</v>
      </c>
      <c r="N184" s="91">
        <f>VLOOKUP($A184,'Data Vlaue (Cr)'!$C:$FB,79)</f>
        <v>3089</v>
      </c>
      <c r="O184" s="92">
        <f>VLOOKUP($A184,'Data Vlaue (Cr)'!$C:$FB,82)</f>
        <v>-1.66E-2</v>
      </c>
    </row>
    <row r="185" spans="1:15" x14ac:dyDescent="0.25">
      <c r="A185" s="97" t="str">
        <f>'Data Vlaue (Cr)'!C180</f>
        <v>RELIANCE</v>
      </c>
      <c r="B185" s="142">
        <f>VLOOKUP(A185,'Data Vlaue (Cr)'!C180:CW401,99,0)</f>
        <v>31802</v>
      </c>
      <c r="C185" s="90">
        <f>VLOOKUP(A185,'Data Vlaue (Cr)'!C180:CY401,101,0)</f>
        <v>420</v>
      </c>
      <c r="D185" s="139">
        <f>VLOOKUP(A185,'Data Vlaue (Cr)'!C180:CZ401,102,0)</f>
        <v>1.34E-2</v>
      </c>
      <c r="E185" s="91">
        <f>VLOOKUP($A185,'Data Vlaue (Cr)'!$C:$FB,75)</f>
        <v>17383</v>
      </c>
      <c r="F185" s="91">
        <f>VLOOKUP($A185,'Data Vlaue (Cr)'!$C:$FB,77)</f>
        <v>-139</v>
      </c>
      <c r="G185" s="92">
        <f>VLOOKUP(A185,'Data Vlaue (Cr)'!C180:CB401,78,0)</f>
        <v>-8.0000000000000002E-3</v>
      </c>
      <c r="H185" s="91">
        <f>VLOOKUP($A185,'Data Vlaue (Cr)'!$C:$FB,91)</f>
        <v>8823</v>
      </c>
      <c r="I185" s="91">
        <f>VLOOKUP($A185,'Data Vlaue (Cr)'!$C:$FB,93)</f>
        <v>674</v>
      </c>
      <c r="J185" s="92">
        <f>VLOOKUP($A185,'Data Vlaue (Cr)'!$C:$FB,94)</f>
        <v>8.2799999999999999E-2</v>
      </c>
      <c r="K185" s="91">
        <f>VLOOKUP($A185,'Data Vlaue (Cr)'!$C:$FB,95)</f>
        <v>5596</v>
      </c>
      <c r="L185" s="91">
        <f>VLOOKUP($A185,'Data Vlaue (Cr)'!$C:$FB,97)</f>
        <v>-115</v>
      </c>
      <c r="M185" s="92">
        <f>VLOOKUP($A185,'Data Vlaue (Cr)'!$C:$FB,98)</f>
        <v>-2.01E-2</v>
      </c>
      <c r="N185" s="91">
        <f>VLOOKUP($A185,'Data Vlaue (Cr)'!$C:$FB,79)</f>
        <v>13612</v>
      </c>
      <c r="O185" s="92">
        <f>VLOOKUP($A185,'Data Vlaue (Cr)'!$C:$FB,82)</f>
        <v>-3.44E-2</v>
      </c>
    </row>
    <row r="186" spans="1:15" x14ac:dyDescent="0.25">
      <c r="A186" s="97" t="str">
        <f>'Data Vlaue (Cr)'!C181</f>
        <v>RVNL</v>
      </c>
      <c r="B186" s="142">
        <f>VLOOKUP(A186,'Data Vlaue (Cr)'!C181:CW402,99,0)</f>
        <v>1223</v>
      </c>
      <c r="C186" s="90">
        <f>VLOOKUP(A186,'Data Vlaue (Cr)'!C181:CY402,101,0)</f>
        <v>95</v>
      </c>
      <c r="D186" s="139">
        <f>VLOOKUP(A186,'Data Vlaue (Cr)'!C181:CZ402,102,0)</f>
        <v>8.4500000000000006E-2</v>
      </c>
      <c r="E186" s="91">
        <f>VLOOKUP($A186,'Data Vlaue (Cr)'!$C:$FB,75)</f>
        <v>774</v>
      </c>
      <c r="F186" s="91">
        <f>VLOOKUP($A186,'Data Vlaue (Cr)'!$C:$FB,77)</f>
        <v>74</v>
      </c>
      <c r="G186" s="92">
        <f>VLOOKUP(A186,'Data Vlaue (Cr)'!C181:CB402,78,0)</f>
        <v>0.10639999999999999</v>
      </c>
      <c r="H186" s="91">
        <f>VLOOKUP($A186,'Data Vlaue (Cr)'!$C:$FB,91)</f>
        <v>280</v>
      </c>
      <c r="I186" s="91">
        <f>VLOOKUP($A186,'Data Vlaue (Cr)'!$C:$FB,93)</f>
        <v>12</v>
      </c>
      <c r="J186" s="92">
        <f>VLOOKUP($A186,'Data Vlaue (Cr)'!$C:$FB,94)</f>
        <v>4.3099999999999999E-2</v>
      </c>
      <c r="K186" s="91">
        <f>VLOOKUP($A186,'Data Vlaue (Cr)'!$C:$FB,95)</f>
        <v>169</v>
      </c>
      <c r="L186" s="91">
        <f>VLOOKUP($A186,'Data Vlaue (Cr)'!$C:$FB,97)</f>
        <v>9</v>
      </c>
      <c r="M186" s="92">
        <f>VLOOKUP($A186,'Data Vlaue (Cr)'!$C:$FB,98)</f>
        <v>5.8700000000000002E-2</v>
      </c>
      <c r="N186" s="91">
        <f>VLOOKUP($A186,'Data Vlaue (Cr)'!$C:$FB,79)</f>
        <v>601</v>
      </c>
      <c r="O186" s="92">
        <f>VLOOKUP($A186,'Data Vlaue (Cr)'!$C:$FB,82)</f>
        <v>4.9700000000000001E-2</v>
      </c>
    </row>
    <row r="187" spans="1:15" x14ac:dyDescent="0.25">
      <c r="A187" s="97" t="str">
        <f>'Data Vlaue (Cr)'!C182</f>
        <v>SAIL</v>
      </c>
      <c r="B187" s="142">
        <f>VLOOKUP(A187,'Data Vlaue (Cr)'!C182:CW403,99,0)</f>
        <v>2872</v>
      </c>
      <c r="C187" s="90">
        <f>VLOOKUP(A187,'Data Vlaue (Cr)'!C182:CY403,101,0)</f>
        <v>-203</v>
      </c>
      <c r="D187" s="139">
        <f>VLOOKUP(A187,'Data Vlaue (Cr)'!C182:CZ403,102,0)</f>
        <v>-6.6199999999999995E-2</v>
      </c>
      <c r="E187" s="91">
        <f>VLOOKUP($A187,'Data Vlaue (Cr)'!$C:$FB,75)</f>
        <v>2143</v>
      </c>
      <c r="F187" s="91">
        <f>VLOOKUP($A187,'Data Vlaue (Cr)'!$C:$FB,77)</f>
        <v>-199</v>
      </c>
      <c r="G187" s="92">
        <f>VLOOKUP(A187,'Data Vlaue (Cr)'!C182:CB403,78,0)</f>
        <v>-8.48E-2</v>
      </c>
      <c r="H187" s="91">
        <f>VLOOKUP($A187,'Data Vlaue (Cr)'!$C:$FB,91)</f>
        <v>444</v>
      </c>
      <c r="I187" s="91">
        <f>VLOOKUP($A187,'Data Vlaue (Cr)'!$C:$FB,93)</f>
        <v>-16</v>
      </c>
      <c r="J187" s="92">
        <f>VLOOKUP($A187,'Data Vlaue (Cr)'!$C:$FB,94)</f>
        <v>-3.4000000000000002E-2</v>
      </c>
      <c r="K187" s="91">
        <f>VLOOKUP($A187,'Data Vlaue (Cr)'!$C:$FB,95)</f>
        <v>284</v>
      </c>
      <c r="L187" s="91">
        <f>VLOOKUP($A187,'Data Vlaue (Cr)'!$C:$FB,97)</f>
        <v>11</v>
      </c>
      <c r="M187" s="92">
        <f>VLOOKUP($A187,'Data Vlaue (Cr)'!$C:$FB,98)</f>
        <v>3.9600000000000003E-2</v>
      </c>
      <c r="N187" s="91">
        <f>VLOOKUP($A187,'Data Vlaue (Cr)'!$C:$FB,79)</f>
        <v>1467</v>
      </c>
      <c r="O187" s="92">
        <f>VLOOKUP($A187,'Data Vlaue (Cr)'!$C:$FB,82)</f>
        <v>-0.1206</v>
      </c>
    </row>
    <row r="188" spans="1:15" x14ac:dyDescent="0.25">
      <c r="A188" s="97" t="str">
        <f>'Data Vlaue (Cr)'!C183</f>
        <v>SBICARD</v>
      </c>
      <c r="B188" s="142">
        <f>VLOOKUP(A188,'Data Vlaue (Cr)'!C183:CW404,99,0)</f>
        <v>1882</v>
      </c>
      <c r="C188" s="90">
        <f>VLOOKUP(A188,'Data Vlaue (Cr)'!C183:CY404,101,0)</f>
        <v>23</v>
      </c>
      <c r="D188" s="139">
        <f>VLOOKUP(A188,'Data Vlaue (Cr)'!C183:CZ404,102,0)</f>
        <v>1.26E-2</v>
      </c>
      <c r="E188" s="91">
        <f>VLOOKUP($A188,'Data Vlaue (Cr)'!$C:$FB,75)</f>
        <v>1095</v>
      </c>
      <c r="F188" s="91">
        <f>VLOOKUP($A188,'Data Vlaue (Cr)'!$C:$FB,77)</f>
        <v>22</v>
      </c>
      <c r="G188" s="92">
        <f>VLOOKUP(A188,'Data Vlaue (Cr)'!C183:CB404,78,0)</f>
        <v>2.06E-2</v>
      </c>
      <c r="H188" s="91">
        <f>VLOOKUP($A188,'Data Vlaue (Cr)'!$C:$FB,91)</f>
        <v>476</v>
      </c>
      <c r="I188" s="91">
        <f>VLOOKUP($A188,'Data Vlaue (Cr)'!$C:$FB,93)</f>
        <v>-31</v>
      </c>
      <c r="J188" s="92">
        <f>VLOOKUP($A188,'Data Vlaue (Cr)'!$C:$FB,94)</f>
        <v>-6.1400000000000003E-2</v>
      </c>
      <c r="K188" s="91">
        <f>VLOOKUP($A188,'Data Vlaue (Cr)'!$C:$FB,95)</f>
        <v>312</v>
      </c>
      <c r="L188" s="91">
        <f>VLOOKUP($A188,'Data Vlaue (Cr)'!$C:$FB,97)</f>
        <v>32</v>
      </c>
      <c r="M188" s="92">
        <f>VLOOKUP($A188,'Data Vlaue (Cr)'!$C:$FB,98)</f>
        <v>0.1163</v>
      </c>
      <c r="N188" s="91">
        <f>VLOOKUP($A188,'Data Vlaue (Cr)'!$C:$FB,79)</f>
        <v>991</v>
      </c>
      <c r="O188" s="92">
        <f>VLOOKUP($A188,'Data Vlaue (Cr)'!$C:$FB,82)</f>
        <v>5.4000000000000003E-3</v>
      </c>
    </row>
    <row r="189" spans="1:15" x14ac:dyDescent="0.25">
      <c r="A189" s="97" t="str">
        <f>'Data Vlaue (Cr)'!C223</f>
        <v>ZYDUSLIFE</v>
      </c>
      <c r="B189" s="142">
        <f>VLOOKUP(A189,'Data Vlaue (Cr)'!C223:CW405,99,0)</f>
        <v>1400</v>
      </c>
      <c r="C189" s="90">
        <f>VLOOKUP(A189,'Data Vlaue (Cr)'!C223:CY405,101,0)</f>
        <v>8</v>
      </c>
      <c r="D189" s="139">
        <f>VLOOKUP(A189,'Data Vlaue (Cr)'!C223:CZ405,102,0)</f>
        <v>5.7000000000000002E-3</v>
      </c>
      <c r="E189" s="91">
        <f>VLOOKUP($A189,'Data Vlaue (Cr)'!$C:$FB,75)</f>
        <v>826</v>
      </c>
      <c r="F189" s="91">
        <f>VLOOKUP($A189,'Data Vlaue (Cr)'!$C:$FB,77)</f>
        <v>19</v>
      </c>
      <c r="G189" s="92">
        <f>VLOOKUP(A189,'Data Vlaue (Cr)'!C223:CB405,78,0)</f>
        <v>2.3699999999999999E-2</v>
      </c>
      <c r="H189" s="91">
        <f>VLOOKUP($A189,'Data Vlaue (Cr)'!$C:$FB,91)</f>
        <v>290</v>
      </c>
      <c r="I189" s="91">
        <f>VLOOKUP($A189,'Data Vlaue (Cr)'!$C:$FB,93)</f>
        <v>-12</v>
      </c>
      <c r="J189" s="92">
        <f>VLOOKUP($A189,'Data Vlaue (Cr)'!$C:$FB,94)</f>
        <v>-3.9300000000000002E-2</v>
      </c>
      <c r="K189" s="91">
        <f>VLOOKUP($A189,'Data Vlaue (Cr)'!$C:$FB,95)</f>
        <v>284</v>
      </c>
      <c r="L189" s="91">
        <f>VLOOKUP($A189,'Data Vlaue (Cr)'!$C:$FB,97)</f>
        <v>1</v>
      </c>
      <c r="M189" s="92">
        <f>VLOOKUP($A189,'Data Vlaue (Cr)'!$C:$FB,98)</f>
        <v>2.2000000000000001E-3</v>
      </c>
      <c r="N189" s="91">
        <f>VLOOKUP($A189,'Data Vlaue (Cr)'!$C:$FB,79)</f>
        <v>698</v>
      </c>
      <c r="O189" s="92">
        <f>VLOOKUP($A189,'Data Vlaue (Cr)'!$C:$FB,82)</f>
        <v>-5.5999999999999999E-3</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2354575</v>
      </c>
      <c r="C210" s="123">
        <f>SUM(C7:C209)</f>
        <v>217676</v>
      </c>
      <c r="D210" s="124">
        <f>'Snapshot (Value)'!K225</f>
        <v>0.10186536658962356</v>
      </c>
      <c r="E210" s="123">
        <f>SUM(E7:E209)</f>
        <v>464995</v>
      </c>
      <c r="F210" s="123">
        <f>SUM(F7:F209)</f>
        <v>3125</v>
      </c>
      <c r="G210" s="149">
        <f>F210*100/(E210-F210)</f>
        <v>0.67659731093164743</v>
      </c>
      <c r="H210" s="123">
        <f>SUM(H7:H209)</f>
        <v>902470</v>
      </c>
      <c r="I210" s="123">
        <f>SUM(I7:I209)</f>
        <v>68560</v>
      </c>
      <c r="J210" s="149">
        <f>I210/(H210-I210)</f>
        <v>8.2215107145855074E-2</v>
      </c>
      <c r="K210" s="123">
        <f>SUM(K7:K209)</f>
        <v>987103</v>
      </c>
      <c r="L210" s="123">
        <f>SUM(L7:L209)</f>
        <v>145997</v>
      </c>
      <c r="M210" s="149">
        <f>L210/(K210-L210)</f>
        <v>0.17357740879270864</v>
      </c>
      <c r="N210" s="123">
        <f>SUM(N7:N209)</f>
        <v>412998</v>
      </c>
      <c r="O210" s="149">
        <f>(N210-FII!V2)/N210</f>
        <v>-0.20265715572472506</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464995</v>
      </c>
      <c r="C217" s="37">
        <f>F210</f>
        <v>3125</v>
      </c>
      <c r="D217" s="39">
        <f>C217/B217</f>
        <v>6.7205023709932367E-3</v>
      </c>
    </row>
    <row r="218" spans="1:15" x14ac:dyDescent="0.25">
      <c r="A218" s="36" t="s">
        <v>404</v>
      </c>
      <c r="B218" s="37">
        <f>H210</f>
        <v>902470</v>
      </c>
      <c r="C218" s="37">
        <f>I210</f>
        <v>68560</v>
      </c>
      <c r="D218" s="150">
        <f>C218/B218</f>
        <v>7.5969284297538978E-2</v>
      </c>
    </row>
    <row r="219" spans="1:15" x14ac:dyDescent="0.25">
      <c r="A219" s="36" t="s">
        <v>405</v>
      </c>
      <c r="B219" s="37">
        <f>K210</f>
        <v>987103</v>
      </c>
      <c r="C219" s="37">
        <f>L210</f>
        <v>145997</v>
      </c>
      <c r="D219" s="150">
        <f>C219/B219</f>
        <v>0.14790452465446868</v>
      </c>
    </row>
    <row r="220" spans="1:15" x14ac:dyDescent="0.25">
      <c r="A220" s="36" t="s">
        <v>406</v>
      </c>
      <c r="B220" s="37">
        <f>B217+B218+B219</f>
        <v>2354568</v>
      </c>
      <c r="C220" s="37">
        <f>C217+C218+C219</f>
        <v>217682</v>
      </c>
      <c r="D220" s="150">
        <f>C220/B220</f>
        <v>9.2450929427393899E-2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45889</v>
      </c>
      <c r="C6" s="3">
        <f>B6</f>
        <v>45889</v>
      </c>
      <c r="D6" s="94" t="s">
        <v>328</v>
      </c>
      <c r="E6" s="3">
        <f>B6</f>
        <v>45889</v>
      </c>
      <c r="F6" s="94" t="s">
        <v>322</v>
      </c>
      <c r="G6" s="94" t="s">
        <v>328</v>
      </c>
      <c r="H6" s="3">
        <f>E6</f>
        <v>45889</v>
      </c>
      <c r="I6" s="94" t="s">
        <v>322</v>
      </c>
      <c r="J6" s="94" t="s">
        <v>328</v>
      </c>
    </row>
    <row r="7" spans="1:10" x14ac:dyDescent="0.25">
      <c r="A7" s="101" t="str">
        <f>'NIFTY GRP'!C2</f>
        <v>ADANIENT</v>
      </c>
      <c r="B7" s="140">
        <f>VLOOKUP($A7,'Data shares'!$C:$FA,7)</f>
        <v>2387.1</v>
      </c>
      <c r="C7" s="140">
        <f>VLOOKUP($A7,'Data shares'!$C:$FA,3)</f>
        <v>2386.4</v>
      </c>
      <c r="D7" s="50">
        <f>VLOOKUP($A7,'Data shares'!$C:$FA,6)*100</f>
        <v>-0.1</v>
      </c>
      <c r="E7" s="51">
        <f>VLOOKUP($A7,'Data shares'!$C:$FA,98)</f>
        <v>35054100</v>
      </c>
      <c r="F7" s="51">
        <f>VLOOKUP($A7,'Data shares'!$C:$FA,99)</f>
        <v>35094900</v>
      </c>
      <c r="G7" s="50">
        <f>VLOOKUP($A7,'Data shares'!$C:$FA,101)*100</f>
        <v>-0.12</v>
      </c>
      <c r="H7" s="49">
        <f>VLOOKUP($A7,'Data Vlaue (Cr)'!$C:$FB,99)</f>
        <v>8365</v>
      </c>
      <c r="I7" s="49">
        <f>VLOOKUP($A7,'Data Vlaue (Cr)'!$C:$FB,100)</f>
        <v>8375</v>
      </c>
      <c r="J7" s="49">
        <f>VLOOKUP($A7,'Data Vlaue (Cr)'!$C:$FB,102)*100</f>
        <v>-0.12</v>
      </c>
    </row>
    <row r="8" spans="1:10" x14ac:dyDescent="0.25">
      <c r="A8" s="101" t="str">
        <f>'NIFTY GRP'!C3</f>
        <v>ADANIPORTS</v>
      </c>
      <c r="B8" s="140">
        <f>VLOOKUP($A8,'Data shares'!$C:$FA,7)</f>
        <v>1370.6</v>
      </c>
      <c r="C8" s="140">
        <f>VLOOKUP($A8,'Data shares'!$C:$FA,3)</f>
        <v>1371.3</v>
      </c>
      <c r="D8" s="50">
        <f>VLOOKUP($A8,'Data shares'!$C:$FA,6)*100</f>
        <v>-0.13999999999999999</v>
      </c>
      <c r="E8" s="51">
        <f>VLOOKUP($A8,'Data shares'!$C:$FA,98)</f>
        <v>40978250</v>
      </c>
      <c r="F8" s="51">
        <f>VLOOKUP($A8,'Data shares'!$C:$FA,99)</f>
        <v>41574850</v>
      </c>
      <c r="G8" s="50">
        <f>VLOOKUP($A8,'Data shares'!$C:$FA,101)*100</f>
        <v>-1.44</v>
      </c>
      <c r="H8" s="49">
        <f>VLOOKUP($A8,'Data Vlaue (Cr)'!$C:$FB,99)</f>
        <v>5619</v>
      </c>
      <c r="I8" s="49">
        <f>VLOOKUP($A8,'Data Vlaue (Cr)'!$C:$FB,100)</f>
        <v>5701</v>
      </c>
      <c r="J8" s="49">
        <f>VLOOKUP($A8,'Data Vlaue (Cr)'!$C:$FB,102)*100</f>
        <v>-1.44</v>
      </c>
    </row>
    <row r="9" spans="1:10" x14ac:dyDescent="0.25">
      <c r="A9" s="101" t="str">
        <f>'NIFTY GRP'!C4</f>
        <v>APOLLOHOSP</v>
      </c>
      <c r="B9" s="140">
        <f>VLOOKUP($A9,'Data shares'!$C:$FA,7)</f>
        <v>7883</v>
      </c>
      <c r="C9" s="140">
        <f>VLOOKUP($A9,'Data shares'!$C:$FA,3)</f>
        <v>7885.5</v>
      </c>
      <c r="D9" s="50">
        <f>VLOOKUP($A9,'Data shares'!$C:$FA,6)*100</f>
        <v>0.48</v>
      </c>
      <c r="E9" s="51">
        <f>VLOOKUP($A9,'Data shares'!$C:$FA,98)</f>
        <v>7883250</v>
      </c>
      <c r="F9" s="51">
        <f>VLOOKUP($A9,'Data shares'!$C:$FA,99)</f>
        <v>7843875</v>
      </c>
      <c r="G9" s="50">
        <f>VLOOKUP($A9,'Data shares'!$C:$FA,101)*100</f>
        <v>0.5</v>
      </c>
      <c r="H9" s="49">
        <f>VLOOKUP($A9,'Data Vlaue (Cr)'!$C:$FB,99)</f>
        <v>6216</v>
      </c>
      <c r="I9" s="49">
        <f>VLOOKUP($A9,'Data Vlaue (Cr)'!$C:$FB,100)</f>
        <v>6185</v>
      </c>
      <c r="J9" s="49">
        <f>VLOOKUP($A9,'Data Vlaue (Cr)'!$C:$FB,102)*100</f>
        <v>0.5</v>
      </c>
    </row>
    <row r="10" spans="1:10" x14ac:dyDescent="0.25">
      <c r="A10" s="101" t="str">
        <f>'NIFTY GRP'!C5</f>
        <v>ASIANPAINT</v>
      </c>
      <c r="B10" s="140">
        <f>VLOOKUP($A10,'Data shares'!$C:$FA,7)</f>
        <v>2570.1</v>
      </c>
      <c r="C10" s="140">
        <f>VLOOKUP($A10,'Data shares'!$C:$FA,3)</f>
        <v>2569.6</v>
      </c>
      <c r="D10" s="50">
        <f>VLOOKUP($A10,'Data shares'!$C:$FA,6)*100</f>
        <v>-0.4</v>
      </c>
      <c r="E10" s="51">
        <f>VLOOKUP($A10,'Data shares'!$C:$FA,98)</f>
        <v>24986750</v>
      </c>
      <c r="F10" s="51">
        <f>VLOOKUP($A10,'Data shares'!$C:$FA,99)</f>
        <v>24693500</v>
      </c>
      <c r="G10" s="50">
        <f>VLOOKUP($A10,'Data shares'!$C:$FA,101)*100</f>
        <v>1.1900000000000002</v>
      </c>
      <c r="H10" s="49">
        <f>VLOOKUP($A10,'Data Vlaue (Cr)'!$C:$FB,99)</f>
        <v>6421</v>
      </c>
      <c r="I10" s="49">
        <f>VLOOKUP($A10,'Data Vlaue (Cr)'!$C:$FB,100)</f>
        <v>6345</v>
      </c>
      <c r="J10" s="49">
        <f>VLOOKUP($A10,'Data Vlaue (Cr)'!$C:$FB,102)*100</f>
        <v>1.1900000000000002</v>
      </c>
    </row>
    <row r="11" spans="1:10" x14ac:dyDescent="0.25">
      <c r="A11" s="101" t="str">
        <f>'NIFTY GRP'!C6</f>
        <v>AXISBANK</v>
      </c>
      <c r="B11" s="140">
        <f>VLOOKUP($A11,'Data shares'!$C:$FA,7)</f>
        <v>1080.2</v>
      </c>
      <c r="C11" s="140">
        <f>VLOOKUP($A11,'Data shares'!$C:$FA,3)</f>
        <v>1082.0999999999999</v>
      </c>
      <c r="D11" s="50">
        <f>VLOOKUP($A11,'Data shares'!$C:$FA,6)*100</f>
        <v>-0.43</v>
      </c>
      <c r="E11" s="51">
        <f>VLOOKUP($A11,'Data shares'!$C:$FA,98)</f>
        <v>137405000</v>
      </c>
      <c r="F11" s="51">
        <f>VLOOKUP($A11,'Data shares'!$C:$FA,99)</f>
        <v>135527500</v>
      </c>
      <c r="G11" s="50">
        <f>VLOOKUP($A11,'Data shares'!$C:$FA,101)*100</f>
        <v>1.39</v>
      </c>
      <c r="H11" s="49">
        <f>VLOOKUP($A11,'Data Vlaue (Cr)'!$C:$FB,99)</f>
        <v>14869</v>
      </c>
      <c r="I11" s="49">
        <f>VLOOKUP($A11,'Data Vlaue (Cr)'!$C:$FB,100)</f>
        <v>14665</v>
      </c>
      <c r="J11" s="49">
        <f>VLOOKUP($A11,'Data Vlaue (Cr)'!$C:$FB,102)*100</f>
        <v>1.39</v>
      </c>
    </row>
    <row r="12" spans="1:10" x14ac:dyDescent="0.25">
      <c r="A12" s="101" t="str">
        <f>'NIFTY GRP'!C7</f>
        <v>BAJAJ-AUTO</v>
      </c>
      <c r="B12" s="140">
        <f>VLOOKUP($A12,'Data shares'!$C:$FA,7)</f>
        <v>8827.5</v>
      </c>
      <c r="C12" s="140">
        <f>VLOOKUP($A12,'Data shares'!$C:$FA,3)</f>
        <v>8826.5</v>
      </c>
      <c r="D12" s="50">
        <f>VLOOKUP($A12,'Data shares'!$C:$FA,6)*100</f>
        <v>0.3</v>
      </c>
      <c r="E12" s="51">
        <f>VLOOKUP($A12,'Data shares'!$C:$FA,98)</f>
        <v>5593275</v>
      </c>
      <c r="F12" s="51">
        <f>VLOOKUP($A12,'Data shares'!$C:$FA,99)</f>
        <v>5638500</v>
      </c>
      <c r="G12" s="50">
        <f>VLOOKUP($A12,'Data shares'!$C:$FA,101)*100</f>
        <v>-0.8</v>
      </c>
      <c r="H12" s="49">
        <f>VLOOKUP($A12,'Data Vlaue (Cr)'!$C:$FB,99)</f>
        <v>4937</v>
      </c>
      <c r="I12" s="49">
        <f>VLOOKUP($A12,'Data Vlaue (Cr)'!$C:$FB,100)</f>
        <v>4977</v>
      </c>
      <c r="J12" s="49">
        <f>VLOOKUP($A12,'Data Vlaue (Cr)'!$C:$FB,102)*100</f>
        <v>-0.8</v>
      </c>
    </row>
    <row r="13" spans="1:10" x14ac:dyDescent="0.25">
      <c r="A13" s="101" t="str">
        <f>'NIFTY GRP'!C8</f>
        <v>BAJAJFINSV</v>
      </c>
      <c r="B13" s="140">
        <f>VLOOKUP($A13,'Data shares'!$C:$FA,7)</f>
        <v>1958.5</v>
      </c>
      <c r="C13" s="140">
        <f>VLOOKUP($A13,'Data shares'!$C:$FA,3)</f>
        <v>1962.9</v>
      </c>
      <c r="D13" s="50">
        <f>VLOOKUP($A13,'Data shares'!$C:$FA,6)*100</f>
        <v>-0.8</v>
      </c>
      <c r="E13" s="51">
        <f>VLOOKUP($A13,'Data shares'!$C:$FA,98)</f>
        <v>28045500</v>
      </c>
      <c r="F13" s="51">
        <f>VLOOKUP($A13,'Data shares'!$C:$FA,99)</f>
        <v>27421500</v>
      </c>
      <c r="G13" s="50">
        <f>VLOOKUP($A13,'Data shares'!$C:$FA,101)*100</f>
        <v>2.2800000000000002</v>
      </c>
      <c r="H13" s="49">
        <f>VLOOKUP($A13,'Data Vlaue (Cr)'!$C:$FB,99)</f>
        <v>5505</v>
      </c>
      <c r="I13" s="49">
        <f>VLOOKUP($A13,'Data Vlaue (Cr)'!$C:$FB,100)</f>
        <v>5383</v>
      </c>
      <c r="J13" s="49">
        <f>VLOOKUP($A13,'Data Vlaue (Cr)'!$C:$FB,102)*100</f>
        <v>2.2800000000000002</v>
      </c>
    </row>
    <row r="14" spans="1:10" x14ac:dyDescent="0.25">
      <c r="A14" s="101" t="str">
        <f>'NIFTY GRP'!C9</f>
        <v>BAJFINANCE</v>
      </c>
      <c r="B14" s="140">
        <f>VLOOKUP($A14,'Data shares'!$C:$FA,7)</f>
        <v>887.8</v>
      </c>
      <c r="C14" s="140">
        <f>VLOOKUP($A14,'Data shares'!$C:$FA,3)</f>
        <v>887.95</v>
      </c>
      <c r="D14" s="50">
        <f>VLOOKUP($A14,'Data shares'!$C:$FA,6)*100</f>
        <v>-1.79</v>
      </c>
      <c r="E14" s="51">
        <f>VLOOKUP($A14,'Data shares'!$C:$FA,98)</f>
        <v>144300000</v>
      </c>
      <c r="F14" s="51">
        <f>VLOOKUP($A14,'Data shares'!$C:$FA,99)</f>
        <v>139965000</v>
      </c>
      <c r="G14" s="50">
        <f>VLOOKUP($A14,'Data shares'!$C:$FA,101)*100</f>
        <v>3.1</v>
      </c>
      <c r="H14" s="49">
        <f>VLOOKUP($A14,'Data Vlaue (Cr)'!$C:$FB,99)</f>
        <v>12813</v>
      </c>
      <c r="I14" s="49">
        <f>VLOOKUP($A14,'Data Vlaue (Cr)'!$C:$FB,100)</f>
        <v>12428</v>
      </c>
      <c r="J14" s="49">
        <f>VLOOKUP($A14,'Data Vlaue (Cr)'!$C:$FB,102)*100</f>
        <v>3.1</v>
      </c>
    </row>
    <row r="15" spans="1:10" x14ac:dyDescent="0.25">
      <c r="A15" s="101" t="str">
        <f>'NIFTY GRP'!C10</f>
        <v>BEL</v>
      </c>
      <c r="B15" s="140">
        <f>VLOOKUP($A15,'Data shares'!$C:$FA,7)</f>
        <v>371.85</v>
      </c>
      <c r="C15" s="140">
        <f>VLOOKUP($A15,'Data shares'!$C:$FA,3)</f>
        <v>372.15</v>
      </c>
      <c r="D15" s="50">
        <f>VLOOKUP($A15,'Data shares'!$C:$FA,6)*100</f>
        <v>-2.17</v>
      </c>
      <c r="E15" s="51">
        <f>VLOOKUP($A15,'Data shares'!$C:$FA,98)</f>
        <v>268803450</v>
      </c>
      <c r="F15" s="51">
        <f>VLOOKUP($A15,'Data shares'!$C:$FA,99)</f>
        <v>239274600</v>
      </c>
      <c r="G15" s="50">
        <f>VLOOKUP($A15,'Data shares'!$C:$FA,101)*100</f>
        <v>12.34</v>
      </c>
      <c r="H15" s="49">
        <f>VLOOKUP($A15,'Data Vlaue (Cr)'!$C:$FB,99)</f>
        <v>10004</v>
      </c>
      <c r="I15" s="49">
        <f>VLOOKUP($A15,'Data Vlaue (Cr)'!$C:$FB,100)</f>
        <v>8905</v>
      </c>
      <c r="J15" s="49">
        <f>VLOOKUP($A15,'Data Vlaue (Cr)'!$C:$FB,102)*100</f>
        <v>12.34</v>
      </c>
    </row>
    <row r="16" spans="1:10" x14ac:dyDescent="0.25">
      <c r="A16" s="101" t="str">
        <f>'NIFTY GRP'!C11</f>
        <v>BHARTIARTL</v>
      </c>
      <c r="B16" s="140">
        <f>VLOOKUP($A16,'Data shares'!$C:$FA,7)</f>
        <v>1928.4</v>
      </c>
      <c r="C16" s="140">
        <f>VLOOKUP($A16,'Data shares'!$C:$FA,3)</f>
        <v>1929.2</v>
      </c>
      <c r="D16" s="50">
        <f>VLOOKUP($A16,'Data shares'!$C:$FA,6)*100</f>
        <v>0.74</v>
      </c>
      <c r="E16" s="51">
        <f>VLOOKUP($A16,'Data shares'!$C:$FA,98)</f>
        <v>73496275</v>
      </c>
      <c r="F16" s="51">
        <f>VLOOKUP($A16,'Data shares'!$C:$FA,99)</f>
        <v>74442950</v>
      </c>
      <c r="G16" s="50">
        <f>VLOOKUP($A16,'Data shares'!$C:$FA,101)*100</f>
        <v>-1.27</v>
      </c>
      <c r="H16" s="49">
        <f>VLOOKUP($A16,'Data Vlaue (Cr)'!$C:$FB,99)</f>
        <v>14179</v>
      </c>
      <c r="I16" s="49">
        <f>VLOOKUP($A16,'Data Vlaue (Cr)'!$C:$FB,100)</f>
        <v>14362</v>
      </c>
      <c r="J16" s="49">
        <f>VLOOKUP($A16,'Data Vlaue (Cr)'!$C:$FB,102)*100</f>
        <v>-1.27</v>
      </c>
    </row>
    <row r="17" spans="1:10" x14ac:dyDescent="0.25">
      <c r="A17" s="101" t="str">
        <f>'NIFTY GRP'!C12</f>
        <v>CIPLA</v>
      </c>
      <c r="B17" s="140">
        <f>VLOOKUP($A17,'Data shares'!$C:$FA,7)</f>
        <v>1546.1</v>
      </c>
      <c r="C17" s="140">
        <f>VLOOKUP($A17,'Data shares'!$C:$FA,3)</f>
        <v>1549.4</v>
      </c>
      <c r="D17" s="50">
        <f>VLOOKUP($A17,'Data shares'!$C:$FA,6)*100</f>
        <v>-0.22999999999999998</v>
      </c>
      <c r="E17" s="51">
        <f>VLOOKUP($A17,'Data shares'!$C:$FA,98)</f>
        <v>18316500</v>
      </c>
      <c r="F17" s="51">
        <f>VLOOKUP($A17,'Data shares'!$C:$FA,99)</f>
        <v>18325875</v>
      </c>
      <c r="G17" s="50">
        <f>VLOOKUP($A17,'Data shares'!$C:$FA,101)*100</f>
        <v>-0.05</v>
      </c>
      <c r="H17" s="49">
        <f>VLOOKUP($A17,'Data Vlaue (Cr)'!$C:$FB,99)</f>
        <v>2838</v>
      </c>
      <c r="I17" s="49">
        <f>VLOOKUP($A17,'Data Vlaue (Cr)'!$C:$FB,100)</f>
        <v>2839</v>
      </c>
      <c r="J17" s="49">
        <f>VLOOKUP($A17,'Data Vlaue (Cr)'!$C:$FB,102)*100</f>
        <v>-0.05</v>
      </c>
    </row>
    <row r="18" spans="1:10" x14ac:dyDescent="0.25">
      <c r="A18" s="101" t="str">
        <f>'NIFTY GRP'!C13</f>
        <v>COALINDIA</v>
      </c>
      <c r="B18" s="140">
        <f>VLOOKUP($A18,'Data shares'!$C:$FA,7)</f>
        <v>384.7</v>
      </c>
      <c r="C18" s="140">
        <f>VLOOKUP($A18,'Data shares'!$C:$FA,3)</f>
        <v>380.05</v>
      </c>
      <c r="D18" s="50">
        <f>VLOOKUP($A18,'Data shares'!$C:$FA,6)*100</f>
        <v>-0.18</v>
      </c>
      <c r="E18" s="51">
        <f>VLOOKUP($A18,'Data shares'!$C:$FA,98)</f>
        <v>132271650</v>
      </c>
      <c r="F18" s="51">
        <f>VLOOKUP($A18,'Data shares'!$C:$FA,99)</f>
        <v>129969900</v>
      </c>
      <c r="G18" s="50">
        <f>VLOOKUP($A18,'Data shares'!$C:$FA,101)*100</f>
        <v>1.77</v>
      </c>
      <c r="H18" s="49">
        <f>VLOOKUP($A18,'Data Vlaue (Cr)'!$C:$FB,99)</f>
        <v>5027</v>
      </c>
      <c r="I18" s="49">
        <f>VLOOKUP($A18,'Data Vlaue (Cr)'!$C:$FB,100)</f>
        <v>4940</v>
      </c>
      <c r="J18" s="49">
        <f>VLOOKUP($A18,'Data Vlaue (Cr)'!$C:$FB,102)*100</f>
        <v>1.77</v>
      </c>
    </row>
    <row r="19" spans="1:10" x14ac:dyDescent="0.25">
      <c r="A19" s="101" t="str">
        <f>'NIFTY GRP'!C14</f>
        <v>DRREDDY</v>
      </c>
      <c r="B19" s="140">
        <f>VLOOKUP($A19,'Data shares'!$C:$FA,7)</f>
        <v>1245.4000000000001</v>
      </c>
      <c r="C19" s="140">
        <f>VLOOKUP($A19,'Data shares'!$C:$FA,3)</f>
        <v>1241.2</v>
      </c>
      <c r="D19" s="50">
        <f>VLOOKUP($A19,'Data shares'!$C:$FA,6)*100</f>
        <v>-0.27</v>
      </c>
      <c r="E19" s="51">
        <f>VLOOKUP($A19,'Data shares'!$C:$FA,98)</f>
        <v>25282500</v>
      </c>
      <c r="F19" s="51">
        <f>VLOOKUP($A19,'Data shares'!$C:$FA,99)</f>
        <v>25053750</v>
      </c>
      <c r="G19" s="50">
        <f>VLOOKUP($A19,'Data shares'!$C:$FA,101)*100</f>
        <v>0.91</v>
      </c>
      <c r="H19" s="49">
        <f>VLOOKUP($A19,'Data Vlaue (Cr)'!$C:$FB,99)</f>
        <v>3138</v>
      </c>
      <c r="I19" s="49">
        <f>VLOOKUP($A19,'Data Vlaue (Cr)'!$C:$FB,100)</f>
        <v>3110</v>
      </c>
      <c r="J19" s="49">
        <f>VLOOKUP($A19,'Data Vlaue (Cr)'!$C:$FB,102)*100</f>
        <v>0.91</v>
      </c>
    </row>
    <row r="20" spans="1:10" x14ac:dyDescent="0.25">
      <c r="A20" s="101" t="str">
        <f>'NIFTY GRP'!C15</f>
        <v>EICHERMOT</v>
      </c>
      <c r="B20" s="140">
        <f>VLOOKUP($A20,'Data shares'!$C:$FA,7)</f>
        <v>5937.5</v>
      </c>
      <c r="C20" s="140">
        <f>VLOOKUP($A20,'Data shares'!$C:$FA,3)</f>
        <v>5948.5</v>
      </c>
      <c r="D20" s="50">
        <f>VLOOKUP($A20,'Data shares'!$C:$FA,6)*100</f>
        <v>-0.16999999999999998</v>
      </c>
      <c r="E20" s="51">
        <f>VLOOKUP($A20,'Data shares'!$C:$FA,98)</f>
        <v>8201025</v>
      </c>
      <c r="F20" s="51">
        <f>VLOOKUP($A20,'Data shares'!$C:$FA,99)</f>
        <v>8262275</v>
      </c>
      <c r="G20" s="50">
        <f>VLOOKUP($A20,'Data shares'!$C:$FA,101)*100</f>
        <v>-0.74</v>
      </c>
      <c r="H20" s="49">
        <f>VLOOKUP($A20,'Data Vlaue (Cr)'!$C:$FB,99)</f>
        <v>4878</v>
      </c>
      <c r="I20" s="49">
        <f>VLOOKUP($A20,'Data Vlaue (Cr)'!$C:$FB,100)</f>
        <v>4915</v>
      </c>
      <c r="J20" s="49">
        <f>VLOOKUP($A20,'Data Vlaue (Cr)'!$C:$FB,102)*100</f>
        <v>-0.74</v>
      </c>
    </row>
    <row r="21" spans="1:10" x14ac:dyDescent="0.25">
      <c r="A21" s="101" t="str">
        <f>'NIFTY GRP'!C16</f>
        <v>ETERNAL</v>
      </c>
      <c r="B21" s="140">
        <f>VLOOKUP($A21,'Data shares'!$C:$FA,7)</f>
        <v>326.55</v>
      </c>
      <c r="C21" s="140">
        <f>VLOOKUP($A21,'Data shares'!$C:$FA,3)</f>
        <v>326.3</v>
      </c>
      <c r="D21" s="50">
        <f>VLOOKUP($A21,'Data shares'!$C:$FA,6)*100</f>
        <v>1.43</v>
      </c>
      <c r="E21" s="51">
        <f>VLOOKUP($A21,'Data shares'!$C:$FA,98)</f>
        <v>365626950</v>
      </c>
      <c r="F21" s="51">
        <f>VLOOKUP($A21,'Data shares'!$C:$FA,99)</f>
        <v>355931800</v>
      </c>
      <c r="G21" s="50">
        <f>VLOOKUP($A21,'Data shares'!$C:$FA,101)*100</f>
        <v>2.7199999999999998</v>
      </c>
      <c r="H21" s="49">
        <f>VLOOKUP($A21,'Data Vlaue (Cr)'!$C:$FB,99)</f>
        <v>11930</v>
      </c>
      <c r="I21" s="49">
        <f>VLOOKUP($A21,'Data Vlaue (Cr)'!$C:$FB,100)</f>
        <v>11614</v>
      </c>
      <c r="J21" s="49">
        <f>VLOOKUP($A21,'Data Vlaue (Cr)'!$C:$FB,102)*100</f>
        <v>2.7199999999999998</v>
      </c>
    </row>
    <row r="22" spans="1:10" x14ac:dyDescent="0.25">
      <c r="A22" s="101" t="str">
        <f>'NIFTY GRP'!C17</f>
        <v>GRASIM</v>
      </c>
      <c r="B22" s="140">
        <f>VLOOKUP($A22,'Data shares'!$C:$FA,7)</f>
        <v>2864.9</v>
      </c>
      <c r="C22" s="140">
        <f>VLOOKUP($A22,'Data shares'!$C:$FA,3)</f>
        <v>2870.2</v>
      </c>
      <c r="D22" s="50">
        <f>VLOOKUP($A22,'Data shares'!$C:$FA,6)*100</f>
        <v>1.38</v>
      </c>
      <c r="E22" s="51">
        <f>VLOOKUP($A22,'Data shares'!$C:$FA,98)</f>
        <v>17017000</v>
      </c>
      <c r="F22" s="51">
        <f>VLOOKUP($A22,'Data shares'!$C:$FA,99)</f>
        <v>17128000</v>
      </c>
      <c r="G22" s="50">
        <f>VLOOKUP($A22,'Data shares'!$C:$FA,101)*100</f>
        <v>-0.65</v>
      </c>
      <c r="H22" s="49">
        <f>VLOOKUP($A22,'Data Vlaue (Cr)'!$C:$FB,99)</f>
        <v>4884</v>
      </c>
      <c r="I22" s="49">
        <f>VLOOKUP($A22,'Data Vlaue (Cr)'!$C:$FB,100)</f>
        <v>4916</v>
      </c>
      <c r="J22" s="49">
        <f>VLOOKUP($A22,'Data Vlaue (Cr)'!$C:$FB,102)*100</f>
        <v>-0.65</v>
      </c>
    </row>
    <row r="23" spans="1:10" x14ac:dyDescent="0.25">
      <c r="A23" s="101" t="str">
        <f>'NIFTY GRP'!C18</f>
        <v>HCLTECH</v>
      </c>
      <c r="B23" s="140">
        <f>VLOOKUP($A23,'Data shares'!$C:$FA,7)</f>
        <v>1496</v>
      </c>
      <c r="C23" s="140">
        <f>VLOOKUP($A23,'Data shares'!$C:$FA,3)</f>
        <v>1499.2</v>
      </c>
      <c r="D23" s="50">
        <f>VLOOKUP($A23,'Data shares'!$C:$FA,6)*100</f>
        <v>1.2</v>
      </c>
      <c r="E23" s="51">
        <f>VLOOKUP($A23,'Data shares'!$C:$FA,98)</f>
        <v>34628650</v>
      </c>
      <c r="F23" s="51">
        <f>VLOOKUP($A23,'Data shares'!$C:$FA,99)</f>
        <v>31236450</v>
      </c>
      <c r="G23" s="50">
        <f>VLOOKUP($A23,'Data shares'!$C:$FA,101)*100</f>
        <v>10.86</v>
      </c>
      <c r="H23" s="49">
        <f>VLOOKUP($A23,'Data Vlaue (Cr)'!$C:$FB,99)</f>
        <v>5192</v>
      </c>
      <c r="I23" s="49">
        <f>VLOOKUP($A23,'Data Vlaue (Cr)'!$C:$FB,100)</f>
        <v>4683</v>
      </c>
      <c r="J23" s="49">
        <f>VLOOKUP($A23,'Data Vlaue (Cr)'!$C:$FB,102)*100</f>
        <v>10.86</v>
      </c>
    </row>
    <row r="24" spans="1:10" x14ac:dyDescent="0.25">
      <c r="A24" s="101" t="str">
        <f>'NIFTY GRP'!C19</f>
        <v>HDFCBANK</v>
      </c>
      <c r="B24" s="140">
        <f>VLOOKUP($A24,'Data shares'!$C:$FA,7)</f>
        <v>1988.2</v>
      </c>
      <c r="C24" s="140">
        <f>VLOOKUP($A24,'Data shares'!$C:$FA,3)</f>
        <v>1990.8</v>
      </c>
      <c r="D24" s="50">
        <f>VLOOKUP($A24,'Data shares'!$C:$FA,6)*100</f>
        <v>-0.21</v>
      </c>
      <c r="E24" s="51">
        <f>VLOOKUP($A24,'Data shares'!$C:$FA,98)</f>
        <v>148885550</v>
      </c>
      <c r="F24" s="51">
        <f>VLOOKUP($A24,'Data shares'!$C:$FA,99)</f>
        <v>146953950</v>
      </c>
      <c r="G24" s="50">
        <f>VLOOKUP($A24,'Data shares'!$C:$FA,101)*100</f>
        <v>1.31</v>
      </c>
      <c r="H24" s="49">
        <f>VLOOKUP($A24,'Data Vlaue (Cr)'!$C:$FB,99)</f>
        <v>29640</v>
      </c>
      <c r="I24" s="49">
        <f>VLOOKUP($A24,'Data Vlaue (Cr)'!$C:$FB,100)</f>
        <v>29256</v>
      </c>
      <c r="J24" s="49">
        <f>VLOOKUP($A24,'Data Vlaue (Cr)'!$C:$FB,102)*100</f>
        <v>1.31</v>
      </c>
    </row>
    <row r="25" spans="1:10" x14ac:dyDescent="0.25">
      <c r="A25" s="101" t="str">
        <f>'NIFTY GRP'!C20</f>
        <v>HDFCLIFE</v>
      </c>
      <c r="B25" s="140">
        <f>VLOOKUP($A25,'Data shares'!$C:$FA,7)</f>
        <v>796.55</v>
      </c>
      <c r="C25" s="140">
        <f>VLOOKUP($A25,'Data shares'!$C:$FA,3)</f>
        <v>796.6</v>
      </c>
      <c r="D25" s="50">
        <f>VLOOKUP($A25,'Data shares'!$C:$FA,6)*100</f>
        <v>0.06</v>
      </c>
      <c r="E25" s="51">
        <f>VLOOKUP($A25,'Data shares'!$C:$FA,98)</f>
        <v>48935700</v>
      </c>
      <c r="F25" s="51">
        <f>VLOOKUP($A25,'Data shares'!$C:$FA,99)</f>
        <v>48580400</v>
      </c>
      <c r="G25" s="50">
        <f>VLOOKUP($A25,'Data shares'!$C:$FA,101)*100</f>
        <v>0.73</v>
      </c>
      <c r="H25" s="49">
        <f>VLOOKUP($A25,'Data Vlaue (Cr)'!$C:$FB,99)</f>
        <v>3898</v>
      </c>
      <c r="I25" s="49">
        <f>VLOOKUP($A25,'Data Vlaue (Cr)'!$C:$FB,100)</f>
        <v>3870</v>
      </c>
      <c r="J25" s="49">
        <f>VLOOKUP($A25,'Data Vlaue (Cr)'!$C:$FB,102)*100</f>
        <v>0.73</v>
      </c>
    </row>
    <row r="26" spans="1:10" x14ac:dyDescent="0.25">
      <c r="A26" s="101" t="str">
        <f>'NIFTY GRP'!C21</f>
        <v>HEROMOTOCO</v>
      </c>
      <c r="B26" s="140">
        <f>VLOOKUP($A26,'Data shares'!$C:$FA,7)</f>
        <v>5136</v>
      </c>
      <c r="C26" s="140">
        <f>VLOOKUP($A26,'Data shares'!$C:$FA,3)</f>
        <v>5127.3999999999996</v>
      </c>
      <c r="D26" s="50">
        <f>VLOOKUP($A26,'Data shares'!$C:$FA,6)*100</f>
        <v>0.03</v>
      </c>
      <c r="E26" s="51">
        <f>VLOOKUP($A26,'Data shares'!$C:$FA,98)</f>
        <v>16314750</v>
      </c>
      <c r="F26" s="51">
        <f>VLOOKUP($A26,'Data shares'!$C:$FA,99)</f>
        <v>15725100</v>
      </c>
      <c r="G26" s="50">
        <f>VLOOKUP($A26,'Data shares'!$C:$FA,101)*100</f>
        <v>3.75</v>
      </c>
      <c r="H26" s="49">
        <f>VLOOKUP($A26,'Data Vlaue (Cr)'!$C:$FB,99)</f>
        <v>8365</v>
      </c>
      <c r="I26" s="49">
        <f>VLOOKUP($A26,'Data Vlaue (Cr)'!$C:$FB,100)</f>
        <v>8063</v>
      </c>
      <c r="J26" s="49">
        <f>VLOOKUP($A26,'Data Vlaue (Cr)'!$C:$FB,102)*100</f>
        <v>3.75</v>
      </c>
    </row>
    <row r="27" spans="1:10" x14ac:dyDescent="0.25">
      <c r="A27" s="101" t="str">
        <f>'NIFTY GRP'!C22</f>
        <v>HINDALCO</v>
      </c>
      <c r="B27" s="140">
        <f>VLOOKUP($A27,'Data shares'!$C:$FA,7)</f>
        <v>700.85</v>
      </c>
      <c r="C27" s="140">
        <f>VLOOKUP($A27,'Data shares'!$C:$FA,3)</f>
        <v>702.15</v>
      </c>
      <c r="D27" s="50">
        <f>VLOOKUP($A27,'Data shares'!$C:$FA,6)*100</f>
        <v>-0.98</v>
      </c>
      <c r="E27" s="51">
        <f>VLOOKUP($A27,'Data shares'!$C:$FA,98)</f>
        <v>84155400</v>
      </c>
      <c r="F27" s="51">
        <f>VLOOKUP($A27,'Data shares'!$C:$FA,99)</f>
        <v>83514200</v>
      </c>
      <c r="G27" s="50">
        <f>VLOOKUP($A27,'Data shares'!$C:$FA,101)*100</f>
        <v>0.77</v>
      </c>
      <c r="H27" s="49">
        <f>VLOOKUP($A27,'Data Vlaue (Cr)'!$C:$FB,99)</f>
        <v>5909</v>
      </c>
      <c r="I27" s="49">
        <f>VLOOKUP($A27,'Data Vlaue (Cr)'!$C:$FB,100)</f>
        <v>5864</v>
      </c>
      <c r="J27" s="49">
        <f>VLOOKUP($A27,'Data Vlaue (Cr)'!$C:$FB,102)*100</f>
        <v>0.77</v>
      </c>
    </row>
    <row r="28" spans="1:10" x14ac:dyDescent="0.25">
      <c r="A28" s="101" t="str">
        <f>'NIFTY GRP'!C23</f>
        <v>HINDUNILVR</v>
      </c>
      <c r="B28" s="140">
        <f>VLOOKUP($A28,'Data shares'!$C:$FA,7)</f>
        <v>2669.8</v>
      </c>
      <c r="C28" s="140">
        <f>VLOOKUP($A28,'Data shares'!$C:$FA,3)</f>
        <v>2670.8</v>
      </c>
      <c r="D28" s="50">
        <f>VLOOKUP($A28,'Data shares'!$C:$FA,6)*100</f>
        <v>2.4699999999999998</v>
      </c>
      <c r="E28" s="51">
        <f>VLOOKUP($A28,'Data shares'!$C:$FA,98)</f>
        <v>29702100</v>
      </c>
      <c r="F28" s="51">
        <f>VLOOKUP($A28,'Data shares'!$C:$FA,99)</f>
        <v>27974700</v>
      </c>
      <c r="G28" s="50">
        <f>VLOOKUP($A28,'Data shares'!$C:$FA,101)*100</f>
        <v>6.17</v>
      </c>
      <c r="H28" s="49">
        <f>VLOOKUP($A28,'Data Vlaue (Cr)'!$C:$FB,99)</f>
        <v>7933</v>
      </c>
      <c r="I28" s="49">
        <f>VLOOKUP($A28,'Data Vlaue (Cr)'!$C:$FB,100)</f>
        <v>7471</v>
      </c>
      <c r="J28" s="49">
        <f>VLOOKUP($A28,'Data Vlaue (Cr)'!$C:$FB,102)*100</f>
        <v>6.17</v>
      </c>
    </row>
    <row r="29" spans="1:10" x14ac:dyDescent="0.25">
      <c r="A29" s="101" t="str">
        <f>'NIFTY GRP'!C24</f>
        <v>ICICIBANK</v>
      </c>
      <c r="B29" s="140">
        <f>VLOOKUP($A29,'Data shares'!$C:$FA,7)</f>
        <v>1430.6</v>
      </c>
      <c r="C29" s="140">
        <f>VLOOKUP($A29,'Data shares'!$C:$FA,3)</f>
        <v>1431.1</v>
      </c>
      <c r="D29" s="50">
        <f>VLOOKUP($A29,'Data shares'!$C:$FA,6)*100</f>
        <v>-0.43</v>
      </c>
      <c r="E29" s="51">
        <f>VLOOKUP($A29,'Data shares'!$C:$FA,98)</f>
        <v>144616500</v>
      </c>
      <c r="F29" s="51">
        <f>VLOOKUP($A29,'Data shares'!$C:$FA,99)</f>
        <v>142655800</v>
      </c>
      <c r="G29" s="50">
        <f>VLOOKUP($A29,'Data shares'!$C:$FA,101)*100</f>
        <v>1.37</v>
      </c>
      <c r="H29" s="49">
        <f>VLOOKUP($A29,'Data Vlaue (Cr)'!$C:$FB,99)</f>
        <v>20696</v>
      </c>
      <c r="I29" s="49">
        <f>VLOOKUP($A29,'Data Vlaue (Cr)'!$C:$FB,100)</f>
        <v>20415</v>
      </c>
      <c r="J29" s="49">
        <f>VLOOKUP($A29,'Data Vlaue (Cr)'!$C:$FB,102)*100</f>
        <v>1.37</v>
      </c>
    </row>
    <row r="30" spans="1:10" x14ac:dyDescent="0.25">
      <c r="A30" s="101" t="str">
        <f>'NIFTY GRP'!C25</f>
        <v>INDUSINDBK</v>
      </c>
      <c r="B30" s="140">
        <f>VLOOKUP($A30,'Data shares'!$C:$FA,7)</f>
        <v>778.2</v>
      </c>
      <c r="C30" s="140">
        <f>VLOOKUP($A30,'Data shares'!$C:$FA,3)</f>
        <v>780.1</v>
      </c>
      <c r="D30" s="50">
        <f>VLOOKUP($A30,'Data shares'!$C:$FA,6)*100</f>
        <v>-0.79</v>
      </c>
      <c r="E30" s="51">
        <f>VLOOKUP($A30,'Data shares'!$C:$FA,98)</f>
        <v>81572400</v>
      </c>
      <c r="F30" s="51">
        <f>VLOOKUP($A30,'Data shares'!$C:$FA,99)</f>
        <v>80230500</v>
      </c>
      <c r="G30" s="50">
        <f>VLOOKUP($A30,'Data shares'!$C:$FA,101)*100</f>
        <v>1.67</v>
      </c>
      <c r="H30" s="49">
        <f>VLOOKUP($A30,'Data Vlaue (Cr)'!$C:$FB,99)</f>
        <v>6363</v>
      </c>
      <c r="I30" s="49">
        <f>VLOOKUP($A30,'Data Vlaue (Cr)'!$C:$FB,100)</f>
        <v>6259</v>
      </c>
      <c r="J30" s="49">
        <f>VLOOKUP($A30,'Data Vlaue (Cr)'!$C:$FB,102)*100</f>
        <v>1.67</v>
      </c>
    </row>
    <row r="31" spans="1:10" x14ac:dyDescent="0.25">
      <c r="A31" s="101" t="str">
        <f>'NIFTY GRP'!C26</f>
        <v>INFY</v>
      </c>
      <c r="B31" s="140">
        <f>VLOOKUP($A31,'Data shares'!$C:$FA,7)</f>
        <v>1496.2</v>
      </c>
      <c r="C31" s="140">
        <f>VLOOKUP($A31,'Data shares'!$C:$FA,3)</f>
        <v>1498.5</v>
      </c>
      <c r="D31" s="50">
        <f>VLOOKUP($A31,'Data shares'!$C:$FA,6)*100</f>
        <v>3.6700000000000004</v>
      </c>
      <c r="E31" s="51">
        <f>VLOOKUP($A31,'Data shares'!$C:$FA,98)</f>
        <v>126023200</v>
      </c>
      <c r="F31" s="51">
        <f>VLOOKUP($A31,'Data shares'!$C:$FA,99)</f>
        <v>130279200</v>
      </c>
      <c r="G31" s="50">
        <f>VLOOKUP($A31,'Data shares'!$C:$FA,101)*100</f>
        <v>-3.27</v>
      </c>
      <c r="H31" s="49">
        <f>VLOOKUP($A31,'Data Vlaue (Cr)'!$C:$FB,99)</f>
        <v>18885</v>
      </c>
      <c r="I31" s="49">
        <f>VLOOKUP($A31,'Data Vlaue (Cr)'!$C:$FB,100)</f>
        <v>19522</v>
      </c>
      <c r="J31" s="49">
        <f>VLOOKUP($A31,'Data Vlaue (Cr)'!$C:$FB,102)*100</f>
        <v>-3.27</v>
      </c>
    </row>
    <row r="32" spans="1:10" x14ac:dyDescent="0.25">
      <c r="A32" s="101" t="str">
        <f>'NIFTY GRP'!C27</f>
        <v>ITC</v>
      </c>
      <c r="B32" s="140">
        <f>VLOOKUP($A32,'Data shares'!$C:$FA,7)</f>
        <v>406.05</v>
      </c>
      <c r="C32" s="140">
        <f>VLOOKUP($A32,'Data shares'!$C:$FA,3)</f>
        <v>407.25</v>
      </c>
      <c r="D32" s="50">
        <f>VLOOKUP($A32,'Data shares'!$C:$FA,6)*100</f>
        <v>-0.55999999999999994</v>
      </c>
      <c r="E32" s="51">
        <f>VLOOKUP($A32,'Data shares'!$C:$FA,98)</f>
        <v>198811200</v>
      </c>
      <c r="F32" s="51">
        <f>VLOOKUP($A32,'Data shares'!$C:$FA,99)</f>
        <v>189088000</v>
      </c>
      <c r="G32" s="50">
        <f>VLOOKUP($A32,'Data shares'!$C:$FA,101)*100</f>
        <v>5.1400000000000006</v>
      </c>
      <c r="H32" s="49">
        <f>VLOOKUP($A32,'Data Vlaue (Cr)'!$C:$FB,99)</f>
        <v>8097</v>
      </c>
      <c r="I32" s="49">
        <f>VLOOKUP($A32,'Data Vlaue (Cr)'!$C:$FB,100)</f>
        <v>7701</v>
      </c>
      <c r="J32" s="49">
        <f>VLOOKUP($A32,'Data Vlaue (Cr)'!$C:$FB,102)*100</f>
        <v>5.1400000000000006</v>
      </c>
    </row>
    <row r="33" spans="1:10" x14ac:dyDescent="0.25">
      <c r="A33" s="101" t="str">
        <f>'NIFTY GRP'!C28</f>
        <v>JIOFIN</v>
      </c>
      <c r="B33" s="140">
        <f>VLOOKUP($A33,'Data shares'!$C:$FA,7)</f>
        <v>328.45</v>
      </c>
      <c r="C33" s="140">
        <f>VLOOKUP($A33,'Data shares'!$C:$FA,3)</f>
        <v>329.05</v>
      </c>
      <c r="D33" s="50">
        <f>VLOOKUP($A33,'Data shares'!$C:$FA,6)*100</f>
        <v>-1.01</v>
      </c>
      <c r="E33" s="51">
        <f>VLOOKUP($A33,'Data shares'!$C:$FA,98)</f>
        <v>216785150</v>
      </c>
      <c r="F33" s="51">
        <f>VLOOKUP($A33,'Data shares'!$C:$FA,99)</f>
        <v>211765550</v>
      </c>
      <c r="G33" s="50">
        <f>VLOOKUP($A33,'Data shares'!$C:$FA,101)*100</f>
        <v>2.37</v>
      </c>
      <c r="H33" s="49">
        <f>VLOOKUP($A33,'Data Vlaue (Cr)'!$C:$FB,99)</f>
        <v>7133</v>
      </c>
      <c r="I33" s="49">
        <f>VLOOKUP($A33,'Data Vlaue (Cr)'!$C:$FB,100)</f>
        <v>6968</v>
      </c>
      <c r="J33" s="49">
        <f>VLOOKUP($A33,'Data Vlaue (Cr)'!$C:$FB,102)*100</f>
        <v>2.37</v>
      </c>
    </row>
    <row r="34" spans="1:10" x14ac:dyDescent="0.25">
      <c r="A34" s="101" t="str">
        <f>'NIFTY GRP'!C29</f>
        <v>JSWSTEEL</v>
      </c>
      <c r="B34" s="140">
        <f>VLOOKUP($A34,'Data shares'!$C:$FA,7)</f>
        <v>1082.5999999999999</v>
      </c>
      <c r="C34" s="140">
        <f>VLOOKUP($A34,'Data shares'!$C:$FA,3)</f>
        <v>1086</v>
      </c>
      <c r="D34" s="50">
        <f>VLOOKUP($A34,'Data shares'!$C:$FA,6)*100</f>
        <v>0.8</v>
      </c>
      <c r="E34" s="51">
        <f>VLOOKUP($A34,'Data shares'!$C:$FA,98)</f>
        <v>56536650</v>
      </c>
      <c r="F34" s="51">
        <f>VLOOKUP($A34,'Data shares'!$C:$FA,99)</f>
        <v>55183275</v>
      </c>
      <c r="G34" s="50">
        <f>VLOOKUP($A34,'Data shares'!$C:$FA,101)*100</f>
        <v>2.4500000000000002</v>
      </c>
      <c r="H34" s="49">
        <f>VLOOKUP($A34,'Data Vlaue (Cr)'!$C:$FB,99)</f>
        <v>6140</v>
      </c>
      <c r="I34" s="49">
        <f>VLOOKUP($A34,'Data Vlaue (Cr)'!$C:$FB,100)</f>
        <v>5993</v>
      </c>
      <c r="J34" s="49">
        <f>VLOOKUP($A34,'Data Vlaue (Cr)'!$C:$FB,102)*100</f>
        <v>2.4500000000000002</v>
      </c>
    </row>
    <row r="35" spans="1:10" x14ac:dyDescent="0.25">
      <c r="A35" s="101" t="str">
        <f>'NIFTY GRP'!C30</f>
        <v>KOTAKBANK</v>
      </c>
      <c r="B35" s="140">
        <f>VLOOKUP($A35,'Data shares'!$C:$FA,7)</f>
        <v>2017.5</v>
      </c>
      <c r="C35" s="140">
        <f>VLOOKUP($A35,'Data shares'!$C:$FA,3)</f>
        <v>2019.2</v>
      </c>
      <c r="D35" s="50">
        <f>VLOOKUP($A35,'Data shares'!$C:$FA,6)*100</f>
        <v>-0.59</v>
      </c>
      <c r="E35" s="51">
        <f>VLOOKUP($A35,'Data shares'!$C:$FA,98)</f>
        <v>47134400</v>
      </c>
      <c r="F35" s="51">
        <f>VLOOKUP($A35,'Data shares'!$C:$FA,99)</f>
        <v>47187600</v>
      </c>
      <c r="G35" s="50">
        <f>VLOOKUP($A35,'Data shares'!$C:$FA,101)*100</f>
        <v>-0.11</v>
      </c>
      <c r="H35" s="49">
        <f>VLOOKUP($A35,'Data Vlaue (Cr)'!$C:$FB,99)</f>
        <v>9517</v>
      </c>
      <c r="I35" s="49">
        <f>VLOOKUP($A35,'Data Vlaue (Cr)'!$C:$FB,100)</f>
        <v>9528</v>
      </c>
      <c r="J35" s="49">
        <f>VLOOKUP($A35,'Data Vlaue (Cr)'!$C:$FB,102)*100</f>
        <v>-0.11</v>
      </c>
    </row>
    <row r="36" spans="1:10" x14ac:dyDescent="0.25">
      <c r="A36" s="101" t="str">
        <f>'NIFTY GRP'!C31</f>
        <v>LT</v>
      </c>
      <c r="B36" s="140">
        <f>VLOOKUP($A36,'Data shares'!$C:$FA,7)</f>
        <v>3592.3</v>
      </c>
      <c r="C36" s="140">
        <f>VLOOKUP($A36,'Data shares'!$C:$FA,3)</f>
        <v>3595.4</v>
      </c>
      <c r="D36" s="50">
        <f>VLOOKUP($A36,'Data shares'!$C:$FA,6)*100</f>
        <v>-0.77</v>
      </c>
      <c r="E36" s="51">
        <f>VLOOKUP($A36,'Data shares'!$C:$FA,98)</f>
        <v>24609725</v>
      </c>
      <c r="F36" s="51">
        <f>VLOOKUP($A36,'Data shares'!$C:$FA,99)</f>
        <v>23446500</v>
      </c>
      <c r="G36" s="50">
        <f>VLOOKUP($A36,'Data shares'!$C:$FA,101)*100</f>
        <v>4.96</v>
      </c>
      <c r="H36" s="49">
        <f>VLOOKUP($A36,'Data Vlaue (Cr)'!$C:$FB,99)</f>
        <v>8848</v>
      </c>
      <c r="I36" s="49">
        <f>VLOOKUP($A36,'Data Vlaue (Cr)'!$C:$FB,100)</f>
        <v>8430</v>
      </c>
      <c r="J36" s="49">
        <f>VLOOKUP($A36,'Data Vlaue (Cr)'!$C:$FB,102)*100</f>
        <v>4.96</v>
      </c>
    </row>
    <row r="37" spans="1:10" x14ac:dyDescent="0.25">
      <c r="A37" s="101" t="str">
        <f>'NIFTY GRP'!C32</f>
        <v>M&amp;M</v>
      </c>
      <c r="B37" s="140">
        <f>VLOOKUP($A37,'Data shares'!$C:$FA,7)</f>
        <v>3395.6</v>
      </c>
      <c r="C37" s="140">
        <f>VLOOKUP($A37,'Data shares'!$C:$FA,3)</f>
        <v>3396.3</v>
      </c>
      <c r="D37" s="50">
        <f>VLOOKUP($A37,'Data shares'!$C:$FA,6)*100</f>
        <v>1.1900000000000002</v>
      </c>
      <c r="E37" s="51">
        <f>VLOOKUP($A37,'Data shares'!$C:$FA,98)</f>
        <v>32555800</v>
      </c>
      <c r="F37" s="51">
        <f>VLOOKUP($A37,'Data shares'!$C:$FA,99)</f>
        <v>32220800</v>
      </c>
      <c r="G37" s="50">
        <f>VLOOKUP($A37,'Data shares'!$C:$FA,101)*100</f>
        <v>1.04</v>
      </c>
      <c r="H37" s="49">
        <f>VLOOKUP($A37,'Data Vlaue (Cr)'!$C:$FB,99)</f>
        <v>11057</v>
      </c>
      <c r="I37" s="49">
        <f>VLOOKUP($A37,'Data Vlaue (Cr)'!$C:$FB,100)</f>
        <v>10943</v>
      </c>
      <c r="J37" s="49">
        <f>VLOOKUP($A37,'Data Vlaue (Cr)'!$C:$FB,102)*100</f>
        <v>1.04</v>
      </c>
    </row>
    <row r="38" spans="1:10" x14ac:dyDescent="0.25">
      <c r="A38" s="101" t="str">
        <f>'NIFTY GRP'!C33</f>
        <v>MARUTI</v>
      </c>
      <c r="B38" s="140">
        <f>VLOOKUP($A38,'Data shares'!$C:$FA,7)</f>
        <v>14221</v>
      </c>
      <c r="C38" s="140">
        <f>VLOOKUP($A38,'Data shares'!$C:$FA,3)</f>
        <v>14221</v>
      </c>
      <c r="D38" s="50">
        <f>VLOOKUP($A38,'Data shares'!$C:$FA,6)*100</f>
        <v>-0.11</v>
      </c>
      <c r="E38" s="51">
        <f>VLOOKUP($A38,'Data shares'!$C:$FA,98)</f>
        <v>13113950</v>
      </c>
      <c r="F38" s="51">
        <f>VLOOKUP($A38,'Data shares'!$C:$FA,99)</f>
        <v>13132750</v>
      </c>
      <c r="G38" s="50">
        <f>VLOOKUP($A38,'Data shares'!$C:$FA,101)*100</f>
        <v>-0.13999999999999999</v>
      </c>
      <c r="H38" s="49">
        <f>VLOOKUP($A38,'Data Vlaue (Cr)'!$C:$FB,99)</f>
        <v>18649</v>
      </c>
      <c r="I38" s="49">
        <f>VLOOKUP($A38,'Data Vlaue (Cr)'!$C:$FB,100)</f>
        <v>18676</v>
      </c>
      <c r="J38" s="49">
        <f>VLOOKUP($A38,'Data Vlaue (Cr)'!$C:$FB,102)*100</f>
        <v>-0.13999999999999999</v>
      </c>
    </row>
    <row r="39" spans="1:10" x14ac:dyDescent="0.25">
      <c r="A39" s="101" t="str">
        <f>'NIFTY GRP'!C34</f>
        <v>NESTLEIND</v>
      </c>
      <c r="B39" s="140">
        <f>VLOOKUP($A39,'Data shares'!$C:$FA,7)</f>
        <v>1190.3</v>
      </c>
      <c r="C39" s="140">
        <f>VLOOKUP($A39,'Data shares'!$C:$FA,3)</f>
        <v>1191.3</v>
      </c>
      <c r="D39" s="50">
        <f>VLOOKUP($A39,'Data shares'!$C:$FA,6)*100</f>
        <v>2.39</v>
      </c>
      <c r="E39" s="51">
        <f>VLOOKUP($A39,'Data shares'!$C:$FA,98)</f>
        <v>29608000</v>
      </c>
      <c r="F39" s="51">
        <f>VLOOKUP($A39,'Data shares'!$C:$FA,99)</f>
        <v>28481000</v>
      </c>
      <c r="G39" s="50">
        <f>VLOOKUP($A39,'Data shares'!$C:$FA,101)*100</f>
        <v>3.9600000000000004</v>
      </c>
      <c r="H39" s="49">
        <f>VLOOKUP($A39,'Data Vlaue (Cr)'!$C:$FB,99)</f>
        <v>3527</v>
      </c>
      <c r="I39" s="49">
        <f>VLOOKUP($A39,'Data Vlaue (Cr)'!$C:$FB,100)</f>
        <v>3393</v>
      </c>
      <c r="J39" s="49">
        <f>VLOOKUP($A39,'Data Vlaue (Cr)'!$C:$FB,102)*100</f>
        <v>3.9600000000000004</v>
      </c>
    </row>
    <row r="40" spans="1:10" x14ac:dyDescent="0.25">
      <c r="A40" s="101" t="str">
        <f>'NIFTY GRP'!C35</f>
        <v>NTPC</v>
      </c>
      <c r="B40" s="140">
        <f>VLOOKUP($A40,'Data shares'!$C:$FA,7)</f>
        <v>342</v>
      </c>
      <c r="C40" s="140">
        <f>VLOOKUP($A40,'Data shares'!$C:$FA,3)</f>
        <v>342.15</v>
      </c>
      <c r="D40" s="50">
        <f>VLOOKUP($A40,'Data shares'!$C:$FA,6)*100</f>
        <v>1.8499999999999999</v>
      </c>
      <c r="E40" s="51">
        <f>VLOOKUP($A40,'Data shares'!$C:$FA,98)</f>
        <v>173149500</v>
      </c>
      <c r="F40" s="51">
        <f>VLOOKUP($A40,'Data shares'!$C:$FA,99)</f>
        <v>162936000</v>
      </c>
      <c r="G40" s="50">
        <f>VLOOKUP($A40,'Data shares'!$C:$FA,101)*100</f>
        <v>6.2700000000000005</v>
      </c>
      <c r="H40" s="49">
        <f>VLOOKUP($A40,'Data Vlaue (Cr)'!$C:$FB,99)</f>
        <v>5924</v>
      </c>
      <c r="I40" s="49">
        <f>VLOOKUP($A40,'Data Vlaue (Cr)'!$C:$FB,100)</f>
        <v>5575</v>
      </c>
      <c r="J40" s="49">
        <f>VLOOKUP($A40,'Data Vlaue (Cr)'!$C:$FB,102)*100</f>
        <v>6.2700000000000005</v>
      </c>
    </row>
    <row r="41" spans="1:10" x14ac:dyDescent="0.25">
      <c r="A41" s="101" t="str">
        <f>'NIFTY GRP'!C36</f>
        <v>ONGC</v>
      </c>
      <c r="B41" s="140">
        <f>VLOOKUP($A41,'Data shares'!$C:$FA,7)</f>
        <v>237.93</v>
      </c>
      <c r="C41" s="140">
        <f>VLOOKUP($A41,'Data shares'!$C:$FA,3)</f>
        <v>238.57</v>
      </c>
      <c r="D41" s="50">
        <f>VLOOKUP($A41,'Data shares'!$C:$FA,6)*100</f>
        <v>-0.04</v>
      </c>
      <c r="E41" s="51">
        <f>VLOOKUP($A41,'Data shares'!$C:$FA,98)</f>
        <v>158827500</v>
      </c>
      <c r="F41" s="51">
        <f>VLOOKUP($A41,'Data shares'!$C:$FA,99)</f>
        <v>155526750</v>
      </c>
      <c r="G41" s="50">
        <f>VLOOKUP($A41,'Data shares'!$C:$FA,101)*100</f>
        <v>2.12</v>
      </c>
      <c r="H41" s="49">
        <f>VLOOKUP($A41,'Data Vlaue (Cr)'!$C:$FB,99)</f>
        <v>3789</v>
      </c>
      <c r="I41" s="49">
        <f>VLOOKUP($A41,'Data Vlaue (Cr)'!$C:$FB,100)</f>
        <v>3710</v>
      </c>
      <c r="J41" s="49">
        <f>VLOOKUP($A41,'Data Vlaue (Cr)'!$C:$FB,102)*100</f>
        <v>2.12</v>
      </c>
    </row>
    <row r="42" spans="1:10" x14ac:dyDescent="0.25">
      <c r="A42" s="101" t="str">
        <f>'NIFTY GRP'!C37</f>
        <v>POWERGRID</v>
      </c>
      <c r="B42" s="140">
        <f>VLOOKUP($A42,'Data shares'!$C:$FA,7)</f>
        <v>288.39999999999998</v>
      </c>
      <c r="C42" s="140">
        <f>VLOOKUP($A42,'Data shares'!$C:$FA,3)</f>
        <v>288.60000000000002</v>
      </c>
      <c r="D42" s="50">
        <f>VLOOKUP($A42,'Data shares'!$C:$FA,6)*100</f>
        <v>0.05</v>
      </c>
      <c r="E42" s="51">
        <f>VLOOKUP($A42,'Data shares'!$C:$FA,98)</f>
        <v>107494400</v>
      </c>
      <c r="F42" s="51">
        <f>VLOOKUP($A42,'Data shares'!$C:$FA,99)</f>
        <v>107272100</v>
      </c>
      <c r="G42" s="50">
        <f>VLOOKUP($A42,'Data shares'!$C:$FA,101)*100</f>
        <v>0.21</v>
      </c>
      <c r="H42" s="49">
        <f>VLOOKUP($A42,'Data Vlaue (Cr)'!$C:$FB,99)</f>
        <v>3102</v>
      </c>
      <c r="I42" s="49">
        <f>VLOOKUP($A42,'Data Vlaue (Cr)'!$C:$FB,100)</f>
        <v>3096</v>
      </c>
      <c r="J42" s="49">
        <f>VLOOKUP($A42,'Data Vlaue (Cr)'!$C:$FB,102)*100</f>
        <v>0.21</v>
      </c>
    </row>
    <row r="43" spans="1:10" x14ac:dyDescent="0.25">
      <c r="A43" s="101" t="str">
        <f>'NIFTY GRP'!C38</f>
        <v>RELIANCE</v>
      </c>
      <c r="B43" s="140">
        <f>VLOOKUP($A43,'Data shares'!$C:$FA,7)</f>
        <v>1413</v>
      </c>
      <c r="C43" s="140">
        <f>VLOOKUP($A43,'Data shares'!$C:$FA,3)</f>
        <v>1415.5</v>
      </c>
      <c r="D43" s="50">
        <f>VLOOKUP($A43,'Data shares'!$C:$FA,6)*100</f>
        <v>-0.4</v>
      </c>
      <c r="E43" s="51">
        <f>VLOOKUP($A43,'Data shares'!$C:$FA,98)</f>
        <v>224671000</v>
      </c>
      <c r="F43" s="51">
        <f>VLOOKUP($A43,'Data shares'!$C:$FA,99)</f>
        <v>221701500</v>
      </c>
      <c r="G43" s="50">
        <f>VLOOKUP($A43,'Data shares'!$C:$FA,101)*100</f>
        <v>1.34</v>
      </c>
      <c r="H43" s="49">
        <f>VLOOKUP($A43,'Data Vlaue (Cr)'!$C:$FB,99)</f>
        <v>31802</v>
      </c>
      <c r="I43" s="49">
        <f>VLOOKUP($A43,'Data Vlaue (Cr)'!$C:$FB,100)</f>
        <v>31382</v>
      </c>
      <c r="J43" s="49">
        <f>VLOOKUP($A43,'Data Vlaue (Cr)'!$C:$FB,102)*100</f>
        <v>1.34</v>
      </c>
    </row>
    <row r="44" spans="1:10" x14ac:dyDescent="0.25">
      <c r="A44" s="101" t="str">
        <f>'NIFTY GRP'!C39</f>
        <v>SBILIFE</v>
      </c>
      <c r="B44" s="140">
        <f>VLOOKUP($A44,'Data shares'!$C:$FA,7)</f>
        <v>1858.5</v>
      </c>
      <c r="C44" s="140">
        <f>VLOOKUP($A44,'Data shares'!$C:$FA,3)</f>
        <v>1861.7</v>
      </c>
      <c r="D44" s="50">
        <f>VLOOKUP($A44,'Data shares'!$C:$FA,6)*100</f>
        <v>0.18</v>
      </c>
      <c r="E44" s="51">
        <f>VLOOKUP($A44,'Data shares'!$C:$FA,98)</f>
        <v>12355125</v>
      </c>
      <c r="F44" s="51">
        <f>VLOOKUP($A44,'Data shares'!$C:$FA,99)</f>
        <v>12089250</v>
      </c>
      <c r="G44" s="50">
        <f>VLOOKUP($A44,'Data shares'!$C:$FA,101)*100</f>
        <v>2.1999999999999997</v>
      </c>
      <c r="H44" s="49">
        <f>VLOOKUP($A44,'Data Vlaue (Cr)'!$C:$FB,99)</f>
        <v>2300</v>
      </c>
      <c r="I44" s="49">
        <f>VLOOKUP($A44,'Data Vlaue (Cr)'!$C:$FB,100)</f>
        <v>2251</v>
      </c>
      <c r="J44" s="49">
        <f>VLOOKUP($A44,'Data Vlaue (Cr)'!$C:$FB,102)*100</f>
        <v>2.1999999999999997</v>
      </c>
    </row>
    <row r="45" spans="1:10" x14ac:dyDescent="0.25">
      <c r="A45" s="101" t="str">
        <f>'NIFTY GRP'!C40</f>
        <v>SBIN</v>
      </c>
      <c r="B45" s="140">
        <f>VLOOKUP($A45,'Data shares'!$C:$FA,7)</f>
        <v>828.95</v>
      </c>
      <c r="C45" s="140">
        <f>VLOOKUP($A45,'Data shares'!$C:$FA,3)</f>
        <v>829.2</v>
      </c>
      <c r="D45" s="50">
        <f>VLOOKUP($A45,'Data shares'!$C:$FA,6)*100</f>
        <v>-0.22</v>
      </c>
      <c r="E45" s="51">
        <f>VLOOKUP($A45,'Data shares'!$C:$FA,98)</f>
        <v>206420250</v>
      </c>
      <c r="F45" s="51">
        <f>VLOOKUP($A45,'Data shares'!$C:$FA,99)</f>
        <v>208206750</v>
      </c>
      <c r="G45" s="50">
        <f>VLOOKUP($A45,'Data shares'!$C:$FA,101)*100</f>
        <v>-0.86</v>
      </c>
      <c r="H45" s="49">
        <f>VLOOKUP($A45,'Data Vlaue (Cr)'!$C:$FB,99)</f>
        <v>17116</v>
      </c>
      <c r="I45" s="49">
        <f>VLOOKUP($A45,'Data Vlaue (Cr)'!$C:$FB,100)</f>
        <v>17265</v>
      </c>
      <c r="J45" s="49">
        <f>VLOOKUP($A45,'Data Vlaue (Cr)'!$C:$FB,102)*100</f>
        <v>-0.86</v>
      </c>
    </row>
    <row r="46" spans="1:10" x14ac:dyDescent="0.25">
      <c r="A46" s="101" t="str">
        <f>'NIFTY GRP'!C41</f>
        <v>SHRIRAMFIN</v>
      </c>
      <c r="B46" s="140">
        <f>VLOOKUP($A46,'Data shares'!$C:$FA,7)</f>
        <v>616.29999999999995</v>
      </c>
      <c r="C46" s="140">
        <f>VLOOKUP($A46,'Data shares'!$C:$FA,3)</f>
        <v>618.20000000000005</v>
      </c>
      <c r="D46" s="50">
        <f>VLOOKUP($A46,'Data shares'!$C:$FA,6)*100</f>
        <v>-1.39</v>
      </c>
      <c r="E46" s="51">
        <f>VLOOKUP($A46,'Data shares'!$C:$FA,98)</f>
        <v>55303050</v>
      </c>
      <c r="F46" s="51">
        <f>VLOOKUP($A46,'Data shares'!$C:$FA,99)</f>
        <v>52743075</v>
      </c>
      <c r="G46" s="50">
        <f>VLOOKUP($A46,'Data shares'!$C:$FA,101)*100</f>
        <v>4.8500000000000005</v>
      </c>
      <c r="H46" s="49">
        <f>VLOOKUP($A46,'Data Vlaue (Cr)'!$C:$FB,99)</f>
        <v>3419</v>
      </c>
      <c r="I46" s="49">
        <f>VLOOKUP($A46,'Data Vlaue (Cr)'!$C:$FB,100)</f>
        <v>3261</v>
      </c>
      <c r="J46" s="49">
        <f>VLOOKUP($A46,'Data Vlaue (Cr)'!$C:$FB,102)*100</f>
        <v>4.8500000000000005</v>
      </c>
    </row>
    <row r="47" spans="1:10" x14ac:dyDescent="0.25">
      <c r="A47" s="101" t="str">
        <f>'NIFTY GRP'!C42</f>
        <v>SUNPHARMA</v>
      </c>
      <c r="B47" s="140">
        <f>VLOOKUP($A47,'Data shares'!$C:$FA,7)</f>
        <v>1633.1</v>
      </c>
      <c r="C47" s="140">
        <f>VLOOKUP($A47,'Data shares'!$C:$FA,3)</f>
        <v>1633</v>
      </c>
      <c r="D47" s="50">
        <f>VLOOKUP($A47,'Data shares'!$C:$FA,6)*100</f>
        <v>-0.03</v>
      </c>
      <c r="E47" s="51">
        <f>VLOOKUP($A47,'Data shares'!$C:$FA,98)</f>
        <v>27876800</v>
      </c>
      <c r="F47" s="51">
        <f>VLOOKUP($A47,'Data shares'!$C:$FA,99)</f>
        <v>28554750</v>
      </c>
      <c r="G47" s="50">
        <f>VLOOKUP($A47,'Data shares'!$C:$FA,101)*100</f>
        <v>-2.37</v>
      </c>
      <c r="H47" s="49">
        <f>VLOOKUP($A47,'Data Vlaue (Cr)'!$C:$FB,99)</f>
        <v>4552</v>
      </c>
      <c r="I47" s="49">
        <f>VLOOKUP($A47,'Data Vlaue (Cr)'!$C:$FB,100)</f>
        <v>4663</v>
      </c>
      <c r="J47" s="49">
        <f>VLOOKUP($A47,'Data Vlaue (Cr)'!$C:$FB,102)*100</f>
        <v>-2.37</v>
      </c>
    </row>
    <row r="48" spans="1:10" x14ac:dyDescent="0.25">
      <c r="A48" s="101" t="str">
        <f>'NIFTY GRP'!C43</f>
        <v>TATACONSUM</v>
      </c>
      <c r="B48" s="140">
        <f>VLOOKUP($A48,'Data shares'!$C:$FA,7)</f>
        <v>1105.3</v>
      </c>
      <c r="C48" s="140">
        <f>VLOOKUP($A48,'Data shares'!$C:$FA,3)</f>
        <v>1105.8</v>
      </c>
      <c r="D48" s="50">
        <f>VLOOKUP($A48,'Data shares'!$C:$FA,6)*100</f>
        <v>1.37</v>
      </c>
      <c r="E48" s="51">
        <f>VLOOKUP($A48,'Data shares'!$C:$FA,98)</f>
        <v>21074900</v>
      </c>
      <c r="F48" s="51">
        <f>VLOOKUP($A48,'Data shares'!$C:$FA,99)</f>
        <v>21086450</v>
      </c>
      <c r="G48" s="50">
        <f>VLOOKUP($A48,'Data shares'!$C:$FA,101)*100</f>
        <v>-0.05</v>
      </c>
      <c r="H48" s="49">
        <f>VLOOKUP($A48,'Data Vlaue (Cr)'!$C:$FB,99)</f>
        <v>2330</v>
      </c>
      <c r="I48" s="49">
        <f>VLOOKUP($A48,'Data Vlaue (Cr)'!$C:$FB,100)</f>
        <v>2332</v>
      </c>
      <c r="J48" s="49">
        <f>VLOOKUP($A48,'Data Vlaue (Cr)'!$C:$FB,102)*100</f>
        <v>-0.05</v>
      </c>
    </row>
    <row r="49" spans="1:10" x14ac:dyDescent="0.25">
      <c r="A49" s="101" t="str">
        <f>'NIFTY GRP'!C44</f>
        <v>TATAMOTORS</v>
      </c>
      <c r="B49" s="140">
        <f>VLOOKUP($A49,'Data shares'!$C:$FA,7)</f>
        <v>689.6</v>
      </c>
      <c r="C49" s="140">
        <f>VLOOKUP($A49,'Data shares'!$C:$FA,3)</f>
        <v>691.25</v>
      </c>
      <c r="D49" s="50">
        <f>VLOOKUP($A49,'Data shares'!$C:$FA,6)*100</f>
        <v>-1.58</v>
      </c>
      <c r="E49" s="51">
        <f>VLOOKUP($A49,'Data shares'!$C:$FA,98)</f>
        <v>163062400</v>
      </c>
      <c r="F49" s="51">
        <f>VLOOKUP($A49,'Data shares'!$C:$FA,99)</f>
        <v>161448800</v>
      </c>
      <c r="G49" s="50">
        <f>VLOOKUP($A49,'Data shares'!$C:$FA,101)*100</f>
        <v>1</v>
      </c>
      <c r="H49" s="49">
        <f>VLOOKUP($A49,'Data Vlaue (Cr)'!$C:$FB,99)</f>
        <v>11272</v>
      </c>
      <c r="I49" s="49">
        <f>VLOOKUP($A49,'Data Vlaue (Cr)'!$C:$FB,100)</f>
        <v>11160</v>
      </c>
      <c r="J49" s="49">
        <f>VLOOKUP($A49,'Data Vlaue (Cr)'!$C:$FB,102)*100</f>
        <v>1</v>
      </c>
    </row>
    <row r="50" spans="1:10" x14ac:dyDescent="0.25">
      <c r="A50" s="101" t="str">
        <f>'NIFTY GRP'!C45</f>
        <v>TATASTEEL</v>
      </c>
      <c r="B50" s="140">
        <f>VLOOKUP($A50,'Data shares'!$C:$FA,7)</f>
        <v>161.91999999999999</v>
      </c>
      <c r="C50" s="140">
        <f>VLOOKUP($A50,'Data shares'!$C:$FA,3)</f>
        <v>162.43</v>
      </c>
      <c r="D50" s="50">
        <f>VLOOKUP($A50,'Data shares'!$C:$FA,6)*100</f>
        <v>1.8800000000000001</v>
      </c>
      <c r="E50" s="51">
        <f>VLOOKUP($A50,'Data shares'!$C:$FA,98)</f>
        <v>378075500</v>
      </c>
      <c r="F50" s="51">
        <f>VLOOKUP($A50,'Data shares'!$C:$FA,99)</f>
        <v>380842000</v>
      </c>
      <c r="G50" s="50">
        <f>VLOOKUP($A50,'Data shares'!$C:$FA,101)*100</f>
        <v>-0.73</v>
      </c>
      <c r="H50" s="49">
        <f>VLOOKUP($A50,'Data Vlaue (Cr)'!$C:$FB,99)</f>
        <v>6141</v>
      </c>
      <c r="I50" s="49">
        <f>VLOOKUP($A50,'Data Vlaue (Cr)'!$C:$FB,100)</f>
        <v>6186</v>
      </c>
      <c r="J50" s="49">
        <f>VLOOKUP($A50,'Data Vlaue (Cr)'!$C:$FB,102)*100</f>
        <v>-0.73</v>
      </c>
    </row>
    <row r="51" spans="1:10" x14ac:dyDescent="0.25">
      <c r="A51" s="101" t="str">
        <f>'NIFTY GRP'!C46</f>
        <v>TCS</v>
      </c>
      <c r="B51" s="140">
        <f>VLOOKUP($A51,'Data shares'!$C:$FA,7)</f>
        <v>3098.6</v>
      </c>
      <c r="C51" s="140">
        <f>VLOOKUP($A51,'Data shares'!$C:$FA,3)</f>
        <v>3098.8</v>
      </c>
      <c r="D51" s="50">
        <f>VLOOKUP($A51,'Data shares'!$C:$FA,6)*100</f>
        <v>2.5</v>
      </c>
      <c r="E51" s="51">
        <f>VLOOKUP($A51,'Data shares'!$C:$FA,98)</f>
        <v>63438025</v>
      </c>
      <c r="F51" s="51">
        <f>VLOOKUP($A51,'Data shares'!$C:$FA,99)</f>
        <v>68706050</v>
      </c>
      <c r="G51" s="50">
        <f>VLOOKUP($A51,'Data shares'!$C:$FA,101)*100</f>
        <v>-7.6700000000000008</v>
      </c>
      <c r="H51" s="49">
        <f>VLOOKUP($A51,'Data Vlaue (Cr)'!$C:$FB,99)</f>
        <v>19658</v>
      </c>
      <c r="I51" s="49">
        <f>VLOOKUP($A51,'Data Vlaue (Cr)'!$C:$FB,100)</f>
        <v>21291</v>
      </c>
      <c r="J51" s="49">
        <f>VLOOKUP($A51,'Data Vlaue (Cr)'!$C:$FB,102)*100</f>
        <v>-7.6700000000000008</v>
      </c>
    </row>
    <row r="52" spans="1:10" x14ac:dyDescent="0.25">
      <c r="A52" s="101" t="str">
        <f>'NIFTY GRP'!C47</f>
        <v>TECHM</v>
      </c>
      <c r="B52" s="140">
        <f>VLOOKUP($A52,'Data shares'!$C:$FA,7)</f>
        <v>1524.1</v>
      </c>
      <c r="C52" s="140">
        <f>VLOOKUP($A52,'Data shares'!$C:$FA,3)</f>
        <v>1525.1</v>
      </c>
      <c r="D52" s="50">
        <f>VLOOKUP($A52,'Data shares'!$C:$FA,6)*100</f>
        <v>1.73</v>
      </c>
      <c r="E52" s="51">
        <f>VLOOKUP($A52,'Data shares'!$C:$FA,98)</f>
        <v>27867600</v>
      </c>
      <c r="F52" s="51">
        <f>VLOOKUP($A52,'Data shares'!$C:$FA,99)</f>
        <v>28360200</v>
      </c>
      <c r="G52" s="50">
        <f>VLOOKUP($A52,'Data shares'!$C:$FA,101)*100</f>
        <v>-1.7399999999999998</v>
      </c>
      <c r="H52" s="49">
        <f>VLOOKUP($A52,'Data Vlaue (Cr)'!$C:$FB,99)</f>
        <v>4250</v>
      </c>
      <c r="I52" s="49">
        <f>VLOOKUP($A52,'Data Vlaue (Cr)'!$C:$FB,100)</f>
        <v>4325</v>
      </c>
      <c r="J52" s="49">
        <f>VLOOKUP($A52,'Data Vlaue (Cr)'!$C:$FB,102)*100</f>
        <v>-1.7399999999999998</v>
      </c>
    </row>
    <row r="53" spans="1:10" x14ac:dyDescent="0.25">
      <c r="A53" s="101" t="str">
        <f>'NIFTY GRP'!C48</f>
        <v>TITAN</v>
      </c>
      <c r="B53" s="140">
        <f>VLOOKUP($A53,'Data shares'!$C:$FA,7)</f>
        <v>3595</v>
      </c>
      <c r="C53" s="140">
        <f>VLOOKUP($A53,'Data shares'!$C:$FA,3)</f>
        <v>3603.7</v>
      </c>
      <c r="D53" s="50">
        <f>VLOOKUP($A53,'Data shares'!$C:$FA,6)*100</f>
        <v>0.84</v>
      </c>
      <c r="E53" s="51">
        <f>VLOOKUP($A53,'Data shares'!$C:$FA,98)</f>
        <v>14911750</v>
      </c>
      <c r="F53" s="51">
        <f>VLOOKUP($A53,'Data shares'!$C:$FA,99)</f>
        <v>14750400</v>
      </c>
      <c r="G53" s="50">
        <f>VLOOKUP($A53,'Data shares'!$C:$FA,101)*100</f>
        <v>1.0900000000000001</v>
      </c>
      <c r="H53" s="49">
        <f>VLOOKUP($A53,'Data Vlaue (Cr)'!$C:$FB,99)</f>
        <v>5374</v>
      </c>
      <c r="I53" s="49">
        <f>VLOOKUP($A53,'Data Vlaue (Cr)'!$C:$FB,100)</f>
        <v>5316</v>
      </c>
      <c r="J53" s="49">
        <f>VLOOKUP($A53,'Data Vlaue (Cr)'!$C:$FB,102)*100</f>
        <v>1.0900000000000001</v>
      </c>
    </row>
    <row r="54" spans="1:10" x14ac:dyDescent="0.25">
      <c r="A54" s="101" t="str">
        <f>'NIFTY GRP'!C49</f>
        <v>TRENT</v>
      </c>
      <c r="B54" s="140">
        <f>VLOOKUP($A54,'Data shares'!$C:$FA,7)</f>
        <v>5453</v>
      </c>
      <c r="C54" s="140">
        <f>VLOOKUP($A54,'Data shares'!$C:$FA,3)</f>
        <v>5468</v>
      </c>
      <c r="D54" s="50">
        <f>VLOOKUP($A54,'Data shares'!$C:$FA,6)*100</f>
        <v>-0.84</v>
      </c>
      <c r="E54" s="51">
        <f>VLOOKUP($A54,'Data shares'!$C:$FA,98)</f>
        <v>11103700</v>
      </c>
      <c r="F54" s="51">
        <f>VLOOKUP($A54,'Data shares'!$C:$FA,99)</f>
        <v>10794800</v>
      </c>
      <c r="G54" s="50">
        <f>VLOOKUP($A54,'Data shares'!$C:$FA,101)*100</f>
        <v>2.86</v>
      </c>
      <c r="H54" s="49">
        <f>VLOOKUP($A54,'Data Vlaue (Cr)'!$C:$FB,99)</f>
        <v>6072</v>
      </c>
      <c r="I54" s="49">
        <f>VLOOKUP($A54,'Data Vlaue (Cr)'!$C:$FB,100)</f>
        <v>5903</v>
      </c>
      <c r="J54" s="49">
        <f>VLOOKUP($A54,'Data Vlaue (Cr)'!$C:$FB,102)*100</f>
        <v>2.86</v>
      </c>
    </row>
    <row r="55" spans="1:10" x14ac:dyDescent="0.25">
      <c r="A55" s="101" t="str">
        <f>'NIFTY GRP'!C50</f>
        <v>ULTRACEMCO</v>
      </c>
      <c r="B55" s="140">
        <f>VLOOKUP($A55,'Data shares'!$C:$FA,7)</f>
        <v>12874</v>
      </c>
      <c r="C55" s="140">
        <f>VLOOKUP($A55,'Data shares'!$C:$FA,3)</f>
        <v>12904</v>
      </c>
      <c r="D55" s="50">
        <f>VLOOKUP($A55,'Data shares'!$C:$FA,6)*100</f>
        <v>0.26</v>
      </c>
      <c r="E55" s="51">
        <f>VLOOKUP($A55,'Data shares'!$C:$FA,98)</f>
        <v>3747200</v>
      </c>
      <c r="F55" s="51">
        <f>VLOOKUP($A55,'Data shares'!$C:$FA,99)</f>
        <v>3762200</v>
      </c>
      <c r="G55" s="50">
        <f>VLOOKUP($A55,'Data shares'!$C:$FA,101)*100</f>
        <v>-0.4</v>
      </c>
      <c r="H55" s="49">
        <f>VLOOKUP($A55,'Data Vlaue (Cr)'!$C:$FB,99)</f>
        <v>4835</v>
      </c>
      <c r="I55" s="49">
        <f>VLOOKUP($A55,'Data Vlaue (Cr)'!$C:$FB,100)</f>
        <v>4855</v>
      </c>
      <c r="J55" s="49">
        <f>VLOOKUP($A55,'Data Vlaue (Cr)'!$C:$FB,102)*100</f>
        <v>-0.4</v>
      </c>
    </row>
    <row r="56" spans="1:10" x14ac:dyDescent="0.25">
      <c r="A56" s="101" t="str">
        <f>'NIFTY GRP'!C51</f>
        <v>WIPRO</v>
      </c>
      <c r="B56" s="140">
        <f>VLOOKUP($A56,'Data shares'!$C:$FA,7)</f>
        <v>250.84</v>
      </c>
      <c r="C56" s="140">
        <f>VLOOKUP($A56,'Data shares'!$C:$FA,3)</f>
        <v>250.69</v>
      </c>
      <c r="D56" s="50">
        <f>VLOOKUP($A56,'Data shares'!$C:$FA,6)*100</f>
        <v>2.0099999999999998</v>
      </c>
      <c r="E56" s="51">
        <f>VLOOKUP($A56,'Data shares'!$C:$FA,98)</f>
        <v>262164000</v>
      </c>
      <c r="F56" s="51">
        <f>VLOOKUP($A56,'Data shares'!$C:$FA,99)</f>
        <v>261801000</v>
      </c>
      <c r="G56" s="50">
        <f>VLOOKUP($A56,'Data shares'!$C:$FA,101)*100</f>
        <v>0.13999999999999999</v>
      </c>
      <c r="H56" s="49">
        <f>VLOOKUP($A56,'Data Vlaue (Cr)'!$C:$FB,99)</f>
        <v>6572</v>
      </c>
      <c r="I56" s="49">
        <f>VLOOKUP($A56,'Data Vlaue (Cr)'!$C:$FB,100)</f>
        <v>6563</v>
      </c>
      <c r="J56" s="49">
        <f>VLOOKUP($A56,'Data Vlaue (Cr)'!$C:$FB,102)*100</f>
        <v>0.13999999999999999</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4578793300</v>
      </c>
      <c r="F94" s="127">
        <f>SUM(F7:F93)</f>
        <v>4494386625</v>
      </c>
      <c r="G94" s="128">
        <f>(E94-F94)/F94</f>
        <v>1.8780465955129083E-2</v>
      </c>
      <c r="H94" s="127">
        <f>SUM(H7:H93)</f>
        <v>439980</v>
      </c>
      <c r="I94" s="127">
        <f>SUM(I7:I93)</f>
        <v>435829</v>
      </c>
      <c r="J94" s="128">
        <f>(H94-I94)/I94</f>
        <v>9.5243776802369732E-3</v>
      </c>
    </row>
    <row r="95" spans="1:10" s="88" customFormat="1" ht="13.5" customHeight="1" x14ac:dyDescent="0.25">
      <c r="A95" s="126" t="s">
        <v>398</v>
      </c>
      <c r="B95" s="122"/>
      <c r="C95" s="122"/>
      <c r="D95" s="122"/>
      <c r="E95" s="125">
        <f>E94/10000000</f>
        <v>457.87932999999998</v>
      </c>
      <c r="F95" s="125">
        <f>F94/10000000</f>
        <v>449.43866250000002</v>
      </c>
      <c r="G95" s="128">
        <f>(E95-F95)/F95</f>
        <v>1.8780465955128996E-2</v>
      </c>
      <c r="H95" s="129">
        <f>H94/10000000</f>
        <v>4.3998000000000002E-2</v>
      </c>
      <c r="I95" s="129">
        <f>I94/10000000</f>
        <v>4.3582900000000001E-2</v>
      </c>
      <c r="J95" s="128">
        <f>(H95-I95)/I95</f>
        <v>9.5243776802370096E-3</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439980</v>
      </c>
      <c r="B103" s="38">
        <f>I94</f>
        <v>435829</v>
      </c>
      <c r="C103" s="42">
        <f>J94</f>
        <v>9.5243776802369732E-3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45889</v>
      </c>
      <c r="C6" s="76" t="s">
        <v>328</v>
      </c>
      <c r="D6" s="3">
        <f>B6</f>
        <v>45889</v>
      </c>
      <c r="E6" s="76" t="s">
        <v>322</v>
      </c>
      <c r="F6" s="76" t="s">
        <v>328</v>
      </c>
      <c r="G6" s="3">
        <f>D6</f>
        <v>45889</v>
      </c>
      <c r="H6" s="76" t="s">
        <v>322</v>
      </c>
      <c r="I6" s="76" t="s">
        <v>328</v>
      </c>
      <c r="J6" s="3">
        <f>D6</f>
        <v>45889</v>
      </c>
      <c r="K6" s="76" t="s">
        <v>322</v>
      </c>
      <c r="L6" s="76" t="s">
        <v>328</v>
      </c>
      <c r="M6" s="3">
        <f>D6</f>
        <v>45889</v>
      </c>
      <c r="N6" s="76" t="s">
        <v>322</v>
      </c>
      <c r="O6" s="76" t="s">
        <v>328</v>
      </c>
    </row>
    <row r="7" spans="1:15" x14ac:dyDescent="0.25">
      <c r="A7" s="101" t="str">
        <f>'Data Vlaue (Cr)'!C2</f>
        <v>360ONE</v>
      </c>
      <c r="B7" s="50">
        <f>VLOOKUP($A7,'Data Vlaue (Cr)'!$C:$FB,8)</f>
        <v>1102.9000000000001</v>
      </c>
      <c r="C7" s="50">
        <f>VLOOKUP($A7,'Data Vlaue (Cr)'!$C:$FB,11)*100</f>
        <v>2.2200000000000002</v>
      </c>
      <c r="D7" s="50">
        <f>VLOOKUP($A7,'Data Vlaue (Cr)'!$C:$FB,143)</f>
        <v>689.09</v>
      </c>
      <c r="E7" s="50">
        <f>VLOOKUP($A7,'Data Vlaue (Cr)'!$C:$FB,144)</f>
        <v>385.8</v>
      </c>
      <c r="F7" s="50">
        <f>VLOOKUP($A7,'Data Vlaue (Cr)'!$C:$FB,146)*100</f>
        <v>78.61</v>
      </c>
      <c r="G7" s="49">
        <f>VLOOKUP($A7,'Data Vlaue (Cr)'!$C:$FB,43)</f>
        <v>174</v>
      </c>
      <c r="H7" s="49">
        <f>VLOOKUP($A7,'Data Vlaue (Cr)'!$C:$FB,44)</f>
        <v>112</v>
      </c>
      <c r="I7" s="49">
        <f>VLOOKUP($A7,'Data Vlaue (Cr)'!$C:$FB,46)*100</f>
        <v>55.92</v>
      </c>
      <c r="J7" s="51">
        <f>VLOOKUP($A7,'Data Vlaue (Cr)'!$C:$FB,59)</f>
        <v>381</v>
      </c>
      <c r="K7" s="51">
        <f>VLOOKUP($A7,'Data Vlaue (Cr)'!$C:$FB,60)</f>
        <v>226</v>
      </c>
      <c r="L7" s="51">
        <f>VLOOKUP($A7,'Data Vlaue (Cr)'!$C:$FB,62)*100</f>
        <v>68.959999999999994</v>
      </c>
      <c r="M7" s="51">
        <f>VLOOKUP($A7,'Data Vlaue (Cr)'!$C:$FB,63)</f>
        <v>129</v>
      </c>
      <c r="N7" s="51">
        <f>VLOOKUP($A7,'Data Vlaue (Cr)'!$C:$FB,64)</f>
        <v>49</v>
      </c>
      <c r="O7" s="51">
        <f>VLOOKUP($A7,'Data Vlaue (Cr)'!$C:$FB,66)*100</f>
        <v>163.09</v>
      </c>
    </row>
    <row r="8" spans="1:15" x14ac:dyDescent="0.25">
      <c r="A8" s="101" t="str">
        <f>'Data Vlaue (Cr)'!C3</f>
        <v>ABB</v>
      </c>
      <c r="B8" s="50">
        <f>VLOOKUP($A8,'Data Vlaue (Cr)'!$C:$FB,8)</f>
        <v>5121.5</v>
      </c>
      <c r="C8" s="50">
        <f>VLOOKUP($A8,'Data Vlaue (Cr)'!$C:$FB,11)*100</f>
        <v>1.06</v>
      </c>
      <c r="D8" s="50">
        <f>VLOOKUP($A8,'Data Vlaue (Cr)'!$C:$FB,143)</f>
        <v>2403.19</v>
      </c>
      <c r="E8" s="50">
        <f>VLOOKUP($A8,'Data Vlaue (Cr)'!$C:$FB,144)</f>
        <v>1805.49</v>
      </c>
      <c r="F8" s="50">
        <f>VLOOKUP($A8,'Data Vlaue (Cr)'!$C:$FB,146)*100</f>
        <v>33.1</v>
      </c>
      <c r="G8" s="49">
        <f>VLOOKUP($A8,'Data Vlaue (Cr)'!$C:$FB,43)</f>
        <v>249</v>
      </c>
      <c r="H8" s="49">
        <f>VLOOKUP($A8,'Data Vlaue (Cr)'!$C:$FB,44)</f>
        <v>227</v>
      </c>
      <c r="I8" s="49">
        <f>VLOOKUP($A8,'Data Vlaue (Cr)'!$C:$FB,46)*100</f>
        <v>9.69</v>
      </c>
      <c r="J8" s="51">
        <f>VLOOKUP($A8,'Data Vlaue (Cr)'!$C:$FB,59)</f>
        <v>1618</v>
      </c>
      <c r="K8" s="51">
        <f>VLOOKUP($A8,'Data Vlaue (Cr)'!$C:$FB,60)</f>
        <v>1137</v>
      </c>
      <c r="L8" s="51">
        <f>VLOOKUP($A8,'Data Vlaue (Cr)'!$C:$FB,62)*100</f>
        <v>42.21</v>
      </c>
      <c r="M8" s="51">
        <f>VLOOKUP($A8,'Data Vlaue (Cr)'!$C:$FB,63)</f>
        <v>475</v>
      </c>
      <c r="N8" s="51">
        <f>VLOOKUP($A8,'Data Vlaue (Cr)'!$C:$FB,64)</f>
        <v>402</v>
      </c>
      <c r="O8" s="51">
        <f>VLOOKUP($A8,'Data Vlaue (Cr)'!$C:$FB,66)*100</f>
        <v>18.279999999999998</v>
      </c>
    </row>
    <row r="9" spans="1:15" x14ac:dyDescent="0.25">
      <c r="A9" s="101" t="str">
        <f>'Data Vlaue (Cr)'!C4</f>
        <v>ABCAPITAL</v>
      </c>
      <c r="B9" s="50">
        <f>VLOOKUP($A9,'Data Vlaue (Cr)'!$C:$FB,8)</f>
        <v>283.45</v>
      </c>
      <c r="C9" s="50">
        <f>VLOOKUP($A9,'Data Vlaue (Cr)'!$C:$FB,11)*100</f>
        <v>-1.3599999999999999</v>
      </c>
      <c r="D9" s="50">
        <f>VLOOKUP($A9,'Data Vlaue (Cr)'!$C:$FB,143)</f>
        <v>1236.83</v>
      </c>
      <c r="E9" s="50">
        <f>VLOOKUP($A9,'Data Vlaue (Cr)'!$C:$FB,144)</f>
        <v>2223.94</v>
      </c>
      <c r="F9" s="50">
        <f>VLOOKUP($A9,'Data Vlaue (Cr)'!$C:$FB,146)*100</f>
        <v>-44.39</v>
      </c>
      <c r="G9" s="49">
        <f>VLOOKUP($A9,'Data Vlaue (Cr)'!$C:$FB,43)</f>
        <v>242</v>
      </c>
      <c r="H9" s="49">
        <f>VLOOKUP($A9,'Data Vlaue (Cr)'!$C:$FB,44)</f>
        <v>405</v>
      </c>
      <c r="I9" s="49">
        <f>VLOOKUP($A9,'Data Vlaue (Cr)'!$C:$FB,46)*100</f>
        <v>-40.19</v>
      </c>
      <c r="J9" s="51">
        <f>VLOOKUP($A9,'Data Vlaue (Cr)'!$C:$FB,59)</f>
        <v>642</v>
      </c>
      <c r="K9" s="51">
        <f>VLOOKUP($A9,'Data Vlaue (Cr)'!$C:$FB,60)</f>
        <v>1131</v>
      </c>
      <c r="L9" s="51">
        <f>VLOOKUP($A9,'Data Vlaue (Cr)'!$C:$FB,62)*100</f>
        <v>-43.2</v>
      </c>
      <c r="M9" s="51">
        <f>VLOOKUP($A9,'Data Vlaue (Cr)'!$C:$FB,63)</f>
        <v>323</v>
      </c>
      <c r="N9" s="51">
        <f>VLOOKUP($A9,'Data Vlaue (Cr)'!$C:$FB,64)</f>
        <v>639</v>
      </c>
      <c r="O9" s="51">
        <f>VLOOKUP($A9,'Data Vlaue (Cr)'!$C:$FB,66)*100</f>
        <v>-49.5</v>
      </c>
    </row>
    <row r="10" spans="1:15" x14ac:dyDescent="0.25">
      <c r="A10" s="101" t="str">
        <f>'Data Vlaue (Cr)'!C5</f>
        <v>ABFRL</v>
      </c>
      <c r="B10" s="50">
        <f>VLOOKUP($A10,'Data Vlaue (Cr)'!$C:$FB,8)</f>
        <v>76.260000000000005</v>
      </c>
      <c r="C10" s="50">
        <f>VLOOKUP($A10,'Data Vlaue (Cr)'!$C:$FB,11)*100</f>
        <v>-1.1900000000000002</v>
      </c>
      <c r="D10" s="50">
        <f>VLOOKUP($A10,'Data Vlaue (Cr)'!$C:$FB,143)</f>
        <v>149.83000000000001</v>
      </c>
      <c r="E10" s="50">
        <f>VLOOKUP($A10,'Data Vlaue (Cr)'!$C:$FB,144)</f>
        <v>273.23</v>
      </c>
      <c r="F10" s="50">
        <f>VLOOKUP($A10,'Data Vlaue (Cr)'!$C:$FB,146)*100</f>
        <v>-45.16</v>
      </c>
      <c r="G10" s="49">
        <f>VLOOKUP($A10,'Data Vlaue (Cr)'!$C:$FB,43)</f>
        <v>26</v>
      </c>
      <c r="H10" s="49">
        <f>VLOOKUP($A10,'Data Vlaue (Cr)'!$C:$FB,44)</f>
        <v>58</v>
      </c>
      <c r="I10" s="49">
        <f>VLOOKUP($A10,'Data Vlaue (Cr)'!$C:$FB,46)*100</f>
        <v>-56.110000000000007</v>
      </c>
      <c r="J10" s="51">
        <f>VLOOKUP($A10,'Data Vlaue (Cr)'!$C:$FB,59)</f>
        <v>104</v>
      </c>
      <c r="K10" s="51">
        <f>VLOOKUP($A10,'Data Vlaue (Cr)'!$C:$FB,60)</f>
        <v>158</v>
      </c>
      <c r="L10" s="51">
        <f>VLOOKUP($A10,'Data Vlaue (Cr)'!$C:$FB,62)*100</f>
        <v>-34.18</v>
      </c>
      <c r="M10" s="51">
        <f>VLOOKUP($A10,'Data Vlaue (Cr)'!$C:$FB,63)</f>
        <v>16</v>
      </c>
      <c r="N10" s="51">
        <f>VLOOKUP($A10,'Data Vlaue (Cr)'!$C:$FB,64)</f>
        <v>48</v>
      </c>
      <c r="O10" s="51">
        <f>VLOOKUP($A10,'Data Vlaue (Cr)'!$C:$FB,66)*100</f>
        <v>-68</v>
      </c>
    </row>
    <row r="11" spans="1:15" x14ac:dyDescent="0.25">
      <c r="A11" s="101" t="str">
        <f>'Data Vlaue (Cr)'!C6</f>
        <v>ADANIENSOL</v>
      </c>
      <c r="B11" s="50">
        <f>VLOOKUP($A11,'Data Vlaue (Cr)'!$C:$FB,8)</f>
        <v>824.2</v>
      </c>
      <c r="C11" s="50">
        <f>VLOOKUP($A11,'Data Vlaue (Cr)'!$C:$FB,11)*100</f>
        <v>-0.48</v>
      </c>
      <c r="D11" s="50">
        <f>VLOOKUP($A11,'Data Vlaue (Cr)'!$C:$FB,143)</f>
        <v>284.57</v>
      </c>
      <c r="E11" s="50">
        <f>VLOOKUP($A11,'Data Vlaue (Cr)'!$C:$FB,144)</f>
        <v>803.36</v>
      </c>
      <c r="F11" s="50">
        <f>VLOOKUP($A11,'Data Vlaue (Cr)'!$C:$FB,146)*100</f>
        <v>-64.58</v>
      </c>
      <c r="G11" s="49">
        <f>VLOOKUP($A11,'Data Vlaue (Cr)'!$C:$FB,43)</f>
        <v>103</v>
      </c>
      <c r="H11" s="49">
        <f>VLOOKUP($A11,'Data Vlaue (Cr)'!$C:$FB,44)</f>
        <v>179</v>
      </c>
      <c r="I11" s="49">
        <f>VLOOKUP($A11,'Data Vlaue (Cr)'!$C:$FB,46)*100</f>
        <v>-42.53</v>
      </c>
      <c r="J11" s="51">
        <f>VLOOKUP($A11,'Data Vlaue (Cr)'!$C:$FB,59)</f>
        <v>109</v>
      </c>
      <c r="K11" s="51">
        <f>VLOOKUP($A11,'Data Vlaue (Cr)'!$C:$FB,60)</f>
        <v>380</v>
      </c>
      <c r="L11" s="51">
        <f>VLOOKUP($A11,'Data Vlaue (Cr)'!$C:$FB,62)*100</f>
        <v>-71.2</v>
      </c>
      <c r="M11" s="51">
        <f>VLOOKUP($A11,'Data Vlaue (Cr)'!$C:$FB,63)</f>
        <v>68</v>
      </c>
      <c r="N11" s="51">
        <f>VLOOKUP($A11,'Data Vlaue (Cr)'!$C:$FB,64)</f>
        <v>235</v>
      </c>
      <c r="O11" s="51">
        <f>VLOOKUP($A11,'Data Vlaue (Cr)'!$C:$FB,66)*100</f>
        <v>-71.150000000000006</v>
      </c>
    </row>
    <row r="12" spans="1:15" x14ac:dyDescent="0.25">
      <c r="A12" s="101" t="str">
        <f>'Data Vlaue (Cr)'!C7</f>
        <v>ADANIENT</v>
      </c>
      <c r="B12" s="50">
        <f>VLOOKUP($A12,'Data Vlaue (Cr)'!$C:$FB,8)</f>
        <v>2387.1</v>
      </c>
      <c r="C12" s="50">
        <f>VLOOKUP($A12,'Data Vlaue (Cr)'!$C:$FB,11)*100</f>
        <v>-0.05</v>
      </c>
      <c r="D12" s="50">
        <f>VLOOKUP($A12,'Data Vlaue (Cr)'!$C:$FB,143)</f>
        <v>4437.32</v>
      </c>
      <c r="E12" s="50">
        <f>VLOOKUP($A12,'Data Vlaue (Cr)'!$C:$FB,144)</f>
        <v>6099.25</v>
      </c>
      <c r="F12" s="50">
        <f>VLOOKUP($A12,'Data Vlaue (Cr)'!$C:$FB,146)*100</f>
        <v>-27.250000000000004</v>
      </c>
      <c r="G12" s="49">
        <f>VLOOKUP($A12,'Data Vlaue (Cr)'!$C:$FB,43)</f>
        <v>575</v>
      </c>
      <c r="H12" s="49">
        <f>VLOOKUP($A12,'Data Vlaue (Cr)'!$C:$FB,44)</f>
        <v>714</v>
      </c>
      <c r="I12" s="49">
        <f>VLOOKUP($A12,'Data Vlaue (Cr)'!$C:$FB,46)*100</f>
        <v>-19.470000000000002</v>
      </c>
      <c r="J12" s="51">
        <f>VLOOKUP($A12,'Data Vlaue (Cr)'!$C:$FB,59)</f>
        <v>2495</v>
      </c>
      <c r="K12" s="51">
        <f>VLOOKUP($A12,'Data Vlaue (Cr)'!$C:$FB,60)</f>
        <v>3494</v>
      </c>
      <c r="L12" s="51">
        <f>VLOOKUP($A12,'Data Vlaue (Cr)'!$C:$FB,62)*100</f>
        <v>-28.599999999999998</v>
      </c>
      <c r="M12" s="51">
        <f>VLOOKUP($A12,'Data Vlaue (Cr)'!$C:$FB,63)</f>
        <v>1305</v>
      </c>
      <c r="N12" s="51">
        <f>VLOOKUP($A12,'Data Vlaue (Cr)'!$C:$FB,64)</f>
        <v>1866</v>
      </c>
      <c r="O12" s="51">
        <f>VLOOKUP($A12,'Data Vlaue (Cr)'!$C:$FB,66)*100</f>
        <v>-30.06</v>
      </c>
    </row>
    <row r="13" spans="1:15" x14ac:dyDescent="0.25">
      <c r="A13" s="101" t="str">
        <f>'Data Vlaue (Cr)'!C8</f>
        <v>ADANIGREEN</v>
      </c>
      <c r="B13" s="50">
        <f>VLOOKUP($A13,'Data Vlaue (Cr)'!$C:$FB,8)</f>
        <v>975.95</v>
      </c>
      <c r="C13" s="50">
        <f>VLOOKUP($A13,'Data Vlaue (Cr)'!$C:$FB,11)*100</f>
        <v>0.26</v>
      </c>
      <c r="D13" s="50">
        <f>VLOOKUP($A13,'Data Vlaue (Cr)'!$C:$FB,143)</f>
        <v>1231.8499999999999</v>
      </c>
      <c r="E13" s="50">
        <f>VLOOKUP($A13,'Data Vlaue (Cr)'!$C:$FB,144)</f>
        <v>1849.83</v>
      </c>
      <c r="F13" s="50">
        <f>VLOOKUP($A13,'Data Vlaue (Cr)'!$C:$FB,146)*100</f>
        <v>-33.410000000000004</v>
      </c>
      <c r="G13" s="49">
        <f>VLOOKUP($A13,'Data Vlaue (Cr)'!$C:$FB,43)</f>
        <v>195</v>
      </c>
      <c r="H13" s="49">
        <f>VLOOKUP($A13,'Data Vlaue (Cr)'!$C:$FB,44)</f>
        <v>318</v>
      </c>
      <c r="I13" s="49">
        <f>VLOOKUP($A13,'Data Vlaue (Cr)'!$C:$FB,46)*100</f>
        <v>-38.590000000000003</v>
      </c>
      <c r="J13" s="51">
        <f>VLOOKUP($A13,'Data Vlaue (Cr)'!$C:$FB,59)</f>
        <v>660</v>
      </c>
      <c r="K13" s="51">
        <f>VLOOKUP($A13,'Data Vlaue (Cr)'!$C:$FB,60)</f>
        <v>1080</v>
      </c>
      <c r="L13" s="51">
        <f>VLOOKUP($A13,'Data Vlaue (Cr)'!$C:$FB,62)*100</f>
        <v>-38.89</v>
      </c>
      <c r="M13" s="51">
        <f>VLOOKUP($A13,'Data Vlaue (Cr)'!$C:$FB,63)</f>
        <v>351</v>
      </c>
      <c r="N13" s="51">
        <f>VLOOKUP($A13,'Data Vlaue (Cr)'!$C:$FB,64)</f>
        <v>445</v>
      </c>
      <c r="O13" s="51">
        <f>VLOOKUP($A13,'Data Vlaue (Cr)'!$C:$FB,66)*100</f>
        <v>-21.09</v>
      </c>
    </row>
    <row r="14" spans="1:15" x14ac:dyDescent="0.25">
      <c r="A14" s="101" t="str">
        <f>'Data Vlaue (Cr)'!C9</f>
        <v>ADANIPORTS</v>
      </c>
      <c r="B14" s="50">
        <f>VLOOKUP($A14,'Data Vlaue (Cr)'!$C:$FB,8)</f>
        <v>1370.6</v>
      </c>
      <c r="C14" s="50">
        <f>VLOOKUP($A14,'Data Vlaue (Cr)'!$C:$FB,11)*100</f>
        <v>0.09</v>
      </c>
      <c r="D14" s="50">
        <f>VLOOKUP($A14,'Data Vlaue (Cr)'!$C:$FB,143)</f>
        <v>2937.14</v>
      </c>
      <c r="E14" s="50">
        <f>VLOOKUP($A14,'Data Vlaue (Cr)'!$C:$FB,144)</f>
        <v>7269.39</v>
      </c>
      <c r="F14" s="50">
        <f>VLOOKUP($A14,'Data Vlaue (Cr)'!$C:$FB,146)*100</f>
        <v>-59.599999999999994</v>
      </c>
      <c r="G14" s="49">
        <f>VLOOKUP($A14,'Data Vlaue (Cr)'!$C:$FB,43)</f>
        <v>368</v>
      </c>
      <c r="H14" s="49">
        <f>VLOOKUP($A14,'Data Vlaue (Cr)'!$C:$FB,44)</f>
        <v>794</v>
      </c>
      <c r="I14" s="49">
        <f>VLOOKUP($A14,'Data Vlaue (Cr)'!$C:$FB,46)*100</f>
        <v>-53.669999999999995</v>
      </c>
      <c r="J14" s="51">
        <f>VLOOKUP($A14,'Data Vlaue (Cr)'!$C:$FB,59)</f>
        <v>1634</v>
      </c>
      <c r="K14" s="51">
        <f>VLOOKUP($A14,'Data Vlaue (Cr)'!$C:$FB,60)</f>
        <v>4667</v>
      </c>
      <c r="L14" s="51">
        <f>VLOOKUP($A14,'Data Vlaue (Cr)'!$C:$FB,62)*100</f>
        <v>-64.98</v>
      </c>
      <c r="M14" s="51">
        <f>VLOOKUP($A14,'Data Vlaue (Cr)'!$C:$FB,63)</f>
        <v>899</v>
      </c>
      <c r="N14" s="51">
        <f>VLOOKUP($A14,'Data Vlaue (Cr)'!$C:$FB,64)</f>
        <v>1776</v>
      </c>
      <c r="O14" s="51">
        <f>VLOOKUP($A14,'Data Vlaue (Cr)'!$C:$FB,66)*100</f>
        <v>-49.39</v>
      </c>
    </row>
    <row r="15" spans="1:15" x14ac:dyDescent="0.25">
      <c r="A15" s="101" t="str">
        <f>'Data Vlaue (Cr)'!C10</f>
        <v>ALKEM</v>
      </c>
      <c r="B15" s="50">
        <f>VLOOKUP($A15,'Data Vlaue (Cr)'!$C:$FB,8)</f>
        <v>5393</v>
      </c>
      <c r="C15" s="50">
        <f>VLOOKUP($A15,'Data Vlaue (Cr)'!$C:$FB,11)*100</f>
        <v>0.02</v>
      </c>
      <c r="D15" s="50">
        <f>VLOOKUP($A15,'Data Vlaue (Cr)'!$C:$FB,143)</f>
        <v>884.98</v>
      </c>
      <c r="E15" s="50">
        <f>VLOOKUP($A15,'Data Vlaue (Cr)'!$C:$FB,144)</f>
        <v>968.92</v>
      </c>
      <c r="F15" s="50">
        <f>VLOOKUP($A15,'Data Vlaue (Cr)'!$C:$FB,146)*100</f>
        <v>-8.66</v>
      </c>
      <c r="G15" s="49">
        <f>VLOOKUP($A15,'Data Vlaue (Cr)'!$C:$FB,43)</f>
        <v>117</v>
      </c>
      <c r="H15" s="49">
        <f>VLOOKUP($A15,'Data Vlaue (Cr)'!$C:$FB,44)</f>
        <v>112</v>
      </c>
      <c r="I15" s="49">
        <f>VLOOKUP($A15,'Data Vlaue (Cr)'!$C:$FB,46)*100</f>
        <v>4.21</v>
      </c>
      <c r="J15" s="51">
        <f>VLOOKUP($A15,'Data Vlaue (Cr)'!$C:$FB,59)</f>
        <v>586</v>
      </c>
      <c r="K15" s="51">
        <f>VLOOKUP($A15,'Data Vlaue (Cr)'!$C:$FB,60)</f>
        <v>600</v>
      </c>
      <c r="L15" s="51">
        <f>VLOOKUP($A15,'Data Vlaue (Cr)'!$C:$FB,62)*100</f>
        <v>-2.4699999999999998</v>
      </c>
      <c r="M15" s="51">
        <f>VLOOKUP($A15,'Data Vlaue (Cr)'!$C:$FB,63)</f>
        <v>173</v>
      </c>
      <c r="N15" s="51">
        <f>VLOOKUP($A15,'Data Vlaue (Cr)'!$C:$FB,64)</f>
        <v>247</v>
      </c>
      <c r="O15" s="51">
        <f>VLOOKUP($A15,'Data Vlaue (Cr)'!$C:$FB,66)*100</f>
        <v>-30.11</v>
      </c>
    </row>
    <row r="16" spans="1:15" x14ac:dyDescent="0.25">
      <c r="A16" s="101" t="str">
        <f>'Data Vlaue (Cr)'!C11</f>
        <v>AMBER</v>
      </c>
      <c r="B16" s="50">
        <f>VLOOKUP($A16,'Data Vlaue (Cr)'!$C:$FB,8)</f>
        <v>7362</v>
      </c>
      <c r="C16" s="50">
        <f>VLOOKUP($A16,'Data Vlaue (Cr)'!$C:$FB,11)*100</f>
        <v>-0.09</v>
      </c>
      <c r="D16" s="50">
        <f>VLOOKUP($A16,'Data Vlaue (Cr)'!$C:$FB,143)</f>
        <v>1608.58</v>
      </c>
      <c r="E16" s="50">
        <f>VLOOKUP($A16,'Data Vlaue (Cr)'!$C:$FB,144)</f>
        <v>1412.4</v>
      </c>
      <c r="F16" s="50">
        <f>VLOOKUP($A16,'Data Vlaue (Cr)'!$C:$FB,146)*100</f>
        <v>13.889999999999999</v>
      </c>
      <c r="G16" s="49">
        <f>VLOOKUP($A16,'Data Vlaue (Cr)'!$C:$FB,43)</f>
        <v>209</v>
      </c>
      <c r="H16" s="49">
        <f>VLOOKUP($A16,'Data Vlaue (Cr)'!$C:$FB,44)</f>
        <v>164</v>
      </c>
      <c r="I16" s="49">
        <f>VLOOKUP($A16,'Data Vlaue (Cr)'!$C:$FB,46)*100</f>
        <v>27.92</v>
      </c>
      <c r="J16" s="51">
        <f>VLOOKUP($A16,'Data Vlaue (Cr)'!$C:$FB,59)</f>
        <v>862</v>
      </c>
      <c r="K16" s="51">
        <f>VLOOKUP($A16,'Data Vlaue (Cr)'!$C:$FB,60)</f>
        <v>666</v>
      </c>
      <c r="L16" s="51">
        <f>VLOOKUP($A16,'Data Vlaue (Cr)'!$C:$FB,62)*100</f>
        <v>29.4</v>
      </c>
      <c r="M16" s="51">
        <f>VLOOKUP($A16,'Data Vlaue (Cr)'!$C:$FB,63)</f>
        <v>504</v>
      </c>
      <c r="N16" s="51">
        <f>VLOOKUP($A16,'Data Vlaue (Cr)'!$C:$FB,64)</f>
        <v>552</v>
      </c>
      <c r="O16" s="51">
        <f>VLOOKUP($A16,'Data Vlaue (Cr)'!$C:$FB,66)*100</f>
        <v>-8.5500000000000007</v>
      </c>
    </row>
    <row r="17" spans="1:15" x14ac:dyDescent="0.25">
      <c r="A17" s="101" t="str">
        <f>'Data Vlaue (Cr)'!C12</f>
        <v>AMBUJACEM</v>
      </c>
      <c r="B17" s="50">
        <f>VLOOKUP($A17,'Data Vlaue (Cr)'!$C:$FB,8)</f>
        <v>591.9</v>
      </c>
      <c r="C17" s="50">
        <f>VLOOKUP($A17,'Data Vlaue (Cr)'!$C:$FB,11)*100</f>
        <v>-0.08</v>
      </c>
      <c r="D17" s="50">
        <f>VLOOKUP($A17,'Data Vlaue (Cr)'!$C:$FB,143)</f>
        <v>755.45</v>
      </c>
      <c r="E17" s="50">
        <f>VLOOKUP($A17,'Data Vlaue (Cr)'!$C:$FB,144)</f>
        <v>896.04</v>
      </c>
      <c r="F17" s="50">
        <f>VLOOKUP($A17,'Data Vlaue (Cr)'!$C:$FB,146)*100</f>
        <v>-15.690000000000001</v>
      </c>
      <c r="G17" s="49">
        <f>VLOOKUP($A17,'Data Vlaue (Cr)'!$C:$FB,43)</f>
        <v>243</v>
      </c>
      <c r="H17" s="49">
        <f>VLOOKUP($A17,'Data Vlaue (Cr)'!$C:$FB,44)</f>
        <v>165</v>
      </c>
      <c r="I17" s="49">
        <f>VLOOKUP($A17,'Data Vlaue (Cr)'!$C:$FB,46)*100</f>
        <v>47.089999999999996</v>
      </c>
      <c r="J17" s="51">
        <f>VLOOKUP($A17,'Data Vlaue (Cr)'!$C:$FB,59)</f>
        <v>355</v>
      </c>
      <c r="K17" s="51">
        <f>VLOOKUP($A17,'Data Vlaue (Cr)'!$C:$FB,60)</f>
        <v>516</v>
      </c>
      <c r="L17" s="51">
        <f>VLOOKUP($A17,'Data Vlaue (Cr)'!$C:$FB,62)*100</f>
        <v>-31.080000000000002</v>
      </c>
      <c r="M17" s="51">
        <f>VLOOKUP($A17,'Data Vlaue (Cr)'!$C:$FB,63)</f>
        <v>145</v>
      </c>
      <c r="N17" s="51">
        <f>VLOOKUP($A17,'Data Vlaue (Cr)'!$C:$FB,64)</f>
        <v>193</v>
      </c>
      <c r="O17" s="51">
        <f>VLOOKUP($A17,'Data Vlaue (Cr)'!$C:$FB,66)*100</f>
        <v>-24.81</v>
      </c>
    </row>
    <row r="18" spans="1:15" x14ac:dyDescent="0.25">
      <c r="A18" s="101" t="str">
        <f>'Data Vlaue (Cr)'!C13</f>
        <v>ANGELONE</v>
      </c>
      <c r="B18" s="50">
        <f>VLOOKUP($A18,'Data Vlaue (Cr)'!$C:$FB,8)</f>
        <v>2720.8</v>
      </c>
      <c r="C18" s="50">
        <f>VLOOKUP($A18,'Data Vlaue (Cr)'!$C:$FB,11)*100</f>
        <v>1.6099999999999999</v>
      </c>
      <c r="D18" s="50">
        <f>VLOOKUP($A18,'Data Vlaue (Cr)'!$C:$FB,143)</f>
        <v>1542.33</v>
      </c>
      <c r="E18" s="50">
        <f>VLOOKUP($A18,'Data Vlaue (Cr)'!$C:$FB,144)</f>
        <v>1148.8</v>
      </c>
      <c r="F18" s="50">
        <f>VLOOKUP($A18,'Data Vlaue (Cr)'!$C:$FB,146)*100</f>
        <v>34.260000000000005</v>
      </c>
      <c r="G18" s="49">
        <f>VLOOKUP($A18,'Data Vlaue (Cr)'!$C:$FB,43)</f>
        <v>201</v>
      </c>
      <c r="H18" s="49">
        <f>VLOOKUP($A18,'Data Vlaue (Cr)'!$C:$FB,44)</f>
        <v>165</v>
      </c>
      <c r="I18" s="49">
        <f>VLOOKUP($A18,'Data Vlaue (Cr)'!$C:$FB,46)*100</f>
        <v>21.89</v>
      </c>
      <c r="J18" s="51">
        <f>VLOOKUP($A18,'Data Vlaue (Cr)'!$C:$FB,59)</f>
        <v>856</v>
      </c>
      <c r="K18" s="51">
        <f>VLOOKUP($A18,'Data Vlaue (Cr)'!$C:$FB,60)</f>
        <v>608</v>
      </c>
      <c r="L18" s="51">
        <f>VLOOKUP($A18,'Data Vlaue (Cr)'!$C:$FB,62)*100</f>
        <v>40.83</v>
      </c>
      <c r="M18" s="51">
        <f>VLOOKUP($A18,'Data Vlaue (Cr)'!$C:$FB,63)</f>
        <v>479</v>
      </c>
      <c r="N18" s="51">
        <f>VLOOKUP($A18,'Data Vlaue (Cr)'!$C:$FB,64)</f>
        <v>376</v>
      </c>
      <c r="O18" s="51">
        <f>VLOOKUP($A18,'Data Vlaue (Cr)'!$C:$FB,66)*100</f>
        <v>27.35</v>
      </c>
    </row>
    <row r="19" spans="1:15" x14ac:dyDescent="0.25">
      <c r="A19" s="101" t="str">
        <f>'Data Vlaue (Cr)'!C14</f>
        <v>APLAPOLLO</v>
      </c>
      <c r="B19" s="50">
        <f>VLOOKUP($A19,'Data Vlaue (Cr)'!$C:$FB,8)</f>
        <v>1628.3</v>
      </c>
      <c r="C19" s="50">
        <f>VLOOKUP($A19,'Data Vlaue (Cr)'!$C:$FB,11)*100</f>
        <v>0.12</v>
      </c>
      <c r="D19" s="50">
        <f>VLOOKUP($A19,'Data Vlaue (Cr)'!$C:$FB,143)</f>
        <v>657.79</v>
      </c>
      <c r="E19" s="50">
        <f>VLOOKUP($A19,'Data Vlaue (Cr)'!$C:$FB,144)</f>
        <v>392.13</v>
      </c>
      <c r="F19" s="50">
        <f>VLOOKUP($A19,'Data Vlaue (Cr)'!$C:$FB,146)*100</f>
        <v>67.75</v>
      </c>
      <c r="G19" s="49">
        <f>VLOOKUP($A19,'Data Vlaue (Cr)'!$C:$FB,43)</f>
        <v>144</v>
      </c>
      <c r="H19" s="49">
        <f>VLOOKUP($A19,'Data Vlaue (Cr)'!$C:$FB,44)</f>
        <v>98</v>
      </c>
      <c r="I19" s="49">
        <f>VLOOKUP($A19,'Data Vlaue (Cr)'!$C:$FB,46)*100</f>
        <v>46.44</v>
      </c>
      <c r="J19" s="51">
        <f>VLOOKUP($A19,'Data Vlaue (Cr)'!$C:$FB,59)</f>
        <v>372</v>
      </c>
      <c r="K19" s="51">
        <f>VLOOKUP($A19,'Data Vlaue (Cr)'!$C:$FB,60)</f>
        <v>213</v>
      </c>
      <c r="L19" s="51">
        <f>VLOOKUP($A19,'Data Vlaue (Cr)'!$C:$FB,62)*100</f>
        <v>74.91</v>
      </c>
      <c r="M19" s="51">
        <f>VLOOKUP($A19,'Data Vlaue (Cr)'!$C:$FB,63)</f>
        <v>134</v>
      </c>
      <c r="N19" s="51">
        <f>VLOOKUP($A19,'Data Vlaue (Cr)'!$C:$FB,64)</f>
        <v>80</v>
      </c>
      <c r="O19" s="51">
        <f>VLOOKUP($A19,'Data Vlaue (Cr)'!$C:$FB,66)*100</f>
        <v>68.210000000000008</v>
      </c>
    </row>
    <row r="20" spans="1:15" x14ac:dyDescent="0.25">
      <c r="A20" s="101" t="str">
        <f>'Data Vlaue (Cr)'!C15</f>
        <v>APOLLOHOSP</v>
      </c>
      <c r="B20" s="50">
        <f>VLOOKUP($A20,'Data Vlaue (Cr)'!$C:$FB,8)</f>
        <v>7883</v>
      </c>
      <c r="C20" s="50">
        <f>VLOOKUP($A20,'Data Vlaue (Cr)'!$C:$FB,11)*100</f>
        <v>0.76</v>
      </c>
      <c r="D20" s="50">
        <f>VLOOKUP($A20,'Data Vlaue (Cr)'!$C:$FB,143)</f>
        <v>5779.46</v>
      </c>
      <c r="E20" s="50">
        <f>VLOOKUP($A20,'Data Vlaue (Cr)'!$C:$FB,144)</f>
        <v>3272.63</v>
      </c>
      <c r="F20" s="50">
        <f>VLOOKUP($A20,'Data Vlaue (Cr)'!$C:$FB,146)*100</f>
        <v>76.599999999999994</v>
      </c>
      <c r="G20" s="49">
        <f>VLOOKUP($A20,'Data Vlaue (Cr)'!$C:$FB,43)</f>
        <v>449</v>
      </c>
      <c r="H20" s="49">
        <f>VLOOKUP($A20,'Data Vlaue (Cr)'!$C:$FB,44)</f>
        <v>266</v>
      </c>
      <c r="I20" s="49">
        <f>VLOOKUP($A20,'Data Vlaue (Cr)'!$C:$FB,46)*100</f>
        <v>68.820000000000007</v>
      </c>
      <c r="J20" s="51">
        <f>VLOOKUP($A20,'Data Vlaue (Cr)'!$C:$FB,59)</f>
        <v>3240</v>
      </c>
      <c r="K20" s="51">
        <f>VLOOKUP($A20,'Data Vlaue (Cr)'!$C:$FB,60)</f>
        <v>1563</v>
      </c>
      <c r="L20" s="51">
        <f>VLOOKUP($A20,'Data Vlaue (Cr)'!$C:$FB,62)*100</f>
        <v>107.33</v>
      </c>
      <c r="M20" s="51">
        <f>VLOOKUP($A20,'Data Vlaue (Cr)'!$C:$FB,63)</f>
        <v>2057</v>
      </c>
      <c r="N20" s="51">
        <f>VLOOKUP($A20,'Data Vlaue (Cr)'!$C:$FB,64)</f>
        <v>1454</v>
      </c>
      <c r="O20" s="51">
        <f>VLOOKUP($A20,'Data Vlaue (Cr)'!$C:$FB,66)*100</f>
        <v>41.43</v>
      </c>
    </row>
    <row r="21" spans="1:15" x14ac:dyDescent="0.25">
      <c r="A21" s="101" t="str">
        <f>'Data Vlaue (Cr)'!C16</f>
        <v>ASHOKLEY</v>
      </c>
      <c r="B21" s="50">
        <f>VLOOKUP($A21,'Data Vlaue (Cr)'!$C:$FB,8)</f>
        <v>133.1</v>
      </c>
      <c r="C21" s="50">
        <f>VLOOKUP($A21,'Data Vlaue (Cr)'!$C:$FB,11)*100</f>
        <v>-0.13999999999999999</v>
      </c>
      <c r="D21" s="50">
        <f>VLOOKUP($A21,'Data Vlaue (Cr)'!$C:$FB,143)</f>
        <v>2775.08</v>
      </c>
      <c r="E21" s="50">
        <f>VLOOKUP($A21,'Data Vlaue (Cr)'!$C:$FB,144)</f>
        <v>7777.96</v>
      </c>
      <c r="F21" s="50">
        <f>VLOOKUP($A21,'Data Vlaue (Cr)'!$C:$FB,146)*100</f>
        <v>-64.319999999999993</v>
      </c>
      <c r="G21" s="49">
        <f>VLOOKUP($A21,'Data Vlaue (Cr)'!$C:$FB,43)</f>
        <v>366</v>
      </c>
      <c r="H21" s="49">
        <f>VLOOKUP($A21,'Data Vlaue (Cr)'!$C:$FB,44)</f>
        <v>974</v>
      </c>
      <c r="I21" s="49">
        <f>VLOOKUP($A21,'Data Vlaue (Cr)'!$C:$FB,46)*100</f>
        <v>-62.45</v>
      </c>
      <c r="J21" s="51">
        <f>VLOOKUP($A21,'Data Vlaue (Cr)'!$C:$FB,59)</f>
        <v>1420</v>
      </c>
      <c r="K21" s="51">
        <f>VLOOKUP($A21,'Data Vlaue (Cr)'!$C:$FB,60)</f>
        <v>4280</v>
      </c>
      <c r="L21" s="51">
        <f>VLOOKUP($A21,'Data Vlaue (Cr)'!$C:$FB,62)*100</f>
        <v>-66.83</v>
      </c>
      <c r="M21" s="51">
        <f>VLOOKUP($A21,'Data Vlaue (Cr)'!$C:$FB,63)</f>
        <v>950</v>
      </c>
      <c r="N21" s="51">
        <f>VLOOKUP($A21,'Data Vlaue (Cr)'!$C:$FB,64)</f>
        <v>2495</v>
      </c>
      <c r="O21" s="51">
        <f>VLOOKUP($A21,'Data Vlaue (Cr)'!$C:$FB,66)*100</f>
        <v>-61.94</v>
      </c>
    </row>
    <row r="22" spans="1:15" x14ac:dyDescent="0.25">
      <c r="A22" s="101" t="str">
        <f>'Data Vlaue (Cr)'!C17</f>
        <v>ASIANPAINT</v>
      </c>
      <c r="B22" s="50">
        <f>VLOOKUP($A22,'Data Vlaue (Cr)'!$C:$FB,8)</f>
        <v>2570.1</v>
      </c>
      <c r="C22" s="50">
        <f>VLOOKUP($A22,'Data Vlaue (Cr)'!$C:$FB,11)*100</f>
        <v>-0.36</v>
      </c>
      <c r="D22" s="50">
        <f>VLOOKUP($A22,'Data Vlaue (Cr)'!$C:$FB,143)</f>
        <v>1948.94</v>
      </c>
      <c r="E22" s="50">
        <f>VLOOKUP($A22,'Data Vlaue (Cr)'!$C:$FB,144)</f>
        <v>3490.73</v>
      </c>
      <c r="F22" s="50">
        <f>VLOOKUP($A22,'Data Vlaue (Cr)'!$C:$FB,146)*100</f>
        <v>-44.17</v>
      </c>
      <c r="G22" s="49">
        <f>VLOOKUP($A22,'Data Vlaue (Cr)'!$C:$FB,43)</f>
        <v>355</v>
      </c>
      <c r="H22" s="49">
        <f>VLOOKUP($A22,'Data Vlaue (Cr)'!$C:$FB,44)</f>
        <v>480</v>
      </c>
      <c r="I22" s="49">
        <f>VLOOKUP($A22,'Data Vlaue (Cr)'!$C:$FB,46)*100</f>
        <v>-26.090000000000003</v>
      </c>
      <c r="J22" s="51">
        <f>VLOOKUP($A22,'Data Vlaue (Cr)'!$C:$FB,59)</f>
        <v>988</v>
      </c>
      <c r="K22" s="51">
        <f>VLOOKUP($A22,'Data Vlaue (Cr)'!$C:$FB,60)</f>
        <v>1949</v>
      </c>
      <c r="L22" s="51">
        <f>VLOOKUP($A22,'Data Vlaue (Cr)'!$C:$FB,62)*100</f>
        <v>-49.309999999999995</v>
      </c>
      <c r="M22" s="51">
        <f>VLOOKUP($A22,'Data Vlaue (Cr)'!$C:$FB,63)</f>
        <v>589</v>
      </c>
      <c r="N22" s="51">
        <f>VLOOKUP($A22,'Data Vlaue (Cr)'!$C:$FB,64)</f>
        <v>1012</v>
      </c>
      <c r="O22" s="51">
        <f>VLOOKUP($A22,'Data Vlaue (Cr)'!$C:$FB,66)*100</f>
        <v>-41.85</v>
      </c>
    </row>
    <row r="23" spans="1:15" x14ac:dyDescent="0.25">
      <c r="A23" s="101" t="str">
        <f>'Data Vlaue (Cr)'!C18</f>
        <v>ASTRAL</v>
      </c>
      <c r="B23" s="50">
        <f>VLOOKUP($A23,'Data Vlaue (Cr)'!$C:$FB,8)</f>
        <v>1393.8</v>
      </c>
      <c r="C23" s="50">
        <f>VLOOKUP($A23,'Data Vlaue (Cr)'!$C:$FB,11)*100</f>
        <v>2.0299999999999998</v>
      </c>
      <c r="D23" s="50">
        <f>VLOOKUP($A23,'Data Vlaue (Cr)'!$C:$FB,143)</f>
        <v>2970.52</v>
      </c>
      <c r="E23" s="50">
        <f>VLOOKUP($A23,'Data Vlaue (Cr)'!$C:$FB,144)</f>
        <v>2817.08</v>
      </c>
      <c r="F23" s="50">
        <f>VLOOKUP($A23,'Data Vlaue (Cr)'!$C:$FB,146)*100</f>
        <v>5.45</v>
      </c>
      <c r="G23" s="49">
        <f>VLOOKUP($A23,'Data Vlaue (Cr)'!$C:$FB,43)</f>
        <v>336</v>
      </c>
      <c r="H23" s="49">
        <f>VLOOKUP($A23,'Data Vlaue (Cr)'!$C:$FB,44)</f>
        <v>453</v>
      </c>
      <c r="I23" s="49">
        <f>VLOOKUP($A23,'Data Vlaue (Cr)'!$C:$FB,46)*100</f>
        <v>-25.85</v>
      </c>
      <c r="J23" s="51">
        <f>VLOOKUP($A23,'Data Vlaue (Cr)'!$C:$FB,59)</f>
        <v>1912</v>
      </c>
      <c r="K23" s="51">
        <f>VLOOKUP($A23,'Data Vlaue (Cr)'!$C:$FB,60)</f>
        <v>1626</v>
      </c>
      <c r="L23" s="51">
        <f>VLOOKUP($A23,'Data Vlaue (Cr)'!$C:$FB,62)*100</f>
        <v>17.560000000000002</v>
      </c>
      <c r="M23" s="51">
        <f>VLOOKUP($A23,'Data Vlaue (Cr)'!$C:$FB,63)</f>
        <v>704</v>
      </c>
      <c r="N23" s="51">
        <f>VLOOKUP($A23,'Data Vlaue (Cr)'!$C:$FB,64)</f>
        <v>785</v>
      </c>
      <c r="O23" s="51">
        <f>VLOOKUP($A23,'Data Vlaue (Cr)'!$C:$FB,66)*100</f>
        <v>-10.33</v>
      </c>
    </row>
    <row r="24" spans="1:15" x14ac:dyDescent="0.25">
      <c r="A24" s="101" t="str">
        <f>'Data Vlaue (Cr)'!C19</f>
        <v>ATGL</v>
      </c>
      <c r="B24" s="50">
        <f>VLOOKUP($A24,'Data Vlaue (Cr)'!$C:$FB,8)</f>
        <v>630.4</v>
      </c>
      <c r="C24" s="50">
        <f>VLOOKUP($A24,'Data Vlaue (Cr)'!$C:$FB,11)*100</f>
        <v>0.26</v>
      </c>
      <c r="D24" s="50">
        <f>VLOOKUP($A24,'Data Vlaue (Cr)'!$C:$FB,143)</f>
        <v>160.41</v>
      </c>
      <c r="E24" s="50">
        <f>VLOOKUP($A24,'Data Vlaue (Cr)'!$C:$FB,144)</f>
        <v>167.37</v>
      </c>
      <c r="F24" s="50">
        <f>VLOOKUP($A24,'Data Vlaue (Cr)'!$C:$FB,146)*100</f>
        <v>-4.16</v>
      </c>
      <c r="G24" s="49">
        <f>VLOOKUP($A24,'Data Vlaue (Cr)'!$C:$FB,43)</f>
        <v>44</v>
      </c>
      <c r="H24" s="49">
        <f>VLOOKUP($A24,'Data Vlaue (Cr)'!$C:$FB,44)</f>
        <v>35</v>
      </c>
      <c r="I24" s="49">
        <f>VLOOKUP($A24,'Data Vlaue (Cr)'!$C:$FB,46)*100</f>
        <v>24.72</v>
      </c>
      <c r="J24" s="51">
        <f>VLOOKUP($A24,'Data Vlaue (Cr)'!$C:$FB,59)</f>
        <v>86</v>
      </c>
      <c r="K24" s="51">
        <f>VLOOKUP($A24,'Data Vlaue (Cr)'!$C:$FB,60)</f>
        <v>102</v>
      </c>
      <c r="L24" s="51">
        <f>VLOOKUP($A24,'Data Vlaue (Cr)'!$C:$FB,62)*100</f>
        <v>-15.1</v>
      </c>
      <c r="M24" s="51">
        <f>VLOOKUP($A24,'Data Vlaue (Cr)'!$C:$FB,63)</f>
        <v>28</v>
      </c>
      <c r="N24" s="51">
        <f>VLOOKUP($A24,'Data Vlaue (Cr)'!$C:$FB,64)</f>
        <v>29</v>
      </c>
      <c r="O24" s="51">
        <f>VLOOKUP($A24,'Data Vlaue (Cr)'!$C:$FB,66)*100</f>
        <v>-1.92</v>
      </c>
    </row>
    <row r="25" spans="1:15" x14ac:dyDescent="0.25">
      <c r="A25" s="101" t="str">
        <f>'Data Vlaue (Cr)'!C20</f>
        <v>AUBANK</v>
      </c>
      <c r="B25" s="50">
        <f>VLOOKUP($A25,'Data Vlaue (Cr)'!$C:$FB,8)</f>
        <v>759.15</v>
      </c>
      <c r="C25" s="50">
        <f>VLOOKUP($A25,'Data Vlaue (Cr)'!$C:$FB,11)*100</f>
        <v>0.09</v>
      </c>
      <c r="D25" s="50">
        <f>VLOOKUP($A25,'Data Vlaue (Cr)'!$C:$FB,143)</f>
        <v>1375.36</v>
      </c>
      <c r="E25" s="50">
        <f>VLOOKUP($A25,'Data Vlaue (Cr)'!$C:$FB,144)</f>
        <v>1020.5</v>
      </c>
      <c r="F25" s="50">
        <f>VLOOKUP($A25,'Data Vlaue (Cr)'!$C:$FB,146)*100</f>
        <v>34.770000000000003</v>
      </c>
      <c r="G25" s="49">
        <f>VLOOKUP($A25,'Data Vlaue (Cr)'!$C:$FB,43)</f>
        <v>343</v>
      </c>
      <c r="H25" s="49">
        <f>VLOOKUP($A25,'Data Vlaue (Cr)'!$C:$FB,44)</f>
        <v>315</v>
      </c>
      <c r="I25" s="49">
        <f>VLOOKUP($A25,'Data Vlaue (Cr)'!$C:$FB,46)*100</f>
        <v>8.6199999999999992</v>
      </c>
      <c r="J25" s="51">
        <f>VLOOKUP($A25,'Data Vlaue (Cr)'!$C:$FB,59)</f>
        <v>676</v>
      </c>
      <c r="K25" s="51">
        <f>VLOOKUP($A25,'Data Vlaue (Cr)'!$C:$FB,60)</f>
        <v>460</v>
      </c>
      <c r="L25" s="51">
        <f>VLOOKUP($A25,'Data Vlaue (Cr)'!$C:$FB,62)*100</f>
        <v>46.97</v>
      </c>
      <c r="M25" s="51">
        <f>VLOOKUP($A25,'Data Vlaue (Cr)'!$C:$FB,63)</f>
        <v>344</v>
      </c>
      <c r="N25" s="51">
        <f>VLOOKUP($A25,'Data Vlaue (Cr)'!$C:$FB,64)</f>
        <v>229</v>
      </c>
      <c r="O25" s="51">
        <f>VLOOKUP($A25,'Data Vlaue (Cr)'!$C:$FB,66)*100</f>
        <v>50.580000000000005</v>
      </c>
    </row>
    <row r="26" spans="1:15" x14ac:dyDescent="0.25">
      <c r="A26" s="101" t="str">
        <f>'Data Vlaue (Cr)'!C21</f>
        <v>AUROPHARMA</v>
      </c>
      <c r="B26" s="50">
        <f>VLOOKUP($A26,'Data Vlaue (Cr)'!$C:$FB,8)</f>
        <v>1046.4000000000001</v>
      </c>
      <c r="C26" s="50">
        <f>VLOOKUP($A26,'Data Vlaue (Cr)'!$C:$FB,11)*100</f>
        <v>-3.9699999999999998</v>
      </c>
      <c r="D26" s="50">
        <f>VLOOKUP($A26,'Data Vlaue (Cr)'!$C:$FB,143)</f>
        <v>5552.5</v>
      </c>
      <c r="E26" s="50">
        <f>VLOOKUP($A26,'Data Vlaue (Cr)'!$C:$FB,144)</f>
        <v>792.13</v>
      </c>
      <c r="F26" s="50">
        <f>VLOOKUP($A26,'Data Vlaue (Cr)'!$C:$FB,146)*100</f>
        <v>600.96</v>
      </c>
      <c r="G26" s="49">
        <f>VLOOKUP($A26,'Data Vlaue (Cr)'!$C:$FB,43)</f>
        <v>926</v>
      </c>
      <c r="H26" s="49">
        <f>VLOOKUP($A26,'Data Vlaue (Cr)'!$C:$FB,44)</f>
        <v>144</v>
      </c>
      <c r="I26" s="49">
        <f>VLOOKUP($A26,'Data Vlaue (Cr)'!$C:$FB,46)*100</f>
        <v>542.67000000000007</v>
      </c>
      <c r="J26" s="51">
        <f>VLOOKUP($A26,'Data Vlaue (Cr)'!$C:$FB,59)</f>
        <v>2762</v>
      </c>
      <c r="K26" s="51">
        <f>VLOOKUP($A26,'Data Vlaue (Cr)'!$C:$FB,60)</f>
        <v>334</v>
      </c>
      <c r="L26" s="51">
        <f>VLOOKUP($A26,'Data Vlaue (Cr)'!$C:$FB,62)*100</f>
        <v>726.93000000000006</v>
      </c>
      <c r="M26" s="51">
        <f>VLOOKUP($A26,'Data Vlaue (Cr)'!$C:$FB,63)</f>
        <v>1697</v>
      </c>
      <c r="N26" s="51">
        <f>VLOOKUP($A26,'Data Vlaue (Cr)'!$C:$FB,64)</f>
        <v>275</v>
      </c>
      <c r="O26" s="51">
        <f>VLOOKUP($A26,'Data Vlaue (Cr)'!$C:$FB,66)*100</f>
        <v>516.77</v>
      </c>
    </row>
    <row r="27" spans="1:15" x14ac:dyDescent="0.25">
      <c r="A27" s="101" t="str">
        <f>'Data Vlaue (Cr)'!C22</f>
        <v>AXISBANK</v>
      </c>
      <c r="B27" s="50">
        <f>VLOOKUP($A27,'Data Vlaue (Cr)'!$C:$FB,8)</f>
        <v>1080.2</v>
      </c>
      <c r="C27" s="50">
        <f>VLOOKUP($A27,'Data Vlaue (Cr)'!$C:$FB,11)*100</f>
        <v>-0.27999999999999997</v>
      </c>
      <c r="D27" s="50">
        <f>VLOOKUP($A27,'Data Vlaue (Cr)'!$C:$FB,143)</f>
        <v>3402.56</v>
      </c>
      <c r="E27" s="50">
        <f>VLOOKUP($A27,'Data Vlaue (Cr)'!$C:$FB,144)</f>
        <v>4791.99</v>
      </c>
      <c r="F27" s="50">
        <f>VLOOKUP($A27,'Data Vlaue (Cr)'!$C:$FB,146)*100</f>
        <v>-28.99</v>
      </c>
      <c r="G27" s="49">
        <f>VLOOKUP($A27,'Data Vlaue (Cr)'!$C:$FB,43)</f>
        <v>883</v>
      </c>
      <c r="H27" s="49">
        <f>VLOOKUP($A27,'Data Vlaue (Cr)'!$C:$FB,44)</f>
        <v>851</v>
      </c>
      <c r="I27" s="49">
        <f>VLOOKUP($A27,'Data Vlaue (Cr)'!$C:$FB,46)*100</f>
        <v>3.6900000000000004</v>
      </c>
      <c r="J27" s="51">
        <f>VLOOKUP($A27,'Data Vlaue (Cr)'!$C:$FB,59)</f>
        <v>1608</v>
      </c>
      <c r="K27" s="51">
        <f>VLOOKUP($A27,'Data Vlaue (Cr)'!$C:$FB,60)</f>
        <v>2519</v>
      </c>
      <c r="L27" s="51">
        <f>VLOOKUP($A27,'Data Vlaue (Cr)'!$C:$FB,62)*100</f>
        <v>-36.17</v>
      </c>
      <c r="M27" s="51">
        <f>VLOOKUP($A27,'Data Vlaue (Cr)'!$C:$FB,63)</f>
        <v>861</v>
      </c>
      <c r="N27" s="51">
        <f>VLOOKUP($A27,'Data Vlaue (Cr)'!$C:$FB,64)</f>
        <v>1342</v>
      </c>
      <c r="O27" s="51">
        <f>VLOOKUP($A27,'Data Vlaue (Cr)'!$C:$FB,66)*100</f>
        <v>-35.83</v>
      </c>
    </row>
    <row r="28" spans="1:15" x14ac:dyDescent="0.25">
      <c r="A28" s="101" t="str">
        <f>'Data Vlaue (Cr)'!C23</f>
        <v>BAJAJ-AUTO</v>
      </c>
      <c r="B28" s="50">
        <f>VLOOKUP($A28,'Data Vlaue (Cr)'!$C:$FB,8)</f>
        <v>8827.5</v>
      </c>
      <c r="C28" s="50">
        <f>VLOOKUP($A28,'Data Vlaue (Cr)'!$C:$FB,11)*100</f>
        <v>0.36</v>
      </c>
      <c r="D28" s="50">
        <f>VLOOKUP($A28,'Data Vlaue (Cr)'!$C:$FB,143)</f>
        <v>6479.4</v>
      </c>
      <c r="E28" s="50">
        <f>VLOOKUP($A28,'Data Vlaue (Cr)'!$C:$FB,144)</f>
        <v>23841.86</v>
      </c>
      <c r="F28" s="50">
        <f>VLOOKUP($A28,'Data Vlaue (Cr)'!$C:$FB,146)*100</f>
        <v>-72.819999999999993</v>
      </c>
      <c r="G28" s="49">
        <f>VLOOKUP($A28,'Data Vlaue (Cr)'!$C:$FB,43)</f>
        <v>567</v>
      </c>
      <c r="H28" s="49">
        <f>VLOOKUP($A28,'Data Vlaue (Cr)'!$C:$FB,44)</f>
        <v>1317</v>
      </c>
      <c r="I28" s="49">
        <f>VLOOKUP($A28,'Data Vlaue (Cr)'!$C:$FB,46)*100</f>
        <v>-56.98</v>
      </c>
      <c r="J28" s="51">
        <f>VLOOKUP($A28,'Data Vlaue (Cr)'!$C:$FB,59)</f>
        <v>3840</v>
      </c>
      <c r="K28" s="51">
        <f>VLOOKUP($A28,'Data Vlaue (Cr)'!$C:$FB,60)</f>
        <v>15796</v>
      </c>
      <c r="L28" s="51">
        <f>VLOOKUP($A28,'Data Vlaue (Cr)'!$C:$FB,62)*100</f>
        <v>-75.69</v>
      </c>
      <c r="M28" s="51">
        <f>VLOOKUP($A28,'Data Vlaue (Cr)'!$C:$FB,63)</f>
        <v>1990</v>
      </c>
      <c r="N28" s="51">
        <f>VLOOKUP($A28,'Data Vlaue (Cr)'!$C:$FB,64)</f>
        <v>6438</v>
      </c>
      <c r="O28" s="51">
        <f>VLOOKUP($A28,'Data Vlaue (Cr)'!$C:$FB,66)*100</f>
        <v>-69.089999999999989</v>
      </c>
    </row>
    <row r="29" spans="1:15" x14ac:dyDescent="0.25">
      <c r="A29" s="101" t="str">
        <f>'Data Vlaue (Cr)'!C24</f>
        <v>BAJAJFINSV</v>
      </c>
      <c r="B29" s="50">
        <f>VLOOKUP($A29,'Data Vlaue (Cr)'!$C:$FB,8)</f>
        <v>1958.5</v>
      </c>
      <c r="C29" s="50">
        <f>VLOOKUP($A29,'Data Vlaue (Cr)'!$C:$FB,11)*100</f>
        <v>-0.69</v>
      </c>
      <c r="D29" s="50">
        <f>VLOOKUP($A29,'Data Vlaue (Cr)'!$C:$FB,143)</f>
        <v>3222.57</v>
      </c>
      <c r="E29" s="50">
        <f>VLOOKUP($A29,'Data Vlaue (Cr)'!$C:$FB,144)</f>
        <v>3674.03</v>
      </c>
      <c r="F29" s="50">
        <f>VLOOKUP($A29,'Data Vlaue (Cr)'!$C:$FB,146)*100</f>
        <v>-12.29</v>
      </c>
      <c r="G29" s="49">
        <f>VLOOKUP($A29,'Data Vlaue (Cr)'!$C:$FB,43)</f>
        <v>421</v>
      </c>
      <c r="H29" s="49">
        <f>VLOOKUP($A29,'Data Vlaue (Cr)'!$C:$FB,44)</f>
        <v>427</v>
      </c>
      <c r="I29" s="49">
        <f>VLOOKUP($A29,'Data Vlaue (Cr)'!$C:$FB,46)*100</f>
        <v>-1.3299999999999998</v>
      </c>
      <c r="J29" s="51">
        <f>VLOOKUP($A29,'Data Vlaue (Cr)'!$C:$FB,59)</f>
        <v>1856</v>
      </c>
      <c r="K29" s="51">
        <f>VLOOKUP($A29,'Data Vlaue (Cr)'!$C:$FB,60)</f>
        <v>1937</v>
      </c>
      <c r="L29" s="51">
        <f>VLOOKUP($A29,'Data Vlaue (Cr)'!$C:$FB,62)*100</f>
        <v>-4.18</v>
      </c>
      <c r="M29" s="51">
        <f>VLOOKUP($A29,'Data Vlaue (Cr)'!$C:$FB,63)</f>
        <v>899</v>
      </c>
      <c r="N29" s="51">
        <f>VLOOKUP($A29,'Data Vlaue (Cr)'!$C:$FB,64)</f>
        <v>1228</v>
      </c>
      <c r="O29" s="51">
        <f>VLOOKUP($A29,'Data Vlaue (Cr)'!$C:$FB,66)*100</f>
        <v>-26.76</v>
      </c>
    </row>
    <row r="30" spans="1:15" x14ac:dyDescent="0.25">
      <c r="A30" s="101" t="str">
        <f>'Data Vlaue (Cr)'!C25</f>
        <v>BAJFINANCE</v>
      </c>
      <c r="B30" s="50">
        <f>VLOOKUP($A30,'Data Vlaue (Cr)'!$C:$FB,8)</f>
        <v>887.8</v>
      </c>
      <c r="C30" s="50">
        <f>VLOOKUP($A30,'Data Vlaue (Cr)'!$C:$FB,11)*100</f>
        <v>-1.6099999999999999</v>
      </c>
      <c r="D30" s="50">
        <f>VLOOKUP($A30,'Data Vlaue (Cr)'!$C:$FB,143)</f>
        <v>5627.58</v>
      </c>
      <c r="E30" s="50">
        <f>VLOOKUP($A30,'Data Vlaue (Cr)'!$C:$FB,144)</f>
        <v>6385.8</v>
      </c>
      <c r="F30" s="50">
        <f>VLOOKUP($A30,'Data Vlaue (Cr)'!$C:$FB,146)*100</f>
        <v>-11.87</v>
      </c>
      <c r="G30" s="49">
        <f>VLOOKUP($A30,'Data Vlaue (Cr)'!$C:$FB,43)</f>
        <v>1024</v>
      </c>
      <c r="H30" s="49">
        <f>VLOOKUP($A30,'Data Vlaue (Cr)'!$C:$FB,44)</f>
        <v>933</v>
      </c>
      <c r="I30" s="49">
        <f>VLOOKUP($A30,'Data Vlaue (Cr)'!$C:$FB,46)*100</f>
        <v>9.82</v>
      </c>
      <c r="J30" s="51">
        <f>VLOOKUP($A30,'Data Vlaue (Cr)'!$C:$FB,59)</f>
        <v>2886</v>
      </c>
      <c r="K30" s="51">
        <f>VLOOKUP($A30,'Data Vlaue (Cr)'!$C:$FB,60)</f>
        <v>3381</v>
      </c>
      <c r="L30" s="51">
        <f>VLOOKUP($A30,'Data Vlaue (Cr)'!$C:$FB,62)*100</f>
        <v>-14.649999999999999</v>
      </c>
      <c r="M30" s="51">
        <f>VLOOKUP($A30,'Data Vlaue (Cr)'!$C:$FB,63)</f>
        <v>1585</v>
      </c>
      <c r="N30" s="51">
        <f>VLOOKUP($A30,'Data Vlaue (Cr)'!$C:$FB,64)</f>
        <v>1873</v>
      </c>
      <c r="O30" s="51">
        <f>VLOOKUP($A30,'Data Vlaue (Cr)'!$C:$FB,66)*100</f>
        <v>-15.340000000000002</v>
      </c>
    </row>
    <row r="31" spans="1:15" x14ac:dyDescent="0.25">
      <c r="A31" s="101" t="str">
        <f>'Data Vlaue (Cr)'!C26</f>
        <v>BANDHANBNK</v>
      </c>
      <c r="B31" s="50">
        <f>VLOOKUP($A31,'Data Vlaue (Cr)'!$C:$FB,8)</f>
        <v>174.28</v>
      </c>
      <c r="C31" s="50">
        <f>VLOOKUP($A31,'Data Vlaue (Cr)'!$C:$FB,11)*100</f>
        <v>0.16</v>
      </c>
      <c r="D31" s="50">
        <f>VLOOKUP($A31,'Data Vlaue (Cr)'!$C:$FB,143)</f>
        <v>850.88</v>
      </c>
      <c r="E31" s="50">
        <f>VLOOKUP($A31,'Data Vlaue (Cr)'!$C:$FB,144)</f>
        <v>1728.41</v>
      </c>
      <c r="F31" s="50">
        <f>VLOOKUP($A31,'Data Vlaue (Cr)'!$C:$FB,146)*100</f>
        <v>-50.77</v>
      </c>
      <c r="G31" s="49">
        <f>VLOOKUP($A31,'Data Vlaue (Cr)'!$C:$FB,43)</f>
        <v>246</v>
      </c>
      <c r="H31" s="49">
        <f>VLOOKUP($A31,'Data Vlaue (Cr)'!$C:$FB,44)</f>
        <v>418</v>
      </c>
      <c r="I31" s="49">
        <f>VLOOKUP($A31,'Data Vlaue (Cr)'!$C:$FB,46)*100</f>
        <v>-41.14</v>
      </c>
      <c r="J31" s="51">
        <f>VLOOKUP($A31,'Data Vlaue (Cr)'!$C:$FB,59)</f>
        <v>346</v>
      </c>
      <c r="K31" s="51">
        <f>VLOOKUP($A31,'Data Vlaue (Cr)'!$C:$FB,60)</f>
        <v>806</v>
      </c>
      <c r="L31" s="51">
        <f>VLOOKUP($A31,'Data Vlaue (Cr)'!$C:$FB,62)*100</f>
        <v>-57.05</v>
      </c>
      <c r="M31" s="51">
        <f>VLOOKUP($A31,'Data Vlaue (Cr)'!$C:$FB,63)</f>
        <v>251</v>
      </c>
      <c r="N31" s="51">
        <f>VLOOKUP($A31,'Data Vlaue (Cr)'!$C:$FB,64)</f>
        <v>512</v>
      </c>
      <c r="O31" s="51">
        <f>VLOOKUP($A31,'Data Vlaue (Cr)'!$C:$FB,66)*100</f>
        <v>-50.870000000000005</v>
      </c>
    </row>
    <row r="32" spans="1:15" x14ac:dyDescent="0.25">
      <c r="A32" s="101" t="str">
        <f>'Data Vlaue (Cr)'!C27</f>
        <v>BANKBARODA</v>
      </c>
      <c r="B32" s="50">
        <f>VLOOKUP($A32,'Data Vlaue (Cr)'!$C:$FB,8)</f>
        <v>244.88</v>
      </c>
      <c r="C32" s="50">
        <f>VLOOKUP($A32,'Data Vlaue (Cr)'!$C:$FB,11)*100</f>
        <v>-0.88</v>
      </c>
      <c r="D32" s="50">
        <f>VLOOKUP($A32,'Data Vlaue (Cr)'!$C:$FB,143)</f>
        <v>2760.45</v>
      </c>
      <c r="E32" s="50">
        <f>VLOOKUP($A32,'Data Vlaue (Cr)'!$C:$FB,144)</f>
        <v>2510.42</v>
      </c>
      <c r="F32" s="50">
        <f>VLOOKUP($A32,'Data Vlaue (Cr)'!$C:$FB,146)*100</f>
        <v>9.9599999999999991</v>
      </c>
      <c r="G32" s="49">
        <f>VLOOKUP($A32,'Data Vlaue (Cr)'!$C:$FB,43)</f>
        <v>821</v>
      </c>
      <c r="H32" s="49">
        <f>VLOOKUP($A32,'Data Vlaue (Cr)'!$C:$FB,44)</f>
        <v>551</v>
      </c>
      <c r="I32" s="49">
        <f>VLOOKUP($A32,'Data Vlaue (Cr)'!$C:$FB,46)*100</f>
        <v>48.94</v>
      </c>
      <c r="J32" s="51">
        <f>VLOOKUP($A32,'Data Vlaue (Cr)'!$C:$FB,59)</f>
        <v>1177</v>
      </c>
      <c r="K32" s="51">
        <f>VLOOKUP($A32,'Data Vlaue (Cr)'!$C:$FB,60)</f>
        <v>1244</v>
      </c>
      <c r="L32" s="51">
        <f>VLOOKUP($A32,'Data Vlaue (Cr)'!$C:$FB,62)*100</f>
        <v>-5.36</v>
      </c>
      <c r="M32" s="51">
        <f>VLOOKUP($A32,'Data Vlaue (Cr)'!$C:$FB,63)</f>
        <v>715</v>
      </c>
      <c r="N32" s="51">
        <f>VLOOKUP($A32,'Data Vlaue (Cr)'!$C:$FB,64)</f>
        <v>688</v>
      </c>
      <c r="O32" s="51">
        <f>VLOOKUP($A32,'Data Vlaue (Cr)'!$C:$FB,66)*100</f>
        <v>3.81</v>
      </c>
    </row>
    <row r="33" spans="1:15" x14ac:dyDescent="0.25">
      <c r="A33" s="101" t="str">
        <f>'Data Vlaue (Cr)'!C28</f>
        <v>BANKINDIA</v>
      </c>
      <c r="B33" s="50">
        <f>VLOOKUP($A33,'Data Vlaue (Cr)'!$C:$FB,8)</f>
        <v>116.33</v>
      </c>
      <c r="C33" s="50">
        <f>VLOOKUP($A33,'Data Vlaue (Cr)'!$C:$FB,11)*100</f>
        <v>-0.13999999999999999</v>
      </c>
      <c r="D33" s="50">
        <f>VLOOKUP($A33,'Data Vlaue (Cr)'!$C:$FB,143)</f>
        <v>227.66</v>
      </c>
      <c r="E33" s="50">
        <f>VLOOKUP($A33,'Data Vlaue (Cr)'!$C:$FB,144)</f>
        <v>432.02</v>
      </c>
      <c r="F33" s="50">
        <f>VLOOKUP($A33,'Data Vlaue (Cr)'!$C:$FB,146)*100</f>
        <v>-47.3</v>
      </c>
      <c r="G33" s="49">
        <f>VLOOKUP($A33,'Data Vlaue (Cr)'!$C:$FB,43)</f>
        <v>85</v>
      </c>
      <c r="H33" s="49">
        <f>VLOOKUP($A33,'Data Vlaue (Cr)'!$C:$FB,44)</f>
        <v>127</v>
      </c>
      <c r="I33" s="49">
        <f>VLOOKUP($A33,'Data Vlaue (Cr)'!$C:$FB,46)*100</f>
        <v>-32.979999999999997</v>
      </c>
      <c r="J33" s="51">
        <f>VLOOKUP($A33,'Data Vlaue (Cr)'!$C:$FB,59)</f>
        <v>68</v>
      </c>
      <c r="K33" s="51">
        <f>VLOOKUP($A33,'Data Vlaue (Cr)'!$C:$FB,60)</f>
        <v>195</v>
      </c>
      <c r="L33" s="51">
        <f>VLOOKUP($A33,'Data Vlaue (Cr)'!$C:$FB,62)*100</f>
        <v>-64.849999999999994</v>
      </c>
      <c r="M33" s="51">
        <f>VLOOKUP($A33,'Data Vlaue (Cr)'!$C:$FB,63)</f>
        <v>73</v>
      </c>
      <c r="N33" s="51">
        <f>VLOOKUP($A33,'Data Vlaue (Cr)'!$C:$FB,64)</f>
        <v>109</v>
      </c>
      <c r="O33" s="51">
        <f>VLOOKUP($A33,'Data Vlaue (Cr)'!$C:$FB,66)*100</f>
        <v>-32.869999999999997</v>
      </c>
    </row>
    <row r="34" spans="1:15" x14ac:dyDescent="0.25">
      <c r="A34" s="101" t="str">
        <f>'Data Vlaue (Cr)'!C29</f>
        <v>BANKNIFTY</v>
      </c>
      <c r="B34" s="50">
        <f>VLOOKUP($A34,'Data Vlaue (Cr)'!$C:$FB,8)</f>
        <v>55698.5</v>
      </c>
      <c r="C34" s="50">
        <f>VLOOKUP($A34,'Data Vlaue (Cr)'!$C:$FB,11)*100</f>
        <v>-0.3</v>
      </c>
      <c r="D34" s="50">
        <f>VLOOKUP($A34,'Data Vlaue (Cr)'!$C:$FB,143)</f>
        <v>688463.65</v>
      </c>
      <c r="E34" s="50">
        <f>VLOOKUP($A34,'Data Vlaue (Cr)'!$C:$FB,144)</f>
        <v>658316.35</v>
      </c>
      <c r="F34" s="50">
        <f>VLOOKUP($A34,'Data Vlaue (Cr)'!$C:$FB,146)*100</f>
        <v>4.58</v>
      </c>
      <c r="G34" s="49">
        <f>VLOOKUP($A34,'Data Vlaue (Cr)'!$C:$FB,43)</f>
        <v>3747</v>
      </c>
      <c r="H34" s="49">
        <f>VLOOKUP($A34,'Data Vlaue (Cr)'!$C:$FB,44)</f>
        <v>4128</v>
      </c>
      <c r="I34" s="49">
        <f>VLOOKUP($A34,'Data Vlaue (Cr)'!$C:$FB,46)*100</f>
        <v>-9.24</v>
      </c>
      <c r="J34" s="51">
        <f>VLOOKUP($A34,'Data Vlaue (Cr)'!$C:$FB,59)</f>
        <v>358061</v>
      </c>
      <c r="K34" s="51">
        <f>VLOOKUP($A34,'Data Vlaue (Cr)'!$C:$FB,60)</f>
        <v>357895</v>
      </c>
      <c r="L34" s="51">
        <f>VLOOKUP($A34,'Data Vlaue (Cr)'!$C:$FB,62)*100</f>
        <v>0.05</v>
      </c>
      <c r="M34" s="51">
        <f>VLOOKUP($A34,'Data Vlaue (Cr)'!$C:$FB,63)</f>
        <v>323173</v>
      </c>
      <c r="N34" s="51">
        <f>VLOOKUP($A34,'Data Vlaue (Cr)'!$C:$FB,64)</f>
        <v>291804</v>
      </c>
      <c r="O34" s="51">
        <f>VLOOKUP($A34,'Data Vlaue (Cr)'!$C:$FB,66)*100</f>
        <v>10.75</v>
      </c>
    </row>
    <row r="35" spans="1:15" x14ac:dyDescent="0.25">
      <c r="A35" s="101" t="str">
        <f>'Data Vlaue (Cr)'!C30</f>
        <v>BDL</v>
      </c>
      <c r="B35" s="50">
        <f>VLOOKUP($A35,'Data Vlaue (Cr)'!$C:$FB,8)</f>
        <v>1529.5</v>
      </c>
      <c r="C35" s="50">
        <f>VLOOKUP($A35,'Data Vlaue (Cr)'!$C:$FB,11)*100</f>
        <v>-1.27</v>
      </c>
      <c r="D35" s="50">
        <f>VLOOKUP($A35,'Data Vlaue (Cr)'!$C:$FB,143)</f>
        <v>1226.32</v>
      </c>
      <c r="E35" s="50">
        <f>VLOOKUP($A35,'Data Vlaue (Cr)'!$C:$FB,144)</f>
        <v>1648.45</v>
      </c>
      <c r="F35" s="50">
        <f>VLOOKUP($A35,'Data Vlaue (Cr)'!$C:$FB,146)*100</f>
        <v>-25.61</v>
      </c>
      <c r="G35" s="49">
        <f>VLOOKUP($A35,'Data Vlaue (Cr)'!$C:$FB,43)</f>
        <v>201</v>
      </c>
      <c r="H35" s="49">
        <f>VLOOKUP($A35,'Data Vlaue (Cr)'!$C:$FB,44)</f>
        <v>269</v>
      </c>
      <c r="I35" s="49">
        <f>VLOOKUP($A35,'Data Vlaue (Cr)'!$C:$FB,46)*100</f>
        <v>-25.15</v>
      </c>
      <c r="J35" s="51">
        <f>VLOOKUP($A35,'Data Vlaue (Cr)'!$C:$FB,59)</f>
        <v>632</v>
      </c>
      <c r="K35" s="51">
        <f>VLOOKUP($A35,'Data Vlaue (Cr)'!$C:$FB,60)</f>
        <v>623</v>
      </c>
      <c r="L35" s="51">
        <f>VLOOKUP($A35,'Data Vlaue (Cr)'!$C:$FB,62)*100</f>
        <v>1.41</v>
      </c>
      <c r="M35" s="51">
        <f>VLOOKUP($A35,'Data Vlaue (Cr)'!$C:$FB,63)</f>
        <v>344</v>
      </c>
      <c r="N35" s="51">
        <f>VLOOKUP($A35,'Data Vlaue (Cr)'!$C:$FB,64)</f>
        <v>697</v>
      </c>
      <c r="O35" s="51">
        <f>VLOOKUP($A35,'Data Vlaue (Cr)'!$C:$FB,66)*100</f>
        <v>-50.639999999999993</v>
      </c>
    </row>
    <row r="36" spans="1:15" x14ac:dyDescent="0.25">
      <c r="A36" s="101" t="str">
        <f>'Data Vlaue (Cr)'!C31</f>
        <v>BEL</v>
      </c>
      <c r="B36" s="50">
        <f>VLOOKUP($A36,'Data Vlaue (Cr)'!$C:$FB,8)</f>
        <v>371.85</v>
      </c>
      <c r="C36" s="50">
        <f>VLOOKUP($A36,'Data Vlaue (Cr)'!$C:$FB,11)*100</f>
        <v>-2.16</v>
      </c>
      <c r="D36" s="50">
        <f>VLOOKUP($A36,'Data Vlaue (Cr)'!$C:$FB,143)</f>
        <v>10776.08</v>
      </c>
      <c r="E36" s="50">
        <f>VLOOKUP($A36,'Data Vlaue (Cr)'!$C:$FB,144)</f>
        <v>6175.67</v>
      </c>
      <c r="F36" s="50">
        <f>VLOOKUP($A36,'Data Vlaue (Cr)'!$C:$FB,146)*100</f>
        <v>74.489999999999995</v>
      </c>
      <c r="G36" s="49">
        <f>VLOOKUP($A36,'Data Vlaue (Cr)'!$C:$FB,43)</f>
        <v>1497</v>
      </c>
      <c r="H36" s="49">
        <f>VLOOKUP($A36,'Data Vlaue (Cr)'!$C:$FB,44)</f>
        <v>897</v>
      </c>
      <c r="I36" s="49">
        <f>VLOOKUP($A36,'Data Vlaue (Cr)'!$C:$FB,46)*100</f>
        <v>66.8</v>
      </c>
      <c r="J36" s="51">
        <f>VLOOKUP($A36,'Data Vlaue (Cr)'!$C:$FB,59)</f>
        <v>5830</v>
      </c>
      <c r="K36" s="51">
        <f>VLOOKUP($A36,'Data Vlaue (Cr)'!$C:$FB,60)</f>
        <v>3266</v>
      </c>
      <c r="L36" s="51">
        <f>VLOOKUP($A36,'Data Vlaue (Cr)'!$C:$FB,62)*100</f>
        <v>78.490000000000009</v>
      </c>
      <c r="M36" s="51">
        <f>VLOOKUP($A36,'Data Vlaue (Cr)'!$C:$FB,63)</f>
        <v>3043</v>
      </c>
      <c r="N36" s="51">
        <f>VLOOKUP($A36,'Data Vlaue (Cr)'!$C:$FB,64)</f>
        <v>1744</v>
      </c>
      <c r="O36" s="51">
        <f>VLOOKUP($A36,'Data Vlaue (Cr)'!$C:$FB,66)*100</f>
        <v>74.45</v>
      </c>
    </row>
    <row r="37" spans="1:15" x14ac:dyDescent="0.25">
      <c r="A37" s="101" t="str">
        <f>'Data Vlaue (Cr)'!C32</f>
        <v>BHARATFORG</v>
      </c>
      <c r="B37" s="50">
        <f>VLOOKUP($A37,'Data Vlaue (Cr)'!$C:$FB,8)</f>
        <v>1158.9000000000001</v>
      </c>
      <c r="C37" s="50">
        <f>VLOOKUP($A37,'Data Vlaue (Cr)'!$C:$FB,11)*100</f>
        <v>-2.4899999999999998</v>
      </c>
      <c r="D37" s="50">
        <f>VLOOKUP($A37,'Data Vlaue (Cr)'!$C:$FB,143)</f>
        <v>1136.95</v>
      </c>
      <c r="E37" s="50">
        <f>VLOOKUP($A37,'Data Vlaue (Cr)'!$C:$FB,144)</f>
        <v>698.23</v>
      </c>
      <c r="F37" s="50">
        <f>VLOOKUP($A37,'Data Vlaue (Cr)'!$C:$FB,146)*100</f>
        <v>62.83</v>
      </c>
      <c r="G37" s="49">
        <f>VLOOKUP($A37,'Data Vlaue (Cr)'!$C:$FB,43)</f>
        <v>333</v>
      </c>
      <c r="H37" s="49">
        <f>VLOOKUP($A37,'Data Vlaue (Cr)'!$C:$FB,44)</f>
        <v>171</v>
      </c>
      <c r="I37" s="49">
        <f>VLOOKUP($A37,'Data Vlaue (Cr)'!$C:$FB,46)*100</f>
        <v>95.07</v>
      </c>
      <c r="J37" s="51">
        <f>VLOOKUP($A37,'Data Vlaue (Cr)'!$C:$FB,59)</f>
        <v>477</v>
      </c>
      <c r="K37" s="51">
        <f>VLOOKUP($A37,'Data Vlaue (Cr)'!$C:$FB,60)</f>
        <v>337</v>
      </c>
      <c r="L37" s="51">
        <f>VLOOKUP($A37,'Data Vlaue (Cr)'!$C:$FB,62)*100</f>
        <v>41.27</v>
      </c>
      <c r="M37" s="51">
        <f>VLOOKUP($A37,'Data Vlaue (Cr)'!$C:$FB,63)</f>
        <v>299</v>
      </c>
      <c r="N37" s="51">
        <f>VLOOKUP($A37,'Data Vlaue (Cr)'!$C:$FB,64)</f>
        <v>162</v>
      </c>
      <c r="O37" s="51">
        <f>VLOOKUP($A37,'Data Vlaue (Cr)'!$C:$FB,66)*100</f>
        <v>83.919999999999987</v>
      </c>
    </row>
    <row r="38" spans="1:15" x14ac:dyDescent="0.25">
      <c r="A38" s="101" t="str">
        <f>'Data Vlaue (Cr)'!C33</f>
        <v>BHARTIARTL</v>
      </c>
      <c r="B38" s="50">
        <f>VLOOKUP($A38,'Data Vlaue (Cr)'!$C:$FB,8)</f>
        <v>1928.4</v>
      </c>
      <c r="C38" s="50">
        <f>VLOOKUP($A38,'Data Vlaue (Cr)'!$C:$FB,11)*100</f>
        <v>0.98</v>
      </c>
      <c r="D38" s="50">
        <f>VLOOKUP($A38,'Data Vlaue (Cr)'!$C:$FB,143)</f>
        <v>15142.96</v>
      </c>
      <c r="E38" s="50">
        <f>VLOOKUP($A38,'Data Vlaue (Cr)'!$C:$FB,144)</f>
        <v>15841.33</v>
      </c>
      <c r="F38" s="50">
        <f>VLOOKUP($A38,'Data Vlaue (Cr)'!$C:$FB,146)*100</f>
        <v>-4.41</v>
      </c>
      <c r="G38" s="49">
        <f>VLOOKUP($A38,'Data Vlaue (Cr)'!$C:$FB,43)</f>
        <v>1360</v>
      </c>
      <c r="H38" s="49">
        <f>VLOOKUP($A38,'Data Vlaue (Cr)'!$C:$FB,44)</f>
        <v>1120</v>
      </c>
      <c r="I38" s="49">
        <f>VLOOKUP($A38,'Data Vlaue (Cr)'!$C:$FB,46)*100</f>
        <v>21.43</v>
      </c>
      <c r="J38" s="51">
        <f>VLOOKUP($A38,'Data Vlaue (Cr)'!$C:$FB,59)</f>
        <v>9863</v>
      </c>
      <c r="K38" s="51">
        <f>VLOOKUP($A38,'Data Vlaue (Cr)'!$C:$FB,60)</f>
        <v>10476</v>
      </c>
      <c r="L38" s="51">
        <f>VLOOKUP($A38,'Data Vlaue (Cr)'!$C:$FB,62)*100</f>
        <v>-5.86</v>
      </c>
      <c r="M38" s="51">
        <f>VLOOKUP($A38,'Data Vlaue (Cr)'!$C:$FB,63)</f>
        <v>3699</v>
      </c>
      <c r="N38" s="51">
        <f>VLOOKUP($A38,'Data Vlaue (Cr)'!$C:$FB,64)</f>
        <v>4114</v>
      </c>
      <c r="O38" s="51">
        <f>VLOOKUP($A38,'Data Vlaue (Cr)'!$C:$FB,66)*100</f>
        <v>-10.09</v>
      </c>
    </row>
    <row r="39" spans="1:15" x14ac:dyDescent="0.25">
      <c r="A39" s="101" t="str">
        <f>'Data Vlaue (Cr)'!C34</f>
        <v>BHEL</v>
      </c>
      <c r="B39" s="50">
        <f>VLOOKUP($A39,'Data Vlaue (Cr)'!$C:$FB,8)</f>
        <v>220.67</v>
      </c>
      <c r="C39" s="50">
        <f>VLOOKUP($A39,'Data Vlaue (Cr)'!$C:$FB,11)*100</f>
        <v>0.44</v>
      </c>
      <c r="D39" s="50">
        <f>VLOOKUP($A39,'Data Vlaue (Cr)'!$C:$FB,143)</f>
        <v>1011.06</v>
      </c>
      <c r="E39" s="50">
        <f>VLOOKUP($A39,'Data Vlaue (Cr)'!$C:$FB,144)</f>
        <v>1457.18</v>
      </c>
      <c r="F39" s="50">
        <f>VLOOKUP($A39,'Data Vlaue (Cr)'!$C:$FB,146)*100</f>
        <v>-30.61</v>
      </c>
      <c r="G39" s="49">
        <f>VLOOKUP($A39,'Data Vlaue (Cr)'!$C:$FB,43)</f>
        <v>189</v>
      </c>
      <c r="H39" s="49">
        <f>VLOOKUP($A39,'Data Vlaue (Cr)'!$C:$FB,44)</f>
        <v>285</v>
      </c>
      <c r="I39" s="49">
        <f>VLOOKUP($A39,'Data Vlaue (Cr)'!$C:$FB,46)*100</f>
        <v>-33.729999999999997</v>
      </c>
      <c r="J39" s="51">
        <f>VLOOKUP($A39,'Data Vlaue (Cr)'!$C:$FB,59)</f>
        <v>527</v>
      </c>
      <c r="K39" s="51">
        <f>VLOOKUP($A39,'Data Vlaue (Cr)'!$C:$FB,60)</f>
        <v>806</v>
      </c>
      <c r="L39" s="51">
        <f>VLOOKUP($A39,'Data Vlaue (Cr)'!$C:$FB,62)*100</f>
        <v>-34.64</v>
      </c>
      <c r="M39" s="51">
        <f>VLOOKUP($A39,'Data Vlaue (Cr)'!$C:$FB,63)</f>
        <v>270</v>
      </c>
      <c r="N39" s="51">
        <f>VLOOKUP($A39,'Data Vlaue (Cr)'!$C:$FB,64)</f>
        <v>333</v>
      </c>
      <c r="O39" s="51">
        <f>VLOOKUP($A39,'Data Vlaue (Cr)'!$C:$FB,66)*100</f>
        <v>-19.05</v>
      </c>
    </row>
    <row r="40" spans="1:15" x14ac:dyDescent="0.25">
      <c r="A40" s="101" t="str">
        <f>'Data Vlaue (Cr)'!C35</f>
        <v>BIOCON</v>
      </c>
      <c r="B40" s="50">
        <f>VLOOKUP($A40,'Data Vlaue (Cr)'!$C:$FB,8)</f>
        <v>359.45</v>
      </c>
      <c r="C40" s="50">
        <f>VLOOKUP($A40,'Data Vlaue (Cr)'!$C:$FB,11)*100</f>
        <v>-1.21</v>
      </c>
      <c r="D40" s="50">
        <f>VLOOKUP($A40,'Data Vlaue (Cr)'!$C:$FB,143)</f>
        <v>848.69</v>
      </c>
      <c r="E40" s="50">
        <f>VLOOKUP($A40,'Data Vlaue (Cr)'!$C:$FB,144)</f>
        <v>738.05</v>
      </c>
      <c r="F40" s="50">
        <f>VLOOKUP($A40,'Data Vlaue (Cr)'!$C:$FB,146)*100</f>
        <v>14.99</v>
      </c>
      <c r="G40" s="49">
        <f>VLOOKUP($A40,'Data Vlaue (Cr)'!$C:$FB,43)</f>
        <v>168</v>
      </c>
      <c r="H40" s="49">
        <f>VLOOKUP($A40,'Data Vlaue (Cr)'!$C:$FB,44)</f>
        <v>147</v>
      </c>
      <c r="I40" s="49">
        <f>VLOOKUP($A40,'Data Vlaue (Cr)'!$C:$FB,46)*100</f>
        <v>14.29</v>
      </c>
      <c r="J40" s="51">
        <f>VLOOKUP($A40,'Data Vlaue (Cr)'!$C:$FB,59)</f>
        <v>395</v>
      </c>
      <c r="K40" s="51">
        <f>VLOOKUP($A40,'Data Vlaue (Cr)'!$C:$FB,60)</f>
        <v>341</v>
      </c>
      <c r="L40" s="51">
        <f>VLOOKUP($A40,'Data Vlaue (Cr)'!$C:$FB,62)*100</f>
        <v>15.920000000000002</v>
      </c>
      <c r="M40" s="51">
        <f>VLOOKUP($A40,'Data Vlaue (Cr)'!$C:$FB,63)</f>
        <v>262</v>
      </c>
      <c r="N40" s="51">
        <f>VLOOKUP($A40,'Data Vlaue (Cr)'!$C:$FB,64)</f>
        <v>226</v>
      </c>
      <c r="O40" s="51">
        <f>VLOOKUP($A40,'Data Vlaue (Cr)'!$C:$FB,66)*100</f>
        <v>16.079999999999998</v>
      </c>
    </row>
    <row r="41" spans="1:15" x14ac:dyDescent="0.25">
      <c r="A41" s="101" t="str">
        <f>'Data Vlaue (Cr)'!C36</f>
        <v>BLUESTARCO</v>
      </c>
      <c r="B41" s="50">
        <f>VLOOKUP($A41,'Data Vlaue (Cr)'!$C:$FB,8)</f>
        <v>1927.4</v>
      </c>
      <c r="C41" s="50">
        <f>VLOOKUP($A41,'Data Vlaue (Cr)'!$C:$FB,11)*100</f>
        <v>-6.9999999999999993E-2</v>
      </c>
      <c r="D41" s="50">
        <f>VLOOKUP($A41,'Data Vlaue (Cr)'!$C:$FB,143)</f>
        <v>1101.93</v>
      </c>
      <c r="E41" s="50">
        <f>VLOOKUP($A41,'Data Vlaue (Cr)'!$C:$FB,144)</f>
        <v>413.75</v>
      </c>
      <c r="F41" s="50">
        <f>VLOOKUP($A41,'Data Vlaue (Cr)'!$C:$FB,146)*100</f>
        <v>166.33</v>
      </c>
      <c r="G41" s="49">
        <f>VLOOKUP($A41,'Data Vlaue (Cr)'!$C:$FB,43)</f>
        <v>142</v>
      </c>
      <c r="H41" s="49">
        <f>VLOOKUP($A41,'Data Vlaue (Cr)'!$C:$FB,44)</f>
        <v>102</v>
      </c>
      <c r="I41" s="49">
        <f>VLOOKUP($A41,'Data Vlaue (Cr)'!$C:$FB,46)*100</f>
        <v>39.31</v>
      </c>
      <c r="J41" s="51">
        <f>VLOOKUP($A41,'Data Vlaue (Cr)'!$C:$FB,59)</f>
        <v>752</v>
      </c>
      <c r="K41" s="51">
        <f>VLOOKUP($A41,'Data Vlaue (Cr)'!$C:$FB,60)</f>
        <v>187</v>
      </c>
      <c r="L41" s="51">
        <f>VLOOKUP($A41,'Data Vlaue (Cr)'!$C:$FB,62)*100</f>
        <v>302.52</v>
      </c>
      <c r="M41" s="51">
        <f>VLOOKUP($A41,'Data Vlaue (Cr)'!$C:$FB,63)</f>
        <v>174</v>
      </c>
      <c r="N41" s="51">
        <f>VLOOKUP($A41,'Data Vlaue (Cr)'!$C:$FB,64)</f>
        <v>124</v>
      </c>
      <c r="O41" s="51">
        <f>VLOOKUP($A41,'Data Vlaue (Cr)'!$C:$FB,66)*100</f>
        <v>40.14</v>
      </c>
    </row>
    <row r="42" spans="1:15" x14ac:dyDescent="0.25">
      <c r="A42" s="101" t="str">
        <f>'Data Vlaue (Cr)'!C37</f>
        <v>BOSCHLTD</v>
      </c>
      <c r="B42" s="50">
        <f>VLOOKUP($A42,'Data Vlaue (Cr)'!$C:$FB,8)</f>
        <v>39935</v>
      </c>
      <c r="C42" s="50">
        <f>VLOOKUP($A42,'Data Vlaue (Cr)'!$C:$FB,11)*100</f>
        <v>0.19</v>
      </c>
      <c r="D42" s="50">
        <f>VLOOKUP($A42,'Data Vlaue (Cr)'!$C:$FB,143)</f>
        <v>2090.0100000000002</v>
      </c>
      <c r="E42" s="50">
        <f>VLOOKUP($A42,'Data Vlaue (Cr)'!$C:$FB,144)</f>
        <v>3503.3</v>
      </c>
      <c r="F42" s="50">
        <f>VLOOKUP($A42,'Data Vlaue (Cr)'!$C:$FB,146)*100</f>
        <v>-40.339999999999996</v>
      </c>
      <c r="G42" s="49">
        <f>VLOOKUP($A42,'Data Vlaue (Cr)'!$C:$FB,43)</f>
        <v>185</v>
      </c>
      <c r="H42" s="49">
        <f>VLOOKUP($A42,'Data Vlaue (Cr)'!$C:$FB,44)</f>
        <v>237</v>
      </c>
      <c r="I42" s="49">
        <f>VLOOKUP($A42,'Data Vlaue (Cr)'!$C:$FB,46)*100</f>
        <v>-21.62</v>
      </c>
      <c r="J42" s="51">
        <f>VLOOKUP($A42,'Data Vlaue (Cr)'!$C:$FB,59)</f>
        <v>1310</v>
      </c>
      <c r="K42" s="51">
        <f>VLOOKUP($A42,'Data Vlaue (Cr)'!$C:$FB,60)</f>
        <v>2431</v>
      </c>
      <c r="L42" s="51">
        <f>VLOOKUP($A42,'Data Vlaue (Cr)'!$C:$FB,62)*100</f>
        <v>-46.12</v>
      </c>
      <c r="M42" s="51">
        <f>VLOOKUP($A42,'Data Vlaue (Cr)'!$C:$FB,63)</f>
        <v>544</v>
      </c>
      <c r="N42" s="51">
        <f>VLOOKUP($A42,'Data Vlaue (Cr)'!$C:$FB,64)</f>
        <v>740</v>
      </c>
      <c r="O42" s="51">
        <f>VLOOKUP($A42,'Data Vlaue (Cr)'!$C:$FB,66)*100</f>
        <v>-26.490000000000002</v>
      </c>
    </row>
    <row r="43" spans="1:15" x14ac:dyDescent="0.25">
      <c r="A43" s="101" t="str">
        <f>'Data Vlaue (Cr)'!C38</f>
        <v>BPCL</v>
      </c>
      <c r="B43" s="50">
        <f>VLOOKUP($A43,'Data Vlaue (Cr)'!$C:$FB,8)</f>
        <v>319.95</v>
      </c>
      <c r="C43" s="50">
        <f>VLOOKUP($A43,'Data Vlaue (Cr)'!$C:$FB,11)*100</f>
        <v>-0.47000000000000003</v>
      </c>
      <c r="D43" s="50">
        <f>VLOOKUP($A43,'Data Vlaue (Cr)'!$C:$FB,143)</f>
        <v>838</v>
      </c>
      <c r="E43" s="50">
        <f>VLOOKUP($A43,'Data Vlaue (Cr)'!$C:$FB,144)</f>
        <v>1837.99</v>
      </c>
      <c r="F43" s="50">
        <f>VLOOKUP($A43,'Data Vlaue (Cr)'!$C:$FB,146)*100</f>
        <v>-54.410000000000004</v>
      </c>
      <c r="G43" s="49">
        <f>VLOOKUP($A43,'Data Vlaue (Cr)'!$C:$FB,43)</f>
        <v>138</v>
      </c>
      <c r="H43" s="49">
        <f>VLOOKUP($A43,'Data Vlaue (Cr)'!$C:$FB,44)</f>
        <v>276</v>
      </c>
      <c r="I43" s="49">
        <f>VLOOKUP($A43,'Data Vlaue (Cr)'!$C:$FB,46)*100</f>
        <v>-50.23</v>
      </c>
      <c r="J43" s="51">
        <f>VLOOKUP($A43,'Data Vlaue (Cr)'!$C:$FB,59)</f>
        <v>435</v>
      </c>
      <c r="K43" s="51">
        <f>VLOOKUP($A43,'Data Vlaue (Cr)'!$C:$FB,60)</f>
        <v>1033</v>
      </c>
      <c r="L43" s="51">
        <f>VLOOKUP($A43,'Data Vlaue (Cr)'!$C:$FB,62)*100</f>
        <v>-57.86</v>
      </c>
      <c r="M43" s="51">
        <f>VLOOKUP($A43,'Data Vlaue (Cr)'!$C:$FB,63)</f>
        <v>251</v>
      </c>
      <c r="N43" s="51">
        <f>VLOOKUP($A43,'Data Vlaue (Cr)'!$C:$FB,64)</f>
        <v>510</v>
      </c>
      <c r="O43" s="51">
        <f>VLOOKUP($A43,'Data Vlaue (Cr)'!$C:$FB,66)*100</f>
        <v>-50.7</v>
      </c>
    </row>
    <row r="44" spans="1:15" x14ac:dyDescent="0.25">
      <c r="A44" s="101" t="str">
        <f>'Data Vlaue (Cr)'!C39</f>
        <v>BRITANNIA</v>
      </c>
      <c r="B44" s="50">
        <f>VLOOKUP($A44,'Data Vlaue (Cr)'!$C:$FB,8)</f>
        <v>5701</v>
      </c>
      <c r="C44" s="50">
        <f>VLOOKUP($A44,'Data Vlaue (Cr)'!$C:$FB,11)*100</f>
        <v>3.6700000000000004</v>
      </c>
      <c r="D44" s="50">
        <f>VLOOKUP($A44,'Data Vlaue (Cr)'!$C:$FB,143)</f>
        <v>7057.54</v>
      </c>
      <c r="E44" s="50">
        <f>VLOOKUP($A44,'Data Vlaue (Cr)'!$C:$FB,144)</f>
        <v>1399.04</v>
      </c>
      <c r="F44" s="50">
        <f>VLOOKUP($A44,'Data Vlaue (Cr)'!$C:$FB,146)*100</f>
        <v>404.45000000000005</v>
      </c>
      <c r="G44" s="49">
        <f>VLOOKUP($A44,'Data Vlaue (Cr)'!$C:$FB,43)</f>
        <v>421</v>
      </c>
      <c r="H44" s="49">
        <f>VLOOKUP($A44,'Data Vlaue (Cr)'!$C:$FB,44)</f>
        <v>167</v>
      </c>
      <c r="I44" s="49">
        <f>VLOOKUP($A44,'Data Vlaue (Cr)'!$C:$FB,46)*100</f>
        <v>152.03</v>
      </c>
      <c r="J44" s="51">
        <f>VLOOKUP($A44,'Data Vlaue (Cr)'!$C:$FB,59)</f>
        <v>5005</v>
      </c>
      <c r="K44" s="51">
        <f>VLOOKUP($A44,'Data Vlaue (Cr)'!$C:$FB,60)</f>
        <v>886</v>
      </c>
      <c r="L44" s="51">
        <f>VLOOKUP($A44,'Data Vlaue (Cr)'!$C:$FB,62)*100</f>
        <v>465.08000000000004</v>
      </c>
      <c r="M44" s="51">
        <f>VLOOKUP($A44,'Data Vlaue (Cr)'!$C:$FB,63)</f>
        <v>1588</v>
      </c>
      <c r="N44" s="51">
        <f>VLOOKUP($A44,'Data Vlaue (Cr)'!$C:$FB,64)</f>
        <v>383</v>
      </c>
      <c r="O44" s="51">
        <f>VLOOKUP($A44,'Data Vlaue (Cr)'!$C:$FB,66)*100</f>
        <v>314.38</v>
      </c>
    </row>
    <row r="45" spans="1:15" x14ac:dyDescent="0.25">
      <c r="A45" s="101" t="str">
        <f>'Data Vlaue (Cr)'!C40</f>
        <v>BSE</v>
      </c>
      <c r="B45" s="50">
        <f>VLOOKUP($A45,'Data Vlaue (Cr)'!$C:$FB,8)</f>
        <v>2523</v>
      </c>
      <c r="C45" s="50">
        <f>VLOOKUP($A45,'Data Vlaue (Cr)'!$C:$FB,11)*100</f>
        <v>1.26</v>
      </c>
      <c r="D45" s="50">
        <f>VLOOKUP($A45,'Data Vlaue (Cr)'!$C:$FB,143)</f>
        <v>7641.76</v>
      </c>
      <c r="E45" s="50">
        <f>VLOOKUP($A45,'Data Vlaue (Cr)'!$C:$FB,144)</f>
        <v>10169.69</v>
      </c>
      <c r="F45" s="50">
        <f>VLOOKUP($A45,'Data Vlaue (Cr)'!$C:$FB,146)*100</f>
        <v>-24.86</v>
      </c>
      <c r="G45" s="49">
        <f>VLOOKUP($A45,'Data Vlaue (Cr)'!$C:$FB,43)</f>
        <v>787</v>
      </c>
      <c r="H45" s="49">
        <f>VLOOKUP($A45,'Data Vlaue (Cr)'!$C:$FB,44)</f>
        <v>1039</v>
      </c>
      <c r="I45" s="49">
        <f>VLOOKUP($A45,'Data Vlaue (Cr)'!$C:$FB,46)*100</f>
        <v>-24.27</v>
      </c>
      <c r="J45" s="51">
        <f>VLOOKUP($A45,'Data Vlaue (Cr)'!$C:$FB,59)</f>
        <v>4008</v>
      </c>
      <c r="K45" s="51">
        <f>VLOOKUP($A45,'Data Vlaue (Cr)'!$C:$FB,60)</f>
        <v>4938</v>
      </c>
      <c r="L45" s="51">
        <f>VLOOKUP($A45,'Data Vlaue (Cr)'!$C:$FB,62)*100</f>
        <v>-18.82</v>
      </c>
      <c r="M45" s="51">
        <f>VLOOKUP($A45,'Data Vlaue (Cr)'!$C:$FB,63)</f>
        <v>2775</v>
      </c>
      <c r="N45" s="51">
        <f>VLOOKUP($A45,'Data Vlaue (Cr)'!$C:$FB,64)</f>
        <v>4186</v>
      </c>
      <c r="O45" s="51">
        <f>VLOOKUP($A45,'Data Vlaue (Cr)'!$C:$FB,66)*100</f>
        <v>-33.71</v>
      </c>
    </row>
    <row r="46" spans="1:15" x14ac:dyDescent="0.25">
      <c r="A46" s="101" t="str">
        <f>'Data Vlaue (Cr)'!C41</f>
        <v>CAMS</v>
      </c>
      <c r="B46" s="50">
        <f>VLOOKUP($A46,'Data Vlaue (Cr)'!$C:$FB,8)</f>
        <v>3841.8</v>
      </c>
      <c r="C46" s="50">
        <f>VLOOKUP($A46,'Data Vlaue (Cr)'!$C:$FB,11)*100</f>
        <v>0.16</v>
      </c>
      <c r="D46" s="50">
        <f>VLOOKUP($A46,'Data Vlaue (Cr)'!$C:$FB,143)</f>
        <v>855.43</v>
      </c>
      <c r="E46" s="50">
        <f>VLOOKUP($A46,'Data Vlaue (Cr)'!$C:$FB,144)</f>
        <v>820.9</v>
      </c>
      <c r="F46" s="50">
        <f>VLOOKUP($A46,'Data Vlaue (Cr)'!$C:$FB,146)*100</f>
        <v>4.21</v>
      </c>
      <c r="G46" s="49">
        <f>VLOOKUP($A46,'Data Vlaue (Cr)'!$C:$FB,43)</f>
        <v>113</v>
      </c>
      <c r="H46" s="49">
        <f>VLOOKUP($A46,'Data Vlaue (Cr)'!$C:$FB,44)</f>
        <v>204</v>
      </c>
      <c r="I46" s="49">
        <f>VLOOKUP($A46,'Data Vlaue (Cr)'!$C:$FB,46)*100</f>
        <v>-44.45</v>
      </c>
      <c r="J46" s="51">
        <f>VLOOKUP($A46,'Data Vlaue (Cr)'!$C:$FB,59)</f>
        <v>514</v>
      </c>
      <c r="K46" s="51">
        <f>VLOOKUP($A46,'Data Vlaue (Cr)'!$C:$FB,60)</f>
        <v>368</v>
      </c>
      <c r="L46" s="51">
        <f>VLOOKUP($A46,'Data Vlaue (Cr)'!$C:$FB,62)*100</f>
        <v>39.53</v>
      </c>
      <c r="M46" s="51">
        <f>VLOOKUP($A46,'Data Vlaue (Cr)'!$C:$FB,63)</f>
        <v>199</v>
      </c>
      <c r="N46" s="51">
        <f>VLOOKUP($A46,'Data Vlaue (Cr)'!$C:$FB,64)</f>
        <v>230</v>
      </c>
      <c r="O46" s="51">
        <f>VLOOKUP($A46,'Data Vlaue (Cr)'!$C:$FB,66)*100</f>
        <v>-13.55</v>
      </c>
    </row>
    <row r="47" spans="1:15" x14ac:dyDescent="0.25">
      <c r="A47" s="101" t="str">
        <f>'Data Vlaue (Cr)'!C42</f>
        <v>CANBK</v>
      </c>
      <c r="B47" s="50">
        <f>VLOOKUP($A47,'Data Vlaue (Cr)'!$C:$FB,8)</f>
        <v>112.28</v>
      </c>
      <c r="C47" s="50">
        <f>VLOOKUP($A47,'Data Vlaue (Cr)'!$C:$FB,11)*100</f>
        <v>0.54999999999999993</v>
      </c>
      <c r="D47" s="50">
        <f>VLOOKUP($A47,'Data Vlaue (Cr)'!$C:$FB,143)</f>
        <v>1601.86</v>
      </c>
      <c r="E47" s="50">
        <f>VLOOKUP($A47,'Data Vlaue (Cr)'!$C:$FB,144)</f>
        <v>2597.38</v>
      </c>
      <c r="F47" s="50">
        <f>VLOOKUP($A47,'Data Vlaue (Cr)'!$C:$FB,146)*100</f>
        <v>-38.33</v>
      </c>
      <c r="G47" s="49">
        <f>VLOOKUP($A47,'Data Vlaue (Cr)'!$C:$FB,43)</f>
        <v>354</v>
      </c>
      <c r="H47" s="49">
        <f>VLOOKUP($A47,'Data Vlaue (Cr)'!$C:$FB,44)</f>
        <v>494</v>
      </c>
      <c r="I47" s="49">
        <f>VLOOKUP($A47,'Data Vlaue (Cr)'!$C:$FB,46)*100</f>
        <v>-28.46</v>
      </c>
      <c r="J47" s="51">
        <f>VLOOKUP($A47,'Data Vlaue (Cr)'!$C:$FB,59)</f>
        <v>732</v>
      </c>
      <c r="K47" s="51">
        <f>VLOOKUP($A47,'Data Vlaue (Cr)'!$C:$FB,60)</f>
        <v>1345</v>
      </c>
      <c r="L47" s="51">
        <f>VLOOKUP($A47,'Data Vlaue (Cr)'!$C:$FB,62)*100</f>
        <v>-45.6</v>
      </c>
      <c r="M47" s="51">
        <f>VLOOKUP($A47,'Data Vlaue (Cr)'!$C:$FB,63)</f>
        <v>505</v>
      </c>
      <c r="N47" s="51">
        <f>VLOOKUP($A47,'Data Vlaue (Cr)'!$C:$FB,64)</f>
        <v>755</v>
      </c>
      <c r="O47" s="51">
        <f>VLOOKUP($A47,'Data Vlaue (Cr)'!$C:$FB,66)*100</f>
        <v>-33.19</v>
      </c>
    </row>
    <row r="48" spans="1:15" x14ac:dyDescent="0.25">
      <c r="A48" s="101" t="str">
        <f>'Data Vlaue (Cr)'!C43</f>
        <v>CDSL</v>
      </c>
      <c r="B48" s="50">
        <f>VLOOKUP($A48,'Data Vlaue (Cr)'!$C:$FB,8)</f>
        <v>1583.6</v>
      </c>
      <c r="C48" s="50">
        <f>VLOOKUP($A48,'Data Vlaue (Cr)'!$C:$FB,11)*100</f>
        <v>0.12</v>
      </c>
      <c r="D48" s="50">
        <f>VLOOKUP($A48,'Data Vlaue (Cr)'!$C:$FB,143)</f>
        <v>1941.53</v>
      </c>
      <c r="E48" s="50">
        <f>VLOOKUP($A48,'Data Vlaue (Cr)'!$C:$FB,144)</f>
        <v>1755.12</v>
      </c>
      <c r="F48" s="50">
        <f>VLOOKUP($A48,'Data Vlaue (Cr)'!$C:$FB,146)*100</f>
        <v>10.620000000000001</v>
      </c>
      <c r="G48" s="49">
        <f>VLOOKUP($A48,'Data Vlaue (Cr)'!$C:$FB,43)</f>
        <v>255</v>
      </c>
      <c r="H48" s="49">
        <f>VLOOKUP($A48,'Data Vlaue (Cr)'!$C:$FB,44)</f>
        <v>198</v>
      </c>
      <c r="I48" s="49">
        <f>VLOOKUP($A48,'Data Vlaue (Cr)'!$C:$FB,46)*100</f>
        <v>28.849999999999998</v>
      </c>
      <c r="J48" s="51">
        <f>VLOOKUP($A48,'Data Vlaue (Cr)'!$C:$FB,59)</f>
        <v>1126</v>
      </c>
      <c r="K48" s="51">
        <f>VLOOKUP($A48,'Data Vlaue (Cr)'!$C:$FB,60)</f>
        <v>957</v>
      </c>
      <c r="L48" s="51">
        <f>VLOOKUP($A48,'Data Vlaue (Cr)'!$C:$FB,62)*100</f>
        <v>17.68</v>
      </c>
      <c r="M48" s="51">
        <f>VLOOKUP($A48,'Data Vlaue (Cr)'!$C:$FB,63)</f>
        <v>534</v>
      </c>
      <c r="N48" s="51">
        <f>VLOOKUP($A48,'Data Vlaue (Cr)'!$C:$FB,64)</f>
        <v>581</v>
      </c>
      <c r="O48" s="51">
        <f>VLOOKUP($A48,'Data Vlaue (Cr)'!$C:$FB,66)*100</f>
        <v>-7.99</v>
      </c>
    </row>
    <row r="49" spans="1:15" x14ac:dyDescent="0.25">
      <c r="A49" s="101" t="str">
        <f>'Data Vlaue (Cr)'!C44</f>
        <v>CESC</v>
      </c>
      <c r="B49" s="50">
        <f>VLOOKUP($A49,'Data Vlaue (Cr)'!$C:$FB,8)</f>
        <v>163.43</v>
      </c>
      <c r="C49" s="50">
        <f>VLOOKUP($A49,'Data Vlaue (Cr)'!$C:$FB,11)*100</f>
        <v>-0.73</v>
      </c>
      <c r="D49" s="50">
        <f>VLOOKUP($A49,'Data Vlaue (Cr)'!$C:$FB,143)</f>
        <v>121.58</v>
      </c>
      <c r="E49" s="50">
        <f>VLOOKUP($A49,'Data Vlaue (Cr)'!$C:$FB,144)</f>
        <v>128.44</v>
      </c>
      <c r="F49" s="50">
        <f>VLOOKUP($A49,'Data Vlaue (Cr)'!$C:$FB,146)*100</f>
        <v>-5.34</v>
      </c>
      <c r="G49" s="49">
        <f>VLOOKUP($A49,'Data Vlaue (Cr)'!$C:$FB,43)</f>
        <v>22</v>
      </c>
      <c r="H49" s="49">
        <f>VLOOKUP($A49,'Data Vlaue (Cr)'!$C:$FB,44)</f>
        <v>31</v>
      </c>
      <c r="I49" s="49">
        <f>VLOOKUP($A49,'Data Vlaue (Cr)'!$C:$FB,46)*100</f>
        <v>-30.099999999999998</v>
      </c>
      <c r="J49" s="51">
        <f>VLOOKUP($A49,'Data Vlaue (Cr)'!$C:$FB,59)</f>
        <v>76</v>
      </c>
      <c r="K49" s="51">
        <f>VLOOKUP($A49,'Data Vlaue (Cr)'!$C:$FB,60)</f>
        <v>74</v>
      </c>
      <c r="L49" s="51">
        <f>VLOOKUP($A49,'Data Vlaue (Cr)'!$C:$FB,62)*100</f>
        <v>3.46</v>
      </c>
      <c r="M49" s="51">
        <f>VLOOKUP($A49,'Data Vlaue (Cr)'!$C:$FB,63)</f>
        <v>19</v>
      </c>
      <c r="N49" s="51">
        <f>VLOOKUP($A49,'Data Vlaue (Cr)'!$C:$FB,64)</f>
        <v>18</v>
      </c>
      <c r="O49" s="51">
        <f>VLOOKUP($A49,'Data Vlaue (Cr)'!$C:$FB,66)*100</f>
        <v>1.6199999999999999</v>
      </c>
    </row>
    <row r="50" spans="1:15" x14ac:dyDescent="0.25">
      <c r="A50" s="101" t="str">
        <f>'Data Vlaue (Cr)'!C45</f>
        <v>CGPOWER</v>
      </c>
      <c r="B50" s="50">
        <f>VLOOKUP($A50,'Data Vlaue (Cr)'!$C:$FB,8)</f>
        <v>674.25</v>
      </c>
      <c r="C50" s="50">
        <f>VLOOKUP($A50,'Data Vlaue (Cr)'!$C:$FB,11)*100</f>
        <v>-0.38</v>
      </c>
      <c r="D50" s="50">
        <f>VLOOKUP($A50,'Data Vlaue (Cr)'!$C:$FB,143)</f>
        <v>370.69</v>
      </c>
      <c r="E50" s="50">
        <f>VLOOKUP($A50,'Data Vlaue (Cr)'!$C:$FB,144)</f>
        <v>458.8</v>
      </c>
      <c r="F50" s="50">
        <f>VLOOKUP($A50,'Data Vlaue (Cr)'!$C:$FB,146)*100</f>
        <v>-19.2</v>
      </c>
      <c r="G50" s="49">
        <f>VLOOKUP($A50,'Data Vlaue (Cr)'!$C:$FB,43)</f>
        <v>104</v>
      </c>
      <c r="H50" s="49">
        <f>VLOOKUP($A50,'Data Vlaue (Cr)'!$C:$FB,44)</f>
        <v>99</v>
      </c>
      <c r="I50" s="49">
        <f>VLOOKUP($A50,'Data Vlaue (Cr)'!$C:$FB,46)*100</f>
        <v>5.0999999999999996</v>
      </c>
      <c r="J50" s="51">
        <f>VLOOKUP($A50,'Data Vlaue (Cr)'!$C:$FB,59)</f>
        <v>212</v>
      </c>
      <c r="K50" s="51">
        <f>VLOOKUP($A50,'Data Vlaue (Cr)'!$C:$FB,60)</f>
        <v>281</v>
      </c>
      <c r="L50" s="51">
        <f>VLOOKUP($A50,'Data Vlaue (Cr)'!$C:$FB,62)*100</f>
        <v>-24.69</v>
      </c>
      <c r="M50" s="51">
        <f>VLOOKUP($A50,'Data Vlaue (Cr)'!$C:$FB,63)</f>
        <v>48</v>
      </c>
      <c r="N50" s="51">
        <f>VLOOKUP($A50,'Data Vlaue (Cr)'!$C:$FB,64)</f>
        <v>71</v>
      </c>
      <c r="O50" s="51">
        <f>VLOOKUP($A50,'Data Vlaue (Cr)'!$C:$FB,66)*100</f>
        <v>-33.229999999999997</v>
      </c>
    </row>
    <row r="51" spans="1:15" x14ac:dyDescent="0.25">
      <c r="A51" s="101" t="str">
        <f>'Data Vlaue (Cr)'!C46</f>
        <v>CHOLAFIN</v>
      </c>
      <c r="B51" s="50">
        <f>VLOOKUP($A51,'Data Vlaue (Cr)'!$C:$FB,8)</f>
        <v>1522.9</v>
      </c>
      <c r="C51" s="50">
        <f>VLOOKUP($A51,'Data Vlaue (Cr)'!$C:$FB,11)*100</f>
        <v>-0.33</v>
      </c>
      <c r="D51" s="50">
        <f>VLOOKUP($A51,'Data Vlaue (Cr)'!$C:$FB,143)</f>
        <v>1305.68</v>
      </c>
      <c r="E51" s="50">
        <f>VLOOKUP($A51,'Data Vlaue (Cr)'!$C:$FB,144)</f>
        <v>1184.74</v>
      </c>
      <c r="F51" s="50">
        <f>VLOOKUP($A51,'Data Vlaue (Cr)'!$C:$FB,146)*100</f>
        <v>10.209999999999999</v>
      </c>
      <c r="G51" s="49">
        <f>VLOOKUP($A51,'Data Vlaue (Cr)'!$C:$FB,43)</f>
        <v>277</v>
      </c>
      <c r="H51" s="49">
        <f>VLOOKUP($A51,'Data Vlaue (Cr)'!$C:$FB,44)</f>
        <v>250</v>
      </c>
      <c r="I51" s="49">
        <f>VLOOKUP($A51,'Data Vlaue (Cr)'!$C:$FB,46)*100</f>
        <v>10.79</v>
      </c>
      <c r="J51" s="51">
        <f>VLOOKUP($A51,'Data Vlaue (Cr)'!$C:$FB,59)</f>
        <v>580</v>
      </c>
      <c r="K51" s="51">
        <f>VLOOKUP($A51,'Data Vlaue (Cr)'!$C:$FB,60)</f>
        <v>499</v>
      </c>
      <c r="L51" s="51">
        <f>VLOOKUP($A51,'Data Vlaue (Cr)'!$C:$FB,62)*100</f>
        <v>16.220000000000002</v>
      </c>
      <c r="M51" s="51">
        <f>VLOOKUP($A51,'Data Vlaue (Cr)'!$C:$FB,63)</f>
        <v>441</v>
      </c>
      <c r="N51" s="51">
        <f>VLOOKUP($A51,'Data Vlaue (Cr)'!$C:$FB,64)</f>
        <v>434</v>
      </c>
      <c r="O51" s="51">
        <f>VLOOKUP($A51,'Data Vlaue (Cr)'!$C:$FB,66)*100</f>
        <v>1.53</v>
      </c>
    </row>
    <row r="52" spans="1:15" x14ac:dyDescent="0.25">
      <c r="A52" s="101" t="str">
        <f>'Data Vlaue (Cr)'!C47</f>
        <v>CIPLA</v>
      </c>
      <c r="B52" s="50">
        <f>VLOOKUP($A52,'Data Vlaue (Cr)'!$C:$FB,8)</f>
        <v>1546.1</v>
      </c>
      <c r="C52" s="50">
        <f>VLOOKUP($A52,'Data Vlaue (Cr)'!$C:$FB,11)*100</f>
        <v>-0.18</v>
      </c>
      <c r="D52" s="50">
        <f>VLOOKUP($A52,'Data Vlaue (Cr)'!$C:$FB,143)</f>
        <v>1373.63</v>
      </c>
      <c r="E52" s="50">
        <f>VLOOKUP($A52,'Data Vlaue (Cr)'!$C:$FB,144)</f>
        <v>937.1</v>
      </c>
      <c r="F52" s="50">
        <f>VLOOKUP($A52,'Data Vlaue (Cr)'!$C:$FB,146)*100</f>
        <v>46.58</v>
      </c>
      <c r="G52" s="49">
        <f>VLOOKUP($A52,'Data Vlaue (Cr)'!$C:$FB,43)</f>
        <v>160</v>
      </c>
      <c r="H52" s="49">
        <f>VLOOKUP($A52,'Data Vlaue (Cr)'!$C:$FB,44)</f>
        <v>132</v>
      </c>
      <c r="I52" s="49">
        <f>VLOOKUP($A52,'Data Vlaue (Cr)'!$C:$FB,46)*100</f>
        <v>20.78</v>
      </c>
      <c r="J52" s="51">
        <f>VLOOKUP($A52,'Data Vlaue (Cr)'!$C:$FB,59)</f>
        <v>642</v>
      </c>
      <c r="K52" s="51">
        <f>VLOOKUP($A52,'Data Vlaue (Cr)'!$C:$FB,60)</f>
        <v>408</v>
      </c>
      <c r="L52" s="51">
        <f>VLOOKUP($A52,'Data Vlaue (Cr)'!$C:$FB,62)*100</f>
        <v>57.28</v>
      </c>
      <c r="M52" s="51">
        <f>VLOOKUP($A52,'Data Vlaue (Cr)'!$C:$FB,63)</f>
        <v>564</v>
      </c>
      <c r="N52" s="51">
        <f>VLOOKUP($A52,'Data Vlaue (Cr)'!$C:$FB,64)</f>
        <v>384</v>
      </c>
      <c r="O52" s="51">
        <f>VLOOKUP($A52,'Data Vlaue (Cr)'!$C:$FB,66)*100</f>
        <v>46.75</v>
      </c>
    </row>
    <row r="53" spans="1:15" x14ac:dyDescent="0.25">
      <c r="A53" s="101" t="str">
        <f>'Data Vlaue (Cr)'!C48</f>
        <v>COALINDIA</v>
      </c>
      <c r="B53" s="50">
        <f>VLOOKUP($A53,'Data Vlaue (Cr)'!$C:$FB,8)</f>
        <v>384.7</v>
      </c>
      <c r="C53" s="50">
        <f>VLOOKUP($A53,'Data Vlaue (Cr)'!$C:$FB,11)*100</f>
        <v>-0.16999999999999998</v>
      </c>
      <c r="D53" s="50">
        <f>VLOOKUP($A53,'Data Vlaue (Cr)'!$C:$FB,143)</f>
        <v>1297.8499999999999</v>
      </c>
      <c r="E53" s="50">
        <f>VLOOKUP($A53,'Data Vlaue (Cr)'!$C:$FB,144)</f>
        <v>2144.9899999999998</v>
      </c>
      <c r="F53" s="50">
        <f>VLOOKUP($A53,'Data Vlaue (Cr)'!$C:$FB,146)*100</f>
        <v>-39.489999999999995</v>
      </c>
      <c r="G53" s="49">
        <f>VLOOKUP($A53,'Data Vlaue (Cr)'!$C:$FB,43)</f>
        <v>239</v>
      </c>
      <c r="H53" s="49">
        <f>VLOOKUP($A53,'Data Vlaue (Cr)'!$C:$FB,44)</f>
        <v>269</v>
      </c>
      <c r="I53" s="49">
        <f>VLOOKUP($A53,'Data Vlaue (Cr)'!$C:$FB,46)*100</f>
        <v>-11.06</v>
      </c>
      <c r="J53" s="51">
        <f>VLOOKUP($A53,'Data Vlaue (Cr)'!$C:$FB,59)</f>
        <v>707</v>
      </c>
      <c r="K53" s="51">
        <f>VLOOKUP($A53,'Data Vlaue (Cr)'!$C:$FB,60)</f>
        <v>1091</v>
      </c>
      <c r="L53" s="51">
        <f>VLOOKUP($A53,'Data Vlaue (Cr)'!$C:$FB,62)*100</f>
        <v>-35.229999999999997</v>
      </c>
      <c r="M53" s="51">
        <f>VLOOKUP($A53,'Data Vlaue (Cr)'!$C:$FB,63)</f>
        <v>330</v>
      </c>
      <c r="N53" s="51">
        <f>VLOOKUP($A53,'Data Vlaue (Cr)'!$C:$FB,64)</f>
        <v>751</v>
      </c>
      <c r="O53" s="51">
        <f>VLOOKUP($A53,'Data Vlaue (Cr)'!$C:$FB,66)*100</f>
        <v>-56.110000000000007</v>
      </c>
    </row>
    <row r="54" spans="1:15" x14ac:dyDescent="0.25">
      <c r="A54" s="101" t="str">
        <f>'Data Vlaue (Cr)'!C49</f>
        <v>COFORGE</v>
      </c>
      <c r="B54" s="50">
        <f>VLOOKUP($A54,'Data Vlaue (Cr)'!$C:$FB,8)</f>
        <v>1708.4</v>
      </c>
      <c r="C54" s="50">
        <f>VLOOKUP($A54,'Data Vlaue (Cr)'!$C:$FB,11)*100</f>
        <v>3.37</v>
      </c>
      <c r="D54" s="50">
        <f>VLOOKUP($A54,'Data Vlaue (Cr)'!$C:$FB,143)</f>
        <v>5488.21</v>
      </c>
      <c r="E54" s="50">
        <f>VLOOKUP($A54,'Data Vlaue (Cr)'!$C:$FB,144)</f>
        <v>1267.53</v>
      </c>
      <c r="F54" s="50">
        <f>VLOOKUP($A54,'Data Vlaue (Cr)'!$C:$FB,146)*100</f>
        <v>332.98</v>
      </c>
      <c r="G54" s="49">
        <f>VLOOKUP($A54,'Data Vlaue (Cr)'!$C:$FB,43)</f>
        <v>654</v>
      </c>
      <c r="H54" s="49">
        <f>VLOOKUP($A54,'Data Vlaue (Cr)'!$C:$FB,44)</f>
        <v>223</v>
      </c>
      <c r="I54" s="49">
        <f>VLOOKUP($A54,'Data Vlaue (Cr)'!$C:$FB,46)*100</f>
        <v>192.94</v>
      </c>
      <c r="J54" s="51">
        <f>VLOOKUP($A54,'Data Vlaue (Cr)'!$C:$FB,59)</f>
        <v>3491</v>
      </c>
      <c r="K54" s="51">
        <f>VLOOKUP($A54,'Data Vlaue (Cr)'!$C:$FB,60)</f>
        <v>619</v>
      </c>
      <c r="L54" s="51">
        <f>VLOOKUP($A54,'Data Vlaue (Cr)'!$C:$FB,62)*100</f>
        <v>463.63000000000005</v>
      </c>
      <c r="M54" s="51">
        <f>VLOOKUP($A54,'Data Vlaue (Cr)'!$C:$FB,63)</f>
        <v>1299</v>
      </c>
      <c r="N54" s="51">
        <f>VLOOKUP($A54,'Data Vlaue (Cr)'!$C:$FB,64)</f>
        <v>442</v>
      </c>
      <c r="O54" s="51">
        <f>VLOOKUP($A54,'Data Vlaue (Cr)'!$C:$FB,66)*100</f>
        <v>194.1</v>
      </c>
    </row>
    <row r="55" spans="1:15" x14ac:dyDescent="0.25">
      <c r="A55" s="101" t="str">
        <f>'Data Vlaue (Cr)'!C50</f>
        <v>COLPAL</v>
      </c>
      <c r="B55" s="50">
        <f>VLOOKUP($A55,'Data Vlaue (Cr)'!$C:$FB,8)</f>
        <v>2356.5</v>
      </c>
      <c r="C55" s="50">
        <f>VLOOKUP($A55,'Data Vlaue (Cr)'!$C:$FB,11)*100</f>
        <v>3.65</v>
      </c>
      <c r="D55" s="50">
        <f>VLOOKUP($A55,'Data Vlaue (Cr)'!$C:$FB,143)</f>
        <v>4898.6400000000003</v>
      </c>
      <c r="E55" s="50">
        <f>VLOOKUP($A55,'Data Vlaue (Cr)'!$C:$FB,144)</f>
        <v>1532.9</v>
      </c>
      <c r="F55" s="50">
        <f>VLOOKUP($A55,'Data Vlaue (Cr)'!$C:$FB,146)*100</f>
        <v>219.57</v>
      </c>
      <c r="G55" s="49">
        <f>VLOOKUP($A55,'Data Vlaue (Cr)'!$C:$FB,43)</f>
        <v>638</v>
      </c>
      <c r="H55" s="49">
        <f>VLOOKUP($A55,'Data Vlaue (Cr)'!$C:$FB,44)</f>
        <v>261</v>
      </c>
      <c r="I55" s="49">
        <f>VLOOKUP($A55,'Data Vlaue (Cr)'!$C:$FB,46)*100</f>
        <v>144.15</v>
      </c>
      <c r="J55" s="51">
        <f>VLOOKUP($A55,'Data Vlaue (Cr)'!$C:$FB,59)</f>
        <v>3296</v>
      </c>
      <c r="K55" s="51">
        <f>VLOOKUP($A55,'Data Vlaue (Cr)'!$C:$FB,60)</f>
        <v>990</v>
      </c>
      <c r="L55" s="51">
        <f>VLOOKUP($A55,'Data Vlaue (Cr)'!$C:$FB,62)*100</f>
        <v>232.94000000000003</v>
      </c>
      <c r="M55" s="51">
        <f>VLOOKUP($A55,'Data Vlaue (Cr)'!$C:$FB,63)</f>
        <v>949</v>
      </c>
      <c r="N55" s="51">
        <f>VLOOKUP($A55,'Data Vlaue (Cr)'!$C:$FB,64)</f>
        <v>337</v>
      </c>
      <c r="O55" s="51">
        <f>VLOOKUP($A55,'Data Vlaue (Cr)'!$C:$FB,66)*100</f>
        <v>181.65</v>
      </c>
    </row>
    <row r="56" spans="1:15" x14ac:dyDescent="0.25">
      <c r="A56" s="101" t="str">
        <f>'Data Vlaue (Cr)'!C51</f>
        <v>CONCOR</v>
      </c>
      <c r="B56" s="50">
        <f>VLOOKUP($A56,'Data Vlaue (Cr)'!$C:$FB,8)</f>
        <v>557.5</v>
      </c>
      <c r="C56" s="50">
        <f>VLOOKUP($A56,'Data Vlaue (Cr)'!$C:$FB,11)*100</f>
        <v>0.44999999999999996</v>
      </c>
      <c r="D56" s="50">
        <f>VLOOKUP($A56,'Data Vlaue (Cr)'!$C:$FB,143)</f>
        <v>855.39</v>
      </c>
      <c r="E56" s="50">
        <f>VLOOKUP($A56,'Data Vlaue (Cr)'!$C:$FB,144)</f>
        <v>1346.79</v>
      </c>
      <c r="F56" s="50">
        <f>VLOOKUP($A56,'Data Vlaue (Cr)'!$C:$FB,146)*100</f>
        <v>-36.49</v>
      </c>
      <c r="G56" s="49">
        <f>VLOOKUP($A56,'Data Vlaue (Cr)'!$C:$FB,43)</f>
        <v>167</v>
      </c>
      <c r="H56" s="49">
        <f>VLOOKUP($A56,'Data Vlaue (Cr)'!$C:$FB,44)</f>
        <v>267</v>
      </c>
      <c r="I56" s="49">
        <f>VLOOKUP($A56,'Data Vlaue (Cr)'!$C:$FB,46)*100</f>
        <v>-37.26</v>
      </c>
      <c r="J56" s="51">
        <f>VLOOKUP($A56,'Data Vlaue (Cr)'!$C:$FB,59)</f>
        <v>437</v>
      </c>
      <c r="K56" s="51">
        <f>VLOOKUP($A56,'Data Vlaue (Cr)'!$C:$FB,60)</f>
        <v>832</v>
      </c>
      <c r="L56" s="51">
        <f>VLOOKUP($A56,'Data Vlaue (Cr)'!$C:$FB,62)*100</f>
        <v>-47.54</v>
      </c>
      <c r="M56" s="51">
        <f>VLOOKUP($A56,'Data Vlaue (Cr)'!$C:$FB,63)</f>
        <v>237</v>
      </c>
      <c r="N56" s="51">
        <f>VLOOKUP($A56,'Data Vlaue (Cr)'!$C:$FB,64)</f>
        <v>241</v>
      </c>
      <c r="O56" s="51">
        <f>VLOOKUP($A56,'Data Vlaue (Cr)'!$C:$FB,66)*100</f>
        <v>-1.5599999999999998</v>
      </c>
    </row>
    <row r="57" spans="1:15" x14ac:dyDescent="0.25">
      <c r="A57" s="101" t="str">
        <f>'Data Vlaue (Cr)'!C52</f>
        <v>CROMPTON</v>
      </c>
      <c r="B57" s="50">
        <f>VLOOKUP($A57,'Data Vlaue (Cr)'!$C:$FB,8)</f>
        <v>328.35</v>
      </c>
      <c r="C57" s="50">
        <f>VLOOKUP($A57,'Data Vlaue (Cr)'!$C:$FB,11)*100</f>
        <v>-0.35000000000000003</v>
      </c>
      <c r="D57" s="50">
        <f>VLOOKUP($A57,'Data Vlaue (Cr)'!$C:$FB,143)</f>
        <v>315.7</v>
      </c>
      <c r="E57" s="50">
        <f>VLOOKUP($A57,'Data Vlaue (Cr)'!$C:$FB,144)</f>
        <v>429.29</v>
      </c>
      <c r="F57" s="50">
        <f>VLOOKUP($A57,'Data Vlaue (Cr)'!$C:$FB,146)*100</f>
        <v>-26.46</v>
      </c>
      <c r="G57" s="49">
        <f>VLOOKUP($A57,'Data Vlaue (Cr)'!$C:$FB,43)</f>
        <v>137</v>
      </c>
      <c r="H57" s="49">
        <f>VLOOKUP($A57,'Data Vlaue (Cr)'!$C:$FB,44)</f>
        <v>126</v>
      </c>
      <c r="I57" s="49">
        <f>VLOOKUP($A57,'Data Vlaue (Cr)'!$C:$FB,46)*100</f>
        <v>8.77</v>
      </c>
      <c r="J57" s="51">
        <f>VLOOKUP($A57,'Data Vlaue (Cr)'!$C:$FB,59)</f>
        <v>131</v>
      </c>
      <c r="K57" s="51">
        <f>VLOOKUP($A57,'Data Vlaue (Cr)'!$C:$FB,60)</f>
        <v>218</v>
      </c>
      <c r="L57" s="51">
        <f>VLOOKUP($A57,'Data Vlaue (Cr)'!$C:$FB,62)*100</f>
        <v>-40.089999999999996</v>
      </c>
      <c r="M57" s="51">
        <f>VLOOKUP($A57,'Data Vlaue (Cr)'!$C:$FB,63)</f>
        <v>46</v>
      </c>
      <c r="N57" s="51">
        <f>VLOOKUP($A57,'Data Vlaue (Cr)'!$C:$FB,64)</f>
        <v>80</v>
      </c>
      <c r="O57" s="51">
        <f>VLOOKUP($A57,'Data Vlaue (Cr)'!$C:$FB,66)*100</f>
        <v>-43.26</v>
      </c>
    </row>
    <row r="58" spans="1:15" x14ac:dyDescent="0.25">
      <c r="A58" s="101" t="str">
        <f>'Data Vlaue (Cr)'!C53</f>
        <v>CUMMINSIND</v>
      </c>
      <c r="B58" s="50">
        <f>VLOOKUP($A58,'Data Vlaue (Cr)'!$C:$FB,8)</f>
        <v>3818.4</v>
      </c>
      <c r="C58" s="50">
        <f>VLOOKUP($A58,'Data Vlaue (Cr)'!$C:$FB,11)*100</f>
        <v>1.77</v>
      </c>
      <c r="D58" s="50">
        <f>VLOOKUP($A58,'Data Vlaue (Cr)'!$C:$FB,143)</f>
        <v>1361.09</v>
      </c>
      <c r="E58" s="50">
        <f>VLOOKUP($A58,'Data Vlaue (Cr)'!$C:$FB,144)</f>
        <v>719.56</v>
      </c>
      <c r="F58" s="50">
        <f>VLOOKUP($A58,'Data Vlaue (Cr)'!$C:$FB,146)*100</f>
        <v>89.16</v>
      </c>
      <c r="G58" s="49">
        <f>VLOOKUP($A58,'Data Vlaue (Cr)'!$C:$FB,43)</f>
        <v>243</v>
      </c>
      <c r="H58" s="49">
        <f>VLOOKUP($A58,'Data Vlaue (Cr)'!$C:$FB,44)</f>
        <v>157</v>
      </c>
      <c r="I58" s="49">
        <f>VLOOKUP($A58,'Data Vlaue (Cr)'!$C:$FB,46)*100</f>
        <v>54.74</v>
      </c>
      <c r="J58" s="51">
        <f>VLOOKUP($A58,'Data Vlaue (Cr)'!$C:$FB,59)</f>
        <v>823</v>
      </c>
      <c r="K58" s="51">
        <f>VLOOKUP($A58,'Data Vlaue (Cr)'!$C:$FB,60)</f>
        <v>335</v>
      </c>
      <c r="L58" s="51">
        <f>VLOOKUP($A58,'Data Vlaue (Cr)'!$C:$FB,62)*100</f>
        <v>145.60999999999999</v>
      </c>
      <c r="M58" s="51">
        <f>VLOOKUP($A58,'Data Vlaue (Cr)'!$C:$FB,63)</f>
        <v>280</v>
      </c>
      <c r="N58" s="51">
        <f>VLOOKUP($A58,'Data Vlaue (Cr)'!$C:$FB,64)</f>
        <v>226</v>
      </c>
      <c r="O58" s="51">
        <f>VLOOKUP($A58,'Data Vlaue (Cr)'!$C:$FB,66)*100</f>
        <v>24.060000000000002</v>
      </c>
    </row>
    <row r="59" spans="1:15" x14ac:dyDescent="0.25">
      <c r="A59" s="101" t="str">
        <f>'Data Vlaue (Cr)'!C54</f>
        <v>CYIENT</v>
      </c>
      <c r="B59" s="50">
        <f>VLOOKUP($A59,'Data Vlaue (Cr)'!$C:$FB,8)</f>
        <v>1230.5999999999999</v>
      </c>
      <c r="C59" s="50">
        <f>VLOOKUP($A59,'Data Vlaue (Cr)'!$C:$FB,11)*100</f>
        <v>1.77</v>
      </c>
      <c r="D59" s="50">
        <f>VLOOKUP($A59,'Data Vlaue (Cr)'!$C:$FB,143)</f>
        <v>807.12</v>
      </c>
      <c r="E59" s="50">
        <f>VLOOKUP($A59,'Data Vlaue (Cr)'!$C:$FB,144)</f>
        <v>246.46</v>
      </c>
      <c r="F59" s="50">
        <f>VLOOKUP($A59,'Data Vlaue (Cr)'!$C:$FB,146)*100</f>
        <v>227.49</v>
      </c>
      <c r="G59" s="49">
        <f>VLOOKUP($A59,'Data Vlaue (Cr)'!$C:$FB,43)</f>
        <v>88</v>
      </c>
      <c r="H59" s="49">
        <f>VLOOKUP($A59,'Data Vlaue (Cr)'!$C:$FB,44)</f>
        <v>47</v>
      </c>
      <c r="I59" s="49">
        <f>VLOOKUP($A59,'Data Vlaue (Cr)'!$C:$FB,46)*100</f>
        <v>89.41</v>
      </c>
      <c r="J59" s="51">
        <f>VLOOKUP($A59,'Data Vlaue (Cr)'!$C:$FB,59)</f>
        <v>599</v>
      </c>
      <c r="K59" s="51">
        <f>VLOOKUP($A59,'Data Vlaue (Cr)'!$C:$FB,60)</f>
        <v>168</v>
      </c>
      <c r="L59" s="51">
        <f>VLOOKUP($A59,'Data Vlaue (Cr)'!$C:$FB,62)*100</f>
        <v>257.2</v>
      </c>
      <c r="M59" s="51">
        <f>VLOOKUP($A59,'Data Vlaue (Cr)'!$C:$FB,63)</f>
        <v>102</v>
      </c>
      <c r="N59" s="51">
        <f>VLOOKUP($A59,'Data Vlaue (Cr)'!$C:$FB,64)</f>
        <v>36</v>
      </c>
      <c r="O59" s="51">
        <f>VLOOKUP($A59,'Data Vlaue (Cr)'!$C:$FB,66)*100</f>
        <v>184.71</v>
      </c>
    </row>
    <row r="60" spans="1:15" x14ac:dyDescent="0.25">
      <c r="A60" s="101" t="str">
        <f>'Data Vlaue (Cr)'!C55</f>
        <v>DABUR</v>
      </c>
      <c r="B60" s="50">
        <f>VLOOKUP($A60,'Data Vlaue (Cr)'!$C:$FB,8)</f>
        <v>535</v>
      </c>
      <c r="C60" s="50">
        <f>VLOOKUP($A60,'Data Vlaue (Cr)'!$C:$FB,11)*100</f>
        <v>2.48</v>
      </c>
      <c r="D60" s="50">
        <f>VLOOKUP($A60,'Data Vlaue (Cr)'!$C:$FB,143)</f>
        <v>3874.24</v>
      </c>
      <c r="E60" s="50">
        <f>VLOOKUP($A60,'Data Vlaue (Cr)'!$C:$FB,144)</f>
        <v>879.38</v>
      </c>
      <c r="F60" s="50">
        <f>VLOOKUP($A60,'Data Vlaue (Cr)'!$C:$FB,146)*100</f>
        <v>340.57</v>
      </c>
      <c r="G60" s="49">
        <f>VLOOKUP($A60,'Data Vlaue (Cr)'!$C:$FB,43)</f>
        <v>682</v>
      </c>
      <c r="H60" s="49">
        <f>VLOOKUP($A60,'Data Vlaue (Cr)'!$C:$FB,44)</f>
        <v>160</v>
      </c>
      <c r="I60" s="49">
        <f>VLOOKUP($A60,'Data Vlaue (Cr)'!$C:$FB,46)*100</f>
        <v>327.23</v>
      </c>
      <c r="J60" s="51">
        <f>VLOOKUP($A60,'Data Vlaue (Cr)'!$C:$FB,59)</f>
        <v>2474</v>
      </c>
      <c r="K60" s="51">
        <f>VLOOKUP($A60,'Data Vlaue (Cr)'!$C:$FB,60)</f>
        <v>512</v>
      </c>
      <c r="L60" s="51">
        <f>VLOOKUP($A60,'Data Vlaue (Cr)'!$C:$FB,62)*100</f>
        <v>383.5</v>
      </c>
      <c r="M60" s="51">
        <f>VLOOKUP($A60,'Data Vlaue (Cr)'!$C:$FB,63)</f>
        <v>704</v>
      </c>
      <c r="N60" s="51">
        <f>VLOOKUP($A60,'Data Vlaue (Cr)'!$C:$FB,64)</f>
        <v>223</v>
      </c>
      <c r="O60" s="51">
        <f>VLOOKUP($A60,'Data Vlaue (Cr)'!$C:$FB,66)*100</f>
        <v>215.07999999999998</v>
      </c>
    </row>
    <row r="61" spans="1:15" x14ac:dyDescent="0.25">
      <c r="A61" s="101" t="str">
        <f>'Data Vlaue (Cr)'!C56</f>
        <v>DALBHARAT</v>
      </c>
      <c r="B61" s="50">
        <f>VLOOKUP($A61,'Data Vlaue (Cr)'!$C:$FB,8)</f>
        <v>2344.4</v>
      </c>
      <c r="C61" s="50">
        <f>VLOOKUP($A61,'Data Vlaue (Cr)'!$C:$FB,11)*100</f>
        <v>-0.09</v>
      </c>
      <c r="D61" s="50">
        <f>VLOOKUP($A61,'Data Vlaue (Cr)'!$C:$FB,143)</f>
        <v>134.54</v>
      </c>
      <c r="E61" s="50">
        <f>VLOOKUP($A61,'Data Vlaue (Cr)'!$C:$FB,144)</f>
        <v>245.97</v>
      </c>
      <c r="F61" s="50">
        <f>VLOOKUP($A61,'Data Vlaue (Cr)'!$C:$FB,146)*100</f>
        <v>-45.300000000000004</v>
      </c>
      <c r="G61" s="49">
        <f>VLOOKUP($A61,'Data Vlaue (Cr)'!$C:$FB,43)</f>
        <v>46</v>
      </c>
      <c r="H61" s="49">
        <f>VLOOKUP($A61,'Data Vlaue (Cr)'!$C:$FB,44)</f>
        <v>81</v>
      </c>
      <c r="I61" s="49">
        <f>VLOOKUP($A61,'Data Vlaue (Cr)'!$C:$FB,46)*100</f>
        <v>-42.42</v>
      </c>
      <c r="J61" s="51">
        <f>VLOOKUP($A61,'Data Vlaue (Cr)'!$C:$FB,59)</f>
        <v>59</v>
      </c>
      <c r="K61" s="51">
        <f>VLOOKUP($A61,'Data Vlaue (Cr)'!$C:$FB,60)</f>
        <v>121</v>
      </c>
      <c r="L61" s="51">
        <f>VLOOKUP($A61,'Data Vlaue (Cr)'!$C:$FB,62)*100</f>
        <v>-50.980000000000004</v>
      </c>
      <c r="M61" s="51">
        <f>VLOOKUP($A61,'Data Vlaue (Cr)'!$C:$FB,63)</f>
        <v>29</v>
      </c>
      <c r="N61" s="51">
        <f>VLOOKUP($A61,'Data Vlaue (Cr)'!$C:$FB,64)</f>
        <v>42</v>
      </c>
      <c r="O61" s="51">
        <f>VLOOKUP($A61,'Data Vlaue (Cr)'!$C:$FB,66)*100</f>
        <v>-31.830000000000002</v>
      </c>
    </row>
    <row r="62" spans="1:15" x14ac:dyDescent="0.25">
      <c r="A62" s="101" t="str">
        <f>'Data Vlaue (Cr)'!C57</f>
        <v>DELHIVERY</v>
      </c>
      <c r="B62" s="50">
        <f>VLOOKUP($A62,'Data Vlaue (Cr)'!$C:$FB,8)</f>
        <v>471.1</v>
      </c>
      <c r="C62" s="50">
        <f>VLOOKUP($A62,'Data Vlaue (Cr)'!$C:$FB,11)*100</f>
        <v>-0.13</v>
      </c>
      <c r="D62" s="50">
        <f>VLOOKUP($A62,'Data Vlaue (Cr)'!$C:$FB,143)</f>
        <v>1430.42</v>
      </c>
      <c r="E62" s="50">
        <f>VLOOKUP($A62,'Data Vlaue (Cr)'!$C:$FB,144)</f>
        <v>1718.7</v>
      </c>
      <c r="F62" s="50">
        <f>VLOOKUP($A62,'Data Vlaue (Cr)'!$C:$FB,146)*100</f>
        <v>-16.77</v>
      </c>
      <c r="G62" s="49">
        <f>VLOOKUP($A62,'Data Vlaue (Cr)'!$C:$FB,43)</f>
        <v>185</v>
      </c>
      <c r="H62" s="49">
        <f>VLOOKUP($A62,'Data Vlaue (Cr)'!$C:$FB,44)</f>
        <v>222</v>
      </c>
      <c r="I62" s="49">
        <f>VLOOKUP($A62,'Data Vlaue (Cr)'!$C:$FB,46)*100</f>
        <v>-16.600000000000001</v>
      </c>
      <c r="J62" s="51">
        <f>VLOOKUP($A62,'Data Vlaue (Cr)'!$C:$FB,59)</f>
        <v>806</v>
      </c>
      <c r="K62" s="51">
        <f>VLOOKUP($A62,'Data Vlaue (Cr)'!$C:$FB,60)</f>
        <v>1131</v>
      </c>
      <c r="L62" s="51">
        <f>VLOOKUP($A62,'Data Vlaue (Cr)'!$C:$FB,62)*100</f>
        <v>-28.71</v>
      </c>
      <c r="M62" s="51">
        <f>VLOOKUP($A62,'Data Vlaue (Cr)'!$C:$FB,63)</f>
        <v>419</v>
      </c>
      <c r="N62" s="51">
        <f>VLOOKUP($A62,'Data Vlaue (Cr)'!$C:$FB,64)</f>
        <v>334</v>
      </c>
      <c r="O62" s="51">
        <f>VLOOKUP($A62,'Data Vlaue (Cr)'!$C:$FB,66)*100</f>
        <v>25.619999999999997</v>
      </c>
    </row>
    <row r="63" spans="1:15" x14ac:dyDescent="0.25">
      <c r="A63" s="101" t="str">
        <f>'Data Vlaue (Cr)'!C58</f>
        <v>DIVISLAB</v>
      </c>
      <c r="B63" s="50">
        <f>VLOOKUP($A63,'Data Vlaue (Cr)'!$C:$FB,8)</f>
        <v>6005</v>
      </c>
      <c r="C63" s="50">
        <f>VLOOKUP($A63,'Data Vlaue (Cr)'!$C:$FB,11)*100</f>
        <v>-1.23</v>
      </c>
      <c r="D63" s="50">
        <f>VLOOKUP($A63,'Data Vlaue (Cr)'!$C:$FB,143)</f>
        <v>3230.76</v>
      </c>
      <c r="E63" s="50">
        <f>VLOOKUP($A63,'Data Vlaue (Cr)'!$C:$FB,144)</f>
        <v>1238.53</v>
      </c>
      <c r="F63" s="50">
        <f>VLOOKUP($A63,'Data Vlaue (Cr)'!$C:$FB,146)*100</f>
        <v>160.86000000000001</v>
      </c>
      <c r="G63" s="49">
        <f>VLOOKUP($A63,'Data Vlaue (Cr)'!$C:$FB,43)</f>
        <v>321</v>
      </c>
      <c r="H63" s="49">
        <f>VLOOKUP($A63,'Data Vlaue (Cr)'!$C:$FB,44)</f>
        <v>148</v>
      </c>
      <c r="I63" s="49">
        <f>VLOOKUP($A63,'Data Vlaue (Cr)'!$C:$FB,46)*100</f>
        <v>117</v>
      </c>
      <c r="J63" s="51">
        <f>VLOOKUP($A63,'Data Vlaue (Cr)'!$C:$FB,59)</f>
        <v>1586</v>
      </c>
      <c r="K63" s="51">
        <f>VLOOKUP($A63,'Data Vlaue (Cr)'!$C:$FB,60)</f>
        <v>733</v>
      </c>
      <c r="L63" s="51">
        <f>VLOOKUP($A63,'Data Vlaue (Cr)'!$C:$FB,62)*100</f>
        <v>116.36999999999999</v>
      </c>
      <c r="M63" s="51">
        <f>VLOOKUP($A63,'Data Vlaue (Cr)'!$C:$FB,63)</f>
        <v>1252</v>
      </c>
      <c r="N63" s="51">
        <f>VLOOKUP($A63,'Data Vlaue (Cr)'!$C:$FB,64)</f>
        <v>304</v>
      </c>
      <c r="O63" s="51">
        <f>VLOOKUP($A63,'Data Vlaue (Cr)'!$C:$FB,66)*100</f>
        <v>311.71000000000004</v>
      </c>
    </row>
    <row r="64" spans="1:15" x14ac:dyDescent="0.25">
      <c r="A64" s="101" t="str">
        <f>'Data Vlaue (Cr)'!C59</f>
        <v>DIXON</v>
      </c>
      <c r="B64" s="50">
        <f>VLOOKUP($A64,'Data Vlaue (Cr)'!$C:$FB,8)</f>
        <v>16876</v>
      </c>
      <c r="C64" s="50">
        <f>VLOOKUP($A64,'Data Vlaue (Cr)'!$C:$FB,11)*100</f>
        <v>-0.16999999999999998</v>
      </c>
      <c r="D64" s="50">
        <f>VLOOKUP($A64,'Data Vlaue (Cr)'!$C:$FB,143)</f>
        <v>7866.9</v>
      </c>
      <c r="E64" s="50">
        <f>VLOOKUP($A64,'Data Vlaue (Cr)'!$C:$FB,144)</f>
        <v>6175.96</v>
      </c>
      <c r="F64" s="50">
        <f>VLOOKUP($A64,'Data Vlaue (Cr)'!$C:$FB,146)*100</f>
        <v>27.38</v>
      </c>
      <c r="G64" s="49">
        <f>VLOOKUP($A64,'Data Vlaue (Cr)'!$C:$FB,43)</f>
        <v>552</v>
      </c>
      <c r="H64" s="49">
        <f>VLOOKUP($A64,'Data Vlaue (Cr)'!$C:$FB,44)</f>
        <v>608</v>
      </c>
      <c r="I64" s="49">
        <f>VLOOKUP($A64,'Data Vlaue (Cr)'!$C:$FB,46)*100</f>
        <v>-9.2200000000000006</v>
      </c>
      <c r="J64" s="51">
        <f>VLOOKUP($A64,'Data Vlaue (Cr)'!$C:$FB,59)</f>
        <v>4947</v>
      </c>
      <c r="K64" s="51">
        <f>VLOOKUP($A64,'Data Vlaue (Cr)'!$C:$FB,60)</f>
        <v>3528</v>
      </c>
      <c r="L64" s="51">
        <f>VLOOKUP($A64,'Data Vlaue (Cr)'!$C:$FB,62)*100</f>
        <v>40.21</v>
      </c>
      <c r="M64" s="51">
        <f>VLOOKUP($A64,'Data Vlaue (Cr)'!$C:$FB,63)</f>
        <v>2195</v>
      </c>
      <c r="N64" s="51">
        <f>VLOOKUP($A64,'Data Vlaue (Cr)'!$C:$FB,64)</f>
        <v>1961</v>
      </c>
      <c r="O64" s="51">
        <f>VLOOKUP($A64,'Data Vlaue (Cr)'!$C:$FB,66)*100</f>
        <v>11.93</v>
      </c>
    </row>
    <row r="65" spans="1:15" x14ac:dyDescent="0.25">
      <c r="A65" s="101" t="str">
        <f>'Data Vlaue (Cr)'!C60</f>
        <v>DLF</v>
      </c>
      <c r="B65" s="50">
        <f>VLOOKUP($A65,'Data Vlaue (Cr)'!$C:$FB,8)</f>
        <v>770.5</v>
      </c>
      <c r="C65" s="50">
        <f>VLOOKUP($A65,'Data Vlaue (Cr)'!$C:$FB,11)*100</f>
        <v>-0.72</v>
      </c>
      <c r="D65" s="50">
        <f>VLOOKUP($A65,'Data Vlaue (Cr)'!$C:$FB,143)</f>
        <v>2540.5</v>
      </c>
      <c r="E65" s="50">
        <f>VLOOKUP($A65,'Data Vlaue (Cr)'!$C:$FB,144)</f>
        <v>2726.94</v>
      </c>
      <c r="F65" s="50">
        <f>VLOOKUP($A65,'Data Vlaue (Cr)'!$C:$FB,146)*100</f>
        <v>-6.84</v>
      </c>
      <c r="G65" s="49">
        <f>VLOOKUP($A65,'Data Vlaue (Cr)'!$C:$FB,43)</f>
        <v>467</v>
      </c>
      <c r="H65" s="49">
        <f>VLOOKUP($A65,'Data Vlaue (Cr)'!$C:$FB,44)</f>
        <v>440</v>
      </c>
      <c r="I65" s="49">
        <f>VLOOKUP($A65,'Data Vlaue (Cr)'!$C:$FB,46)*100</f>
        <v>6.11</v>
      </c>
      <c r="J65" s="51">
        <f>VLOOKUP($A65,'Data Vlaue (Cr)'!$C:$FB,59)</f>
        <v>1394</v>
      </c>
      <c r="K65" s="51">
        <f>VLOOKUP($A65,'Data Vlaue (Cr)'!$C:$FB,60)</f>
        <v>1606</v>
      </c>
      <c r="L65" s="51">
        <f>VLOOKUP($A65,'Data Vlaue (Cr)'!$C:$FB,62)*100</f>
        <v>-13.200000000000001</v>
      </c>
      <c r="M65" s="51">
        <f>VLOOKUP($A65,'Data Vlaue (Cr)'!$C:$FB,63)</f>
        <v>624</v>
      </c>
      <c r="N65" s="51">
        <f>VLOOKUP($A65,'Data Vlaue (Cr)'!$C:$FB,64)</f>
        <v>626</v>
      </c>
      <c r="O65" s="51">
        <f>VLOOKUP($A65,'Data Vlaue (Cr)'!$C:$FB,66)*100</f>
        <v>-0.44</v>
      </c>
    </row>
    <row r="66" spans="1:15" x14ac:dyDescent="0.25">
      <c r="A66" s="101" t="str">
        <f>'Data Vlaue (Cr)'!C61</f>
        <v>DMART</v>
      </c>
      <c r="B66" s="50">
        <f>VLOOKUP($A66,'Data Vlaue (Cr)'!$C:$FB,8)</f>
        <v>4737.8999999999996</v>
      </c>
      <c r="C66" s="50">
        <f>VLOOKUP($A66,'Data Vlaue (Cr)'!$C:$FB,11)*100</f>
        <v>1.82</v>
      </c>
      <c r="D66" s="50">
        <f>VLOOKUP($A66,'Data Vlaue (Cr)'!$C:$FB,143)</f>
        <v>7302.69</v>
      </c>
      <c r="E66" s="50">
        <f>VLOOKUP($A66,'Data Vlaue (Cr)'!$C:$FB,144)</f>
        <v>8105.04</v>
      </c>
      <c r="F66" s="50">
        <f>VLOOKUP($A66,'Data Vlaue (Cr)'!$C:$FB,146)*100</f>
        <v>-9.9</v>
      </c>
      <c r="G66" s="49">
        <f>VLOOKUP($A66,'Data Vlaue (Cr)'!$C:$FB,43)</f>
        <v>602</v>
      </c>
      <c r="H66" s="49">
        <f>VLOOKUP($A66,'Data Vlaue (Cr)'!$C:$FB,44)</f>
        <v>722</v>
      </c>
      <c r="I66" s="49">
        <f>VLOOKUP($A66,'Data Vlaue (Cr)'!$C:$FB,46)*100</f>
        <v>-16.650000000000002</v>
      </c>
      <c r="J66" s="51">
        <f>VLOOKUP($A66,'Data Vlaue (Cr)'!$C:$FB,59)</f>
        <v>4907</v>
      </c>
      <c r="K66" s="51">
        <f>VLOOKUP($A66,'Data Vlaue (Cr)'!$C:$FB,60)</f>
        <v>5577</v>
      </c>
      <c r="L66" s="51">
        <f>VLOOKUP($A66,'Data Vlaue (Cr)'!$C:$FB,62)*100</f>
        <v>-12</v>
      </c>
      <c r="M66" s="51">
        <f>VLOOKUP($A66,'Data Vlaue (Cr)'!$C:$FB,63)</f>
        <v>1709</v>
      </c>
      <c r="N66" s="51">
        <f>VLOOKUP($A66,'Data Vlaue (Cr)'!$C:$FB,64)</f>
        <v>1871</v>
      </c>
      <c r="O66" s="51">
        <f>VLOOKUP($A66,'Data Vlaue (Cr)'!$C:$FB,66)*100</f>
        <v>-8.66</v>
      </c>
    </row>
    <row r="67" spans="1:15" x14ac:dyDescent="0.25">
      <c r="A67" s="101" t="str">
        <f>'Data Vlaue (Cr)'!C62</f>
        <v>DRREDDY</v>
      </c>
      <c r="B67" s="50">
        <f>VLOOKUP($A67,'Data Vlaue (Cr)'!$C:$FB,8)</f>
        <v>1245.4000000000001</v>
      </c>
      <c r="C67" s="50">
        <f>VLOOKUP($A67,'Data Vlaue (Cr)'!$C:$FB,11)*100</f>
        <v>0.1</v>
      </c>
      <c r="D67" s="50">
        <f>VLOOKUP($A67,'Data Vlaue (Cr)'!$C:$FB,143)</f>
        <v>1005.91</v>
      </c>
      <c r="E67" s="50">
        <f>VLOOKUP($A67,'Data Vlaue (Cr)'!$C:$FB,144)</f>
        <v>1120.74</v>
      </c>
      <c r="F67" s="50">
        <f>VLOOKUP($A67,'Data Vlaue (Cr)'!$C:$FB,146)*100</f>
        <v>-10.25</v>
      </c>
      <c r="G67" s="49">
        <f>VLOOKUP($A67,'Data Vlaue (Cr)'!$C:$FB,43)</f>
        <v>223</v>
      </c>
      <c r="H67" s="49">
        <f>VLOOKUP($A67,'Data Vlaue (Cr)'!$C:$FB,44)</f>
        <v>228</v>
      </c>
      <c r="I67" s="49">
        <f>VLOOKUP($A67,'Data Vlaue (Cr)'!$C:$FB,46)*100</f>
        <v>-2.1800000000000002</v>
      </c>
      <c r="J67" s="51">
        <f>VLOOKUP($A67,'Data Vlaue (Cr)'!$C:$FB,59)</f>
        <v>463</v>
      </c>
      <c r="K67" s="51">
        <f>VLOOKUP($A67,'Data Vlaue (Cr)'!$C:$FB,60)</f>
        <v>478</v>
      </c>
      <c r="L67" s="51">
        <f>VLOOKUP($A67,'Data Vlaue (Cr)'!$C:$FB,62)*100</f>
        <v>-3.04</v>
      </c>
      <c r="M67" s="51">
        <f>VLOOKUP($A67,'Data Vlaue (Cr)'!$C:$FB,63)</f>
        <v>308</v>
      </c>
      <c r="N67" s="51">
        <f>VLOOKUP($A67,'Data Vlaue (Cr)'!$C:$FB,64)</f>
        <v>408</v>
      </c>
      <c r="O67" s="51">
        <f>VLOOKUP($A67,'Data Vlaue (Cr)'!$C:$FB,66)*100</f>
        <v>-24.5</v>
      </c>
    </row>
    <row r="68" spans="1:15" x14ac:dyDescent="0.25">
      <c r="A68" s="101" t="str">
        <f>'Data Vlaue (Cr)'!C63</f>
        <v>EICHERMOT</v>
      </c>
      <c r="B68" s="50">
        <f>VLOOKUP($A68,'Data Vlaue (Cr)'!$C:$FB,8)</f>
        <v>5937.5</v>
      </c>
      <c r="C68" s="50">
        <f>VLOOKUP($A68,'Data Vlaue (Cr)'!$C:$FB,11)*100</f>
        <v>-0.02</v>
      </c>
      <c r="D68" s="50">
        <f>VLOOKUP($A68,'Data Vlaue (Cr)'!$C:$FB,143)</f>
        <v>2445.0700000000002</v>
      </c>
      <c r="E68" s="50">
        <f>VLOOKUP($A68,'Data Vlaue (Cr)'!$C:$FB,144)</f>
        <v>5475.94</v>
      </c>
      <c r="F68" s="50">
        <f>VLOOKUP($A68,'Data Vlaue (Cr)'!$C:$FB,146)*100</f>
        <v>-55.35</v>
      </c>
      <c r="G68" s="49">
        <f>VLOOKUP($A68,'Data Vlaue (Cr)'!$C:$FB,43)</f>
        <v>261</v>
      </c>
      <c r="H68" s="49">
        <f>VLOOKUP($A68,'Data Vlaue (Cr)'!$C:$FB,44)</f>
        <v>538</v>
      </c>
      <c r="I68" s="49">
        <f>VLOOKUP($A68,'Data Vlaue (Cr)'!$C:$FB,46)*100</f>
        <v>-51.54</v>
      </c>
      <c r="J68" s="51">
        <f>VLOOKUP($A68,'Data Vlaue (Cr)'!$C:$FB,59)</f>
        <v>1352</v>
      </c>
      <c r="K68" s="51">
        <f>VLOOKUP($A68,'Data Vlaue (Cr)'!$C:$FB,60)</f>
        <v>3282</v>
      </c>
      <c r="L68" s="51">
        <f>VLOOKUP($A68,'Data Vlaue (Cr)'!$C:$FB,62)*100</f>
        <v>-58.819999999999993</v>
      </c>
      <c r="M68" s="51">
        <f>VLOOKUP($A68,'Data Vlaue (Cr)'!$C:$FB,63)</f>
        <v>819</v>
      </c>
      <c r="N68" s="51">
        <f>VLOOKUP($A68,'Data Vlaue (Cr)'!$C:$FB,64)</f>
        <v>1586</v>
      </c>
      <c r="O68" s="51">
        <f>VLOOKUP($A68,'Data Vlaue (Cr)'!$C:$FB,66)*100</f>
        <v>-48.36</v>
      </c>
    </row>
    <row r="69" spans="1:15" x14ac:dyDescent="0.25">
      <c r="A69" s="101" t="str">
        <f>'Data Vlaue (Cr)'!C64</f>
        <v>ETERNAL</v>
      </c>
      <c r="B69" s="50">
        <f>VLOOKUP($A69,'Data Vlaue (Cr)'!$C:$FB,8)</f>
        <v>326.55</v>
      </c>
      <c r="C69" s="50">
        <f>VLOOKUP($A69,'Data Vlaue (Cr)'!$C:$FB,11)*100</f>
        <v>1.59</v>
      </c>
      <c r="D69" s="50">
        <f>VLOOKUP($A69,'Data Vlaue (Cr)'!$C:$FB,143)</f>
        <v>15454.15</v>
      </c>
      <c r="E69" s="50">
        <f>VLOOKUP($A69,'Data Vlaue (Cr)'!$C:$FB,144)</f>
        <v>8952.18</v>
      </c>
      <c r="F69" s="50">
        <f>VLOOKUP($A69,'Data Vlaue (Cr)'!$C:$FB,146)*100</f>
        <v>72.63</v>
      </c>
      <c r="G69" s="49">
        <f>VLOOKUP($A69,'Data Vlaue (Cr)'!$C:$FB,43)</f>
        <v>2188</v>
      </c>
      <c r="H69" s="49">
        <f>VLOOKUP($A69,'Data Vlaue (Cr)'!$C:$FB,44)</f>
        <v>1614</v>
      </c>
      <c r="I69" s="49">
        <f>VLOOKUP($A69,'Data Vlaue (Cr)'!$C:$FB,46)*100</f>
        <v>35.549999999999997</v>
      </c>
      <c r="J69" s="51">
        <f>VLOOKUP($A69,'Data Vlaue (Cr)'!$C:$FB,59)</f>
        <v>8902</v>
      </c>
      <c r="K69" s="51">
        <f>VLOOKUP($A69,'Data Vlaue (Cr)'!$C:$FB,60)</f>
        <v>4819</v>
      </c>
      <c r="L69" s="51">
        <f>VLOOKUP($A69,'Data Vlaue (Cr)'!$C:$FB,62)*100</f>
        <v>84.72</v>
      </c>
      <c r="M69" s="51">
        <f>VLOOKUP($A69,'Data Vlaue (Cr)'!$C:$FB,63)</f>
        <v>4138</v>
      </c>
      <c r="N69" s="51">
        <f>VLOOKUP($A69,'Data Vlaue (Cr)'!$C:$FB,64)</f>
        <v>2643</v>
      </c>
      <c r="O69" s="51">
        <f>VLOOKUP($A69,'Data Vlaue (Cr)'!$C:$FB,66)*100</f>
        <v>56.55</v>
      </c>
    </row>
    <row r="70" spans="1:15" x14ac:dyDescent="0.25">
      <c r="A70" s="101" t="str">
        <f>'Data Vlaue (Cr)'!C65</f>
        <v>EXIDEIND</v>
      </c>
      <c r="B70" s="50">
        <f>VLOOKUP($A70,'Data Vlaue (Cr)'!$C:$FB,8)</f>
        <v>396.3</v>
      </c>
      <c r="C70" s="50">
        <f>VLOOKUP($A70,'Data Vlaue (Cr)'!$C:$FB,11)*100</f>
        <v>0.89</v>
      </c>
      <c r="D70" s="50">
        <f>VLOOKUP($A70,'Data Vlaue (Cr)'!$C:$FB,143)</f>
        <v>2831.71</v>
      </c>
      <c r="E70" s="50">
        <f>VLOOKUP($A70,'Data Vlaue (Cr)'!$C:$FB,144)</f>
        <v>5341.29</v>
      </c>
      <c r="F70" s="50">
        <f>VLOOKUP($A70,'Data Vlaue (Cr)'!$C:$FB,146)*100</f>
        <v>-46.98</v>
      </c>
      <c r="G70" s="49">
        <f>VLOOKUP($A70,'Data Vlaue (Cr)'!$C:$FB,43)</f>
        <v>427</v>
      </c>
      <c r="H70" s="49">
        <f>VLOOKUP($A70,'Data Vlaue (Cr)'!$C:$FB,44)</f>
        <v>1232</v>
      </c>
      <c r="I70" s="49">
        <f>VLOOKUP($A70,'Data Vlaue (Cr)'!$C:$FB,46)*100</f>
        <v>-65.3</v>
      </c>
      <c r="J70" s="51">
        <f>VLOOKUP($A70,'Data Vlaue (Cr)'!$C:$FB,59)</f>
        <v>1877</v>
      </c>
      <c r="K70" s="51">
        <f>VLOOKUP($A70,'Data Vlaue (Cr)'!$C:$FB,60)</f>
        <v>3104</v>
      </c>
      <c r="L70" s="51">
        <f>VLOOKUP($A70,'Data Vlaue (Cr)'!$C:$FB,62)*100</f>
        <v>-39.53</v>
      </c>
      <c r="M70" s="51">
        <f>VLOOKUP($A70,'Data Vlaue (Cr)'!$C:$FB,63)</f>
        <v>473</v>
      </c>
      <c r="N70" s="51">
        <f>VLOOKUP($A70,'Data Vlaue (Cr)'!$C:$FB,64)</f>
        <v>1031</v>
      </c>
      <c r="O70" s="51">
        <f>VLOOKUP($A70,'Data Vlaue (Cr)'!$C:$FB,66)*100</f>
        <v>-54.09</v>
      </c>
    </row>
    <row r="71" spans="1:15" x14ac:dyDescent="0.25">
      <c r="A71" s="101" t="str">
        <f>'Data Vlaue (Cr)'!C66</f>
        <v>FEDERALBNK</v>
      </c>
      <c r="B71" s="50">
        <f>VLOOKUP($A71,'Data Vlaue (Cr)'!$C:$FB,8)</f>
        <v>199.71</v>
      </c>
      <c r="C71" s="50">
        <f>VLOOKUP($A71,'Data Vlaue (Cr)'!$C:$FB,11)*100</f>
        <v>-0.16999999999999998</v>
      </c>
      <c r="D71" s="50">
        <f>VLOOKUP($A71,'Data Vlaue (Cr)'!$C:$FB,143)</f>
        <v>1748.6</v>
      </c>
      <c r="E71" s="50">
        <f>VLOOKUP($A71,'Data Vlaue (Cr)'!$C:$FB,144)</f>
        <v>2055.9299999999998</v>
      </c>
      <c r="F71" s="50">
        <f>VLOOKUP($A71,'Data Vlaue (Cr)'!$C:$FB,146)*100</f>
        <v>-14.95</v>
      </c>
      <c r="G71" s="49">
        <f>VLOOKUP($A71,'Data Vlaue (Cr)'!$C:$FB,43)</f>
        <v>253</v>
      </c>
      <c r="H71" s="49">
        <f>VLOOKUP($A71,'Data Vlaue (Cr)'!$C:$FB,44)</f>
        <v>415</v>
      </c>
      <c r="I71" s="49">
        <f>VLOOKUP($A71,'Data Vlaue (Cr)'!$C:$FB,46)*100</f>
        <v>-39.15</v>
      </c>
      <c r="J71" s="51">
        <f>VLOOKUP($A71,'Data Vlaue (Cr)'!$C:$FB,59)</f>
        <v>934</v>
      </c>
      <c r="K71" s="51">
        <f>VLOOKUP($A71,'Data Vlaue (Cr)'!$C:$FB,60)</f>
        <v>1050</v>
      </c>
      <c r="L71" s="51">
        <f>VLOOKUP($A71,'Data Vlaue (Cr)'!$C:$FB,62)*100</f>
        <v>-11.06</v>
      </c>
      <c r="M71" s="51">
        <f>VLOOKUP($A71,'Data Vlaue (Cr)'!$C:$FB,63)</f>
        <v>533</v>
      </c>
      <c r="N71" s="51">
        <f>VLOOKUP($A71,'Data Vlaue (Cr)'!$C:$FB,64)</f>
        <v>578</v>
      </c>
      <c r="O71" s="51">
        <f>VLOOKUP($A71,'Data Vlaue (Cr)'!$C:$FB,66)*100</f>
        <v>-7.8</v>
      </c>
    </row>
    <row r="72" spans="1:15" x14ac:dyDescent="0.25">
      <c r="A72" s="101" t="str">
        <f>'Data Vlaue (Cr)'!C67</f>
        <v>FINNIFTY</v>
      </c>
      <c r="B72" s="50">
        <f>VLOOKUP($A72,'Data Vlaue (Cr)'!$C:$FB,8)</f>
        <v>26487.8</v>
      </c>
      <c r="C72" s="50">
        <f>VLOOKUP($A72,'Data Vlaue (Cr)'!$C:$FB,11)*100</f>
        <v>-0.38999999999999996</v>
      </c>
      <c r="D72" s="50">
        <f>VLOOKUP($A72,'Data Vlaue (Cr)'!$C:$FB,143)</f>
        <v>22648.99</v>
      </c>
      <c r="E72" s="50">
        <f>VLOOKUP($A72,'Data Vlaue (Cr)'!$C:$FB,144)</f>
        <v>20731.23</v>
      </c>
      <c r="F72" s="50">
        <f>VLOOKUP($A72,'Data Vlaue (Cr)'!$C:$FB,146)*100</f>
        <v>9.25</v>
      </c>
      <c r="G72" s="49">
        <f>VLOOKUP($A72,'Data Vlaue (Cr)'!$C:$FB,43)</f>
        <v>59</v>
      </c>
      <c r="H72" s="49">
        <f>VLOOKUP($A72,'Data Vlaue (Cr)'!$C:$FB,44)</f>
        <v>43</v>
      </c>
      <c r="I72" s="49">
        <f>VLOOKUP($A72,'Data Vlaue (Cr)'!$C:$FB,46)*100</f>
        <v>37.65</v>
      </c>
      <c r="J72" s="51">
        <f>VLOOKUP($A72,'Data Vlaue (Cr)'!$C:$FB,59)</f>
        <v>12252</v>
      </c>
      <c r="K72" s="51">
        <f>VLOOKUP($A72,'Data Vlaue (Cr)'!$C:$FB,60)</f>
        <v>10792</v>
      </c>
      <c r="L72" s="51">
        <f>VLOOKUP($A72,'Data Vlaue (Cr)'!$C:$FB,62)*100</f>
        <v>13.52</v>
      </c>
      <c r="M72" s="51">
        <f>VLOOKUP($A72,'Data Vlaue (Cr)'!$C:$FB,63)</f>
        <v>10265</v>
      </c>
      <c r="N72" s="51">
        <f>VLOOKUP($A72,'Data Vlaue (Cr)'!$C:$FB,64)</f>
        <v>9757</v>
      </c>
      <c r="O72" s="51">
        <f>VLOOKUP($A72,'Data Vlaue (Cr)'!$C:$FB,66)*100</f>
        <v>5.2</v>
      </c>
    </row>
    <row r="73" spans="1:15" x14ac:dyDescent="0.25">
      <c r="A73" s="101" t="str">
        <f>'Data Vlaue (Cr)'!C68</f>
        <v>FORTIS</v>
      </c>
      <c r="B73" s="50">
        <f>VLOOKUP($A73,'Data Vlaue (Cr)'!$C:$FB,8)</f>
        <v>963.95</v>
      </c>
      <c r="C73" s="50">
        <f>VLOOKUP($A73,'Data Vlaue (Cr)'!$C:$FB,11)*100</f>
        <v>1.59</v>
      </c>
      <c r="D73" s="50">
        <f>VLOOKUP($A73,'Data Vlaue (Cr)'!$C:$FB,143)</f>
        <v>1497.99</v>
      </c>
      <c r="E73" s="50">
        <f>VLOOKUP($A73,'Data Vlaue (Cr)'!$C:$FB,144)</f>
        <v>767.79</v>
      </c>
      <c r="F73" s="50">
        <f>VLOOKUP($A73,'Data Vlaue (Cr)'!$C:$FB,146)*100</f>
        <v>95.1</v>
      </c>
      <c r="G73" s="49">
        <f>VLOOKUP($A73,'Data Vlaue (Cr)'!$C:$FB,43)</f>
        <v>236</v>
      </c>
      <c r="H73" s="49">
        <f>VLOOKUP($A73,'Data Vlaue (Cr)'!$C:$FB,44)</f>
        <v>132</v>
      </c>
      <c r="I73" s="49">
        <f>VLOOKUP($A73,'Data Vlaue (Cr)'!$C:$FB,46)*100</f>
        <v>79.650000000000006</v>
      </c>
      <c r="J73" s="51">
        <f>VLOOKUP($A73,'Data Vlaue (Cr)'!$C:$FB,59)</f>
        <v>904</v>
      </c>
      <c r="K73" s="51">
        <f>VLOOKUP($A73,'Data Vlaue (Cr)'!$C:$FB,60)</f>
        <v>391</v>
      </c>
      <c r="L73" s="51">
        <f>VLOOKUP($A73,'Data Vlaue (Cr)'!$C:$FB,62)*100</f>
        <v>131.10999999999999</v>
      </c>
      <c r="M73" s="51">
        <f>VLOOKUP($A73,'Data Vlaue (Cr)'!$C:$FB,63)</f>
        <v>354</v>
      </c>
      <c r="N73" s="51">
        <f>VLOOKUP($A73,'Data Vlaue (Cr)'!$C:$FB,64)</f>
        <v>257</v>
      </c>
      <c r="O73" s="51">
        <f>VLOOKUP($A73,'Data Vlaue (Cr)'!$C:$FB,66)*100</f>
        <v>38.04</v>
      </c>
    </row>
    <row r="74" spans="1:15" x14ac:dyDescent="0.25">
      <c r="A74" s="101" t="str">
        <f>'Data Vlaue (Cr)'!C69</f>
        <v>GAIL</v>
      </c>
      <c r="B74" s="50">
        <f>VLOOKUP($A74,'Data Vlaue (Cr)'!$C:$FB,8)</f>
        <v>178.12</v>
      </c>
      <c r="C74" s="50">
        <f>VLOOKUP($A74,'Data Vlaue (Cr)'!$C:$FB,11)*100</f>
        <v>1.8499999999999999</v>
      </c>
      <c r="D74" s="50">
        <f>VLOOKUP($A74,'Data Vlaue (Cr)'!$C:$FB,143)</f>
        <v>2196.02</v>
      </c>
      <c r="E74" s="50">
        <f>VLOOKUP($A74,'Data Vlaue (Cr)'!$C:$FB,144)</f>
        <v>1227.31</v>
      </c>
      <c r="F74" s="50">
        <f>VLOOKUP($A74,'Data Vlaue (Cr)'!$C:$FB,146)*100</f>
        <v>78.930000000000007</v>
      </c>
      <c r="G74" s="49">
        <f>VLOOKUP($A74,'Data Vlaue (Cr)'!$C:$FB,43)</f>
        <v>361</v>
      </c>
      <c r="H74" s="49">
        <f>VLOOKUP($A74,'Data Vlaue (Cr)'!$C:$FB,44)</f>
        <v>233</v>
      </c>
      <c r="I74" s="49">
        <f>VLOOKUP($A74,'Data Vlaue (Cr)'!$C:$FB,46)*100</f>
        <v>55.35</v>
      </c>
      <c r="J74" s="51">
        <f>VLOOKUP($A74,'Data Vlaue (Cr)'!$C:$FB,59)</f>
        <v>1295</v>
      </c>
      <c r="K74" s="51">
        <f>VLOOKUP($A74,'Data Vlaue (Cr)'!$C:$FB,60)</f>
        <v>699</v>
      </c>
      <c r="L74" s="51">
        <f>VLOOKUP($A74,'Data Vlaue (Cr)'!$C:$FB,62)*100</f>
        <v>85.22999999999999</v>
      </c>
      <c r="M74" s="51">
        <f>VLOOKUP($A74,'Data Vlaue (Cr)'!$C:$FB,63)</f>
        <v>497</v>
      </c>
      <c r="N74" s="51">
        <f>VLOOKUP($A74,'Data Vlaue (Cr)'!$C:$FB,64)</f>
        <v>293</v>
      </c>
      <c r="O74" s="51">
        <f>VLOOKUP($A74,'Data Vlaue (Cr)'!$C:$FB,66)*100</f>
        <v>69.540000000000006</v>
      </c>
    </row>
    <row r="75" spans="1:15" x14ac:dyDescent="0.25">
      <c r="A75" s="101" t="str">
        <f>'Data Vlaue (Cr)'!C70</f>
        <v>GLENMARK</v>
      </c>
      <c r="B75" s="50">
        <f>VLOOKUP($A75,'Data Vlaue (Cr)'!$C:$FB,8)</f>
        <v>1924</v>
      </c>
      <c r="C75" s="50">
        <f>VLOOKUP($A75,'Data Vlaue (Cr)'!$C:$FB,11)*100</f>
        <v>-1.1199999999999999</v>
      </c>
      <c r="D75" s="50">
        <f>VLOOKUP($A75,'Data Vlaue (Cr)'!$C:$FB,143)</f>
        <v>1379.85</v>
      </c>
      <c r="E75" s="50">
        <f>VLOOKUP($A75,'Data Vlaue (Cr)'!$C:$FB,144)</f>
        <v>3310.96</v>
      </c>
      <c r="F75" s="50">
        <f>VLOOKUP($A75,'Data Vlaue (Cr)'!$C:$FB,146)*100</f>
        <v>-58.320000000000007</v>
      </c>
      <c r="G75" s="49">
        <f>VLOOKUP($A75,'Data Vlaue (Cr)'!$C:$FB,43)</f>
        <v>210</v>
      </c>
      <c r="H75" s="49">
        <f>VLOOKUP($A75,'Data Vlaue (Cr)'!$C:$FB,44)</f>
        <v>472</v>
      </c>
      <c r="I75" s="49">
        <f>VLOOKUP($A75,'Data Vlaue (Cr)'!$C:$FB,46)*100</f>
        <v>-55.58</v>
      </c>
      <c r="J75" s="51">
        <f>VLOOKUP($A75,'Data Vlaue (Cr)'!$C:$FB,59)</f>
        <v>739</v>
      </c>
      <c r="K75" s="51">
        <f>VLOOKUP($A75,'Data Vlaue (Cr)'!$C:$FB,60)</f>
        <v>1485</v>
      </c>
      <c r="L75" s="51">
        <f>VLOOKUP($A75,'Data Vlaue (Cr)'!$C:$FB,62)*100</f>
        <v>-50.239999999999995</v>
      </c>
      <c r="M75" s="51">
        <f>VLOOKUP($A75,'Data Vlaue (Cr)'!$C:$FB,63)</f>
        <v>380</v>
      </c>
      <c r="N75" s="51">
        <f>VLOOKUP($A75,'Data Vlaue (Cr)'!$C:$FB,64)</f>
        <v>1230</v>
      </c>
      <c r="O75" s="51">
        <f>VLOOKUP($A75,'Data Vlaue (Cr)'!$C:$FB,66)*100</f>
        <v>-69.12</v>
      </c>
    </row>
    <row r="76" spans="1:15" x14ac:dyDescent="0.25">
      <c r="A76" s="101" t="str">
        <f>'Data Vlaue (Cr)'!C71</f>
        <v>GMRAIRPORT</v>
      </c>
      <c r="B76" s="50">
        <f>VLOOKUP($A76,'Data Vlaue (Cr)'!$C:$FB,8)</f>
        <v>91.01</v>
      </c>
      <c r="C76" s="50">
        <f>VLOOKUP($A76,'Data Vlaue (Cr)'!$C:$FB,11)*100</f>
        <v>0.63</v>
      </c>
      <c r="D76" s="50">
        <f>VLOOKUP($A76,'Data Vlaue (Cr)'!$C:$FB,143)</f>
        <v>908.36</v>
      </c>
      <c r="E76" s="50">
        <f>VLOOKUP($A76,'Data Vlaue (Cr)'!$C:$FB,144)</f>
        <v>535.03</v>
      </c>
      <c r="F76" s="50">
        <f>VLOOKUP($A76,'Data Vlaue (Cr)'!$C:$FB,146)*100</f>
        <v>69.78</v>
      </c>
      <c r="G76" s="49">
        <f>VLOOKUP($A76,'Data Vlaue (Cr)'!$C:$FB,43)</f>
        <v>213</v>
      </c>
      <c r="H76" s="49">
        <f>VLOOKUP($A76,'Data Vlaue (Cr)'!$C:$FB,44)</f>
        <v>145</v>
      </c>
      <c r="I76" s="49">
        <f>VLOOKUP($A76,'Data Vlaue (Cr)'!$C:$FB,46)*100</f>
        <v>46.489999999999995</v>
      </c>
      <c r="J76" s="51">
        <f>VLOOKUP($A76,'Data Vlaue (Cr)'!$C:$FB,59)</f>
        <v>503</v>
      </c>
      <c r="K76" s="51">
        <f>VLOOKUP($A76,'Data Vlaue (Cr)'!$C:$FB,60)</f>
        <v>236</v>
      </c>
      <c r="L76" s="51">
        <f>VLOOKUP($A76,'Data Vlaue (Cr)'!$C:$FB,62)*100</f>
        <v>112.99999999999999</v>
      </c>
      <c r="M76" s="51">
        <f>VLOOKUP($A76,'Data Vlaue (Cr)'!$C:$FB,63)</f>
        <v>178</v>
      </c>
      <c r="N76" s="51">
        <f>VLOOKUP($A76,'Data Vlaue (Cr)'!$C:$FB,64)</f>
        <v>152</v>
      </c>
      <c r="O76" s="51">
        <f>VLOOKUP($A76,'Data Vlaue (Cr)'!$C:$FB,66)*100</f>
        <v>16.869999999999997</v>
      </c>
    </row>
    <row r="77" spans="1:15" x14ac:dyDescent="0.25">
      <c r="A77" s="101" t="str">
        <f>'Data Vlaue (Cr)'!C72</f>
        <v>GODREJCP</v>
      </c>
      <c r="B77" s="50">
        <f>VLOOKUP($A77,'Data Vlaue (Cr)'!$C:$FB,8)</f>
        <v>1246.9000000000001</v>
      </c>
      <c r="C77" s="50">
        <f>VLOOKUP($A77,'Data Vlaue (Cr)'!$C:$FB,11)*100</f>
        <v>2.31</v>
      </c>
      <c r="D77" s="50">
        <f>VLOOKUP($A77,'Data Vlaue (Cr)'!$C:$FB,143)</f>
        <v>1907.72</v>
      </c>
      <c r="E77" s="50">
        <f>VLOOKUP($A77,'Data Vlaue (Cr)'!$C:$FB,144)</f>
        <v>517.4</v>
      </c>
      <c r="F77" s="50">
        <f>VLOOKUP($A77,'Data Vlaue (Cr)'!$C:$FB,146)*100</f>
        <v>268.71999999999997</v>
      </c>
      <c r="G77" s="49">
        <f>VLOOKUP($A77,'Data Vlaue (Cr)'!$C:$FB,43)</f>
        <v>294</v>
      </c>
      <c r="H77" s="49">
        <f>VLOOKUP($A77,'Data Vlaue (Cr)'!$C:$FB,44)</f>
        <v>176</v>
      </c>
      <c r="I77" s="49">
        <f>VLOOKUP($A77,'Data Vlaue (Cr)'!$C:$FB,46)*100</f>
        <v>66.86999999999999</v>
      </c>
      <c r="J77" s="51">
        <f>VLOOKUP($A77,'Data Vlaue (Cr)'!$C:$FB,59)</f>
        <v>1308</v>
      </c>
      <c r="K77" s="51">
        <f>VLOOKUP($A77,'Data Vlaue (Cr)'!$C:$FB,60)</f>
        <v>264</v>
      </c>
      <c r="L77" s="51">
        <f>VLOOKUP($A77,'Data Vlaue (Cr)'!$C:$FB,62)*100</f>
        <v>395.12</v>
      </c>
      <c r="M77" s="51">
        <f>VLOOKUP($A77,'Data Vlaue (Cr)'!$C:$FB,63)</f>
        <v>288</v>
      </c>
      <c r="N77" s="51">
        <f>VLOOKUP($A77,'Data Vlaue (Cr)'!$C:$FB,64)</f>
        <v>84</v>
      </c>
      <c r="O77" s="51">
        <f>VLOOKUP($A77,'Data Vlaue (Cr)'!$C:$FB,66)*100</f>
        <v>243.55</v>
      </c>
    </row>
    <row r="78" spans="1:15" x14ac:dyDescent="0.25">
      <c r="A78" s="101" t="str">
        <f>'Data Vlaue (Cr)'!C73</f>
        <v>GODREJPROP</v>
      </c>
      <c r="B78" s="50">
        <f>VLOOKUP($A78,'Data Vlaue (Cr)'!$C:$FB,8)</f>
        <v>2041.8</v>
      </c>
      <c r="C78" s="50">
        <f>VLOOKUP($A78,'Data Vlaue (Cr)'!$C:$FB,11)*100</f>
        <v>1.58</v>
      </c>
      <c r="D78" s="50">
        <f>VLOOKUP($A78,'Data Vlaue (Cr)'!$C:$FB,143)</f>
        <v>1369.75</v>
      </c>
      <c r="E78" s="50">
        <f>VLOOKUP($A78,'Data Vlaue (Cr)'!$C:$FB,144)</f>
        <v>1159.7</v>
      </c>
      <c r="F78" s="50">
        <f>VLOOKUP($A78,'Data Vlaue (Cr)'!$C:$FB,146)*100</f>
        <v>18.11</v>
      </c>
      <c r="G78" s="49">
        <f>VLOOKUP($A78,'Data Vlaue (Cr)'!$C:$FB,43)</f>
        <v>191</v>
      </c>
      <c r="H78" s="49">
        <f>VLOOKUP($A78,'Data Vlaue (Cr)'!$C:$FB,44)</f>
        <v>235</v>
      </c>
      <c r="I78" s="49">
        <f>VLOOKUP($A78,'Data Vlaue (Cr)'!$C:$FB,46)*100</f>
        <v>-18.96</v>
      </c>
      <c r="J78" s="51">
        <f>VLOOKUP($A78,'Data Vlaue (Cr)'!$C:$FB,59)</f>
        <v>822</v>
      </c>
      <c r="K78" s="51">
        <f>VLOOKUP($A78,'Data Vlaue (Cr)'!$C:$FB,60)</f>
        <v>635</v>
      </c>
      <c r="L78" s="51">
        <f>VLOOKUP($A78,'Data Vlaue (Cr)'!$C:$FB,62)*100</f>
        <v>29.459999999999997</v>
      </c>
      <c r="M78" s="51">
        <f>VLOOKUP($A78,'Data Vlaue (Cr)'!$C:$FB,63)</f>
        <v>327</v>
      </c>
      <c r="N78" s="51">
        <f>VLOOKUP($A78,'Data Vlaue (Cr)'!$C:$FB,64)</f>
        <v>280</v>
      </c>
      <c r="O78" s="51">
        <f>VLOOKUP($A78,'Data Vlaue (Cr)'!$C:$FB,66)*100</f>
        <v>16.79</v>
      </c>
    </row>
    <row r="79" spans="1:15" x14ac:dyDescent="0.25">
      <c r="A79" s="101" t="str">
        <f>'Data Vlaue (Cr)'!C74</f>
        <v>GRANULES</v>
      </c>
      <c r="B79" s="50">
        <f>VLOOKUP($A79,'Data Vlaue (Cr)'!$C:$FB,8)</f>
        <v>461.35</v>
      </c>
      <c r="C79" s="50">
        <f>VLOOKUP($A79,'Data Vlaue (Cr)'!$C:$FB,11)*100</f>
        <v>0.72</v>
      </c>
      <c r="D79" s="50">
        <f>VLOOKUP($A79,'Data Vlaue (Cr)'!$C:$FB,143)</f>
        <v>237.2</v>
      </c>
      <c r="E79" s="50">
        <f>VLOOKUP($A79,'Data Vlaue (Cr)'!$C:$FB,144)</f>
        <v>170.04</v>
      </c>
      <c r="F79" s="50">
        <f>VLOOKUP($A79,'Data Vlaue (Cr)'!$C:$FB,146)*100</f>
        <v>39.489999999999995</v>
      </c>
      <c r="G79" s="49">
        <f>VLOOKUP($A79,'Data Vlaue (Cr)'!$C:$FB,43)</f>
        <v>46</v>
      </c>
      <c r="H79" s="49">
        <f>VLOOKUP($A79,'Data Vlaue (Cr)'!$C:$FB,44)</f>
        <v>43</v>
      </c>
      <c r="I79" s="49">
        <f>VLOOKUP($A79,'Data Vlaue (Cr)'!$C:$FB,46)*100</f>
        <v>7.03</v>
      </c>
      <c r="J79" s="51">
        <f>VLOOKUP($A79,'Data Vlaue (Cr)'!$C:$FB,59)</f>
        <v>132</v>
      </c>
      <c r="K79" s="51">
        <f>VLOOKUP($A79,'Data Vlaue (Cr)'!$C:$FB,60)</f>
        <v>80</v>
      </c>
      <c r="L79" s="51">
        <f>VLOOKUP($A79,'Data Vlaue (Cr)'!$C:$FB,62)*100</f>
        <v>64.67</v>
      </c>
      <c r="M79" s="51">
        <f>VLOOKUP($A79,'Data Vlaue (Cr)'!$C:$FB,63)</f>
        <v>55</v>
      </c>
      <c r="N79" s="51">
        <f>VLOOKUP($A79,'Data Vlaue (Cr)'!$C:$FB,64)</f>
        <v>44</v>
      </c>
      <c r="O79" s="51">
        <f>VLOOKUP($A79,'Data Vlaue (Cr)'!$C:$FB,66)*100</f>
        <v>25.540000000000003</v>
      </c>
    </row>
    <row r="80" spans="1:15" x14ac:dyDescent="0.25">
      <c r="A80" s="101" t="str">
        <f>'Data Vlaue (Cr)'!C75</f>
        <v>GRASIM</v>
      </c>
      <c r="B80" s="50">
        <f>VLOOKUP($A80,'Data Vlaue (Cr)'!$C:$FB,8)</f>
        <v>2864.9</v>
      </c>
      <c r="C80" s="50">
        <f>VLOOKUP($A80,'Data Vlaue (Cr)'!$C:$FB,11)*100</f>
        <v>1.29</v>
      </c>
      <c r="D80" s="50">
        <f>VLOOKUP($A80,'Data Vlaue (Cr)'!$C:$FB,143)</f>
        <v>3821.48</v>
      </c>
      <c r="E80" s="50">
        <f>VLOOKUP($A80,'Data Vlaue (Cr)'!$C:$FB,144)</f>
        <v>1782.44</v>
      </c>
      <c r="F80" s="50">
        <f>VLOOKUP($A80,'Data Vlaue (Cr)'!$C:$FB,146)*100</f>
        <v>114.39999999999999</v>
      </c>
      <c r="G80" s="49">
        <f>VLOOKUP($A80,'Data Vlaue (Cr)'!$C:$FB,43)</f>
        <v>472</v>
      </c>
      <c r="H80" s="49">
        <f>VLOOKUP($A80,'Data Vlaue (Cr)'!$C:$FB,44)</f>
        <v>185</v>
      </c>
      <c r="I80" s="49">
        <f>VLOOKUP($A80,'Data Vlaue (Cr)'!$C:$FB,46)*100</f>
        <v>155.36000000000001</v>
      </c>
      <c r="J80" s="51">
        <f>VLOOKUP($A80,'Data Vlaue (Cr)'!$C:$FB,59)</f>
        <v>2522</v>
      </c>
      <c r="K80" s="51">
        <f>VLOOKUP($A80,'Data Vlaue (Cr)'!$C:$FB,60)</f>
        <v>1017</v>
      </c>
      <c r="L80" s="51">
        <f>VLOOKUP($A80,'Data Vlaue (Cr)'!$C:$FB,62)*100</f>
        <v>148.04</v>
      </c>
      <c r="M80" s="51">
        <f>VLOOKUP($A80,'Data Vlaue (Cr)'!$C:$FB,63)</f>
        <v>784</v>
      </c>
      <c r="N80" s="51">
        <f>VLOOKUP($A80,'Data Vlaue (Cr)'!$C:$FB,64)</f>
        <v>589</v>
      </c>
      <c r="O80" s="51">
        <f>VLOOKUP($A80,'Data Vlaue (Cr)'!$C:$FB,66)*100</f>
        <v>33.160000000000004</v>
      </c>
    </row>
    <row r="81" spans="1:15" x14ac:dyDescent="0.25">
      <c r="A81" s="101" t="str">
        <f>'Data Vlaue (Cr)'!C76</f>
        <v>HAL</v>
      </c>
      <c r="B81" s="50">
        <f>VLOOKUP($A81,'Data Vlaue (Cr)'!$C:$FB,8)</f>
        <v>4468.3999999999996</v>
      </c>
      <c r="C81" s="50">
        <f>VLOOKUP($A81,'Data Vlaue (Cr)'!$C:$FB,11)*100</f>
        <v>0.35000000000000003</v>
      </c>
      <c r="D81" s="50">
        <f>VLOOKUP($A81,'Data Vlaue (Cr)'!$C:$FB,143)</f>
        <v>27346.16</v>
      </c>
      <c r="E81" s="50">
        <f>VLOOKUP($A81,'Data Vlaue (Cr)'!$C:$FB,144)</f>
        <v>8160.15</v>
      </c>
      <c r="F81" s="50">
        <f>VLOOKUP($A81,'Data Vlaue (Cr)'!$C:$FB,146)*100</f>
        <v>235.12</v>
      </c>
      <c r="G81" s="49">
        <f>VLOOKUP($A81,'Data Vlaue (Cr)'!$C:$FB,43)</f>
        <v>2322</v>
      </c>
      <c r="H81" s="49">
        <f>VLOOKUP($A81,'Data Vlaue (Cr)'!$C:$FB,44)</f>
        <v>840</v>
      </c>
      <c r="I81" s="49">
        <f>VLOOKUP($A81,'Data Vlaue (Cr)'!$C:$FB,46)*100</f>
        <v>176.42</v>
      </c>
      <c r="J81" s="51">
        <f>VLOOKUP($A81,'Data Vlaue (Cr)'!$C:$FB,59)</f>
        <v>17368</v>
      </c>
      <c r="K81" s="51">
        <f>VLOOKUP($A81,'Data Vlaue (Cr)'!$C:$FB,60)</f>
        <v>4795</v>
      </c>
      <c r="L81" s="51">
        <f>VLOOKUP($A81,'Data Vlaue (Cr)'!$C:$FB,62)*100</f>
        <v>262.25</v>
      </c>
      <c r="M81" s="51">
        <f>VLOOKUP($A81,'Data Vlaue (Cr)'!$C:$FB,63)</f>
        <v>6552</v>
      </c>
      <c r="N81" s="51">
        <f>VLOOKUP($A81,'Data Vlaue (Cr)'!$C:$FB,64)</f>
        <v>2291</v>
      </c>
      <c r="O81" s="51">
        <f>VLOOKUP($A81,'Data Vlaue (Cr)'!$C:$FB,66)*100</f>
        <v>185.98</v>
      </c>
    </row>
    <row r="82" spans="1:15" x14ac:dyDescent="0.25">
      <c r="A82" s="101" t="str">
        <f>'Data Vlaue (Cr)'!C77</f>
        <v>HAVELLS</v>
      </c>
      <c r="B82" s="50">
        <f>VLOOKUP($A82,'Data Vlaue (Cr)'!$C:$FB,8)</f>
        <v>1567.9</v>
      </c>
      <c r="C82" s="50">
        <f>VLOOKUP($A82,'Data Vlaue (Cr)'!$C:$FB,11)*100</f>
        <v>-0.13</v>
      </c>
      <c r="D82" s="50">
        <f>VLOOKUP($A82,'Data Vlaue (Cr)'!$C:$FB,143)</f>
        <v>855.45</v>
      </c>
      <c r="E82" s="50">
        <f>VLOOKUP($A82,'Data Vlaue (Cr)'!$C:$FB,144)</f>
        <v>1276.97</v>
      </c>
      <c r="F82" s="50">
        <f>VLOOKUP($A82,'Data Vlaue (Cr)'!$C:$FB,146)*100</f>
        <v>-33.01</v>
      </c>
      <c r="G82" s="49">
        <f>VLOOKUP($A82,'Data Vlaue (Cr)'!$C:$FB,43)</f>
        <v>219</v>
      </c>
      <c r="H82" s="49">
        <f>VLOOKUP($A82,'Data Vlaue (Cr)'!$C:$FB,44)</f>
        <v>301</v>
      </c>
      <c r="I82" s="49">
        <f>VLOOKUP($A82,'Data Vlaue (Cr)'!$C:$FB,46)*100</f>
        <v>-27.279999999999998</v>
      </c>
      <c r="J82" s="51">
        <f>VLOOKUP($A82,'Data Vlaue (Cr)'!$C:$FB,59)</f>
        <v>347</v>
      </c>
      <c r="K82" s="51">
        <f>VLOOKUP($A82,'Data Vlaue (Cr)'!$C:$FB,60)</f>
        <v>519</v>
      </c>
      <c r="L82" s="51">
        <f>VLOOKUP($A82,'Data Vlaue (Cr)'!$C:$FB,62)*100</f>
        <v>-33.090000000000003</v>
      </c>
      <c r="M82" s="51">
        <f>VLOOKUP($A82,'Data Vlaue (Cr)'!$C:$FB,63)</f>
        <v>291</v>
      </c>
      <c r="N82" s="51">
        <f>VLOOKUP($A82,'Data Vlaue (Cr)'!$C:$FB,64)</f>
        <v>464</v>
      </c>
      <c r="O82" s="51">
        <f>VLOOKUP($A82,'Data Vlaue (Cr)'!$C:$FB,66)*100</f>
        <v>-37.380000000000003</v>
      </c>
    </row>
    <row r="83" spans="1:15" x14ac:dyDescent="0.25">
      <c r="A83" s="101" t="str">
        <f>'Data Vlaue (Cr)'!C78</f>
        <v>HCLTECH</v>
      </c>
      <c r="B83" s="50">
        <f>VLOOKUP($A83,'Data Vlaue (Cr)'!$C:$FB,8)</f>
        <v>1496</v>
      </c>
      <c r="C83" s="50">
        <f>VLOOKUP($A83,'Data Vlaue (Cr)'!$C:$FB,11)*100</f>
        <v>1.35</v>
      </c>
      <c r="D83" s="50">
        <f>VLOOKUP($A83,'Data Vlaue (Cr)'!$C:$FB,143)</f>
        <v>7706.84</v>
      </c>
      <c r="E83" s="50">
        <f>VLOOKUP($A83,'Data Vlaue (Cr)'!$C:$FB,144)</f>
        <v>2463.96</v>
      </c>
      <c r="F83" s="50">
        <f>VLOOKUP($A83,'Data Vlaue (Cr)'!$C:$FB,146)*100</f>
        <v>212.78</v>
      </c>
      <c r="G83" s="49">
        <f>VLOOKUP($A83,'Data Vlaue (Cr)'!$C:$FB,43)</f>
        <v>1554</v>
      </c>
      <c r="H83" s="49">
        <f>VLOOKUP($A83,'Data Vlaue (Cr)'!$C:$FB,44)</f>
        <v>402</v>
      </c>
      <c r="I83" s="49">
        <f>VLOOKUP($A83,'Data Vlaue (Cr)'!$C:$FB,46)*100</f>
        <v>286.90000000000003</v>
      </c>
      <c r="J83" s="51">
        <f>VLOOKUP($A83,'Data Vlaue (Cr)'!$C:$FB,59)</f>
        <v>4515</v>
      </c>
      <c r="K83" s="51">
        <f>VLOOKUP($A83,'Data Vlaue (Cr)'!$C:$FB,60)</f>
        <v>1390</v>
      </c>
      <c r="L83" s="51">
        <f>VLOOKUP($A83,'Data Vlaue (Cr)'!$C:$FB,62)*100</f>
        <v>224.82000000000002</v>
      </c>
      <c r="M83" s="51">
        <f>VLOOKUP($A83,'Data Vlaue (Cr)'!$C:$FB,63)</f>
        <v>1601</v>
      </c>
      <c r="N83" s="51">
        <f>VLOOKUP($A83,'Data Vlaue (Cr)'!$C:$FB,64)</f>
        <v>662</v>
      </c>
      <c r="O83" s="51">
        <f>VLOOKUP($A83,'Data Vlaue (Cr)'!$C:$FB,66)*100</f>
        <v>141.94999999999999</v>
      </c>
    </row>
    <row r="84" spans="1:15" x14ac:dyDescent="0.25">
      <c r="A84" s="101" t="str">
        <f>'Data Vlaue (Cr)'!C79</f>
        <v>HDFCAMC</v>
      </c>
      <c r="B84" s="50">
        <f>VLOOKUP($A84,'Data Vlaue (Cr)'!$C:$FB,8)</f>
        <v>5709.5</v>
      </c>
      <c r="C84" s="50">
        <f>VLOOKUP($A84,'Data Vlaue (Cr)'!$C:$FB,11)*100</f>
        <v>-0.16999999999999998</v>
      </c>
      <c r="D84" s="50">
        <f>VLOOKUP($A84,'Data Vlaue (Cr)'!$C:$FB,143)</f>
        <v>1273.53</v>
      </c>
      <c r="E84" s="50">
        <f>VLOOKUP($A84,'Data Vlaue (Cr)'!$C:$FB,144)</f>
        <v>2067.11</v>
      </c>
      <c r="F84" s="50">
        <f>VLOOKUP($A84,'Data Vlaue (Cr)'!$C:$FB,146)*100</f>
        <v>-38.39</v>
      </c>
      <c r="G84" s="49">
        <f>VLOOKUP($A84,'Data Vlaue (Cr)'!$C:$FB,43)</f>
        <v>256</v>
      </c>
      <c r="H84" s="49">
        <f>VLOOKUP($A84,'Data Vlaue (Cr)'!$C:$FB,44)</f>
        <v>274</v>
      </c>
      <c r="I84" s="49">
        <f>VLOOKUP($A84,'Data Vlaue (Cr)'!$C:$FB,46)*100</f>
        <v>-6.32</v>
      </c>
      <c r="J84" s="51">
        <f>VLOOKUP($A84,'Data Vlaue (Cr)'!$C:$FB,59)</f>
        <v>692</v>
      </c>
      <c r="K84" s="51">
        <f>VLOOKUP($A84,'Data Vlaue (Cr)'!$C:$FB,60)</f>
        <v>1120</v>
      </c>
      <c r="L84" s="51">
        <f>VLOOKUP($A84,'Data Vlaue (Cr)'!$C:$FB,62)*100</f>
        <v>-38.229999999999997</v>
      </c>
      <c r="M84" s="51">
        <f>VLOOKUP($A84,'Data Vlaue (Cr)'!$C:$FB,63)</f>
        <v>318</v>
      </c>
      <c r="N84" s="51">
        <f>VLOOKUP($A84,'Data Vlaue (Cr)'!$C:$FB,64)</f>
        <v>655</v>
      </c>
      <c r="O84" s="51">
        <f>VLOOKUP($A84,'Data Vlaue (Cr)'!$C:$FB,66)*100</f>
        <v>-51.55</v>
      </c>
    </row>
    <row r="85" spans="1:15" x14ac:dyDescent="0.25">
      <c r="A85" s="101" t="str">
        <f>'Data Vlaue (Cr)'!C80</f>
        <v>HDFCBANK</v>
      </c>
      <c r="B85" s="50">
        <f>VLOOKUP($A85,'Data Vlaue (Cr)'!$C:$FB,8)</f>
        <v>1988.2</v>
      </c>
      <c r="C85" s="50">
        <f>VLOOKUP($A85,'Data Vlaue (Cr)'!$C:$FB,11)*100</f>
        <v>-0.15</v>
      </c>
      <c r="D85" s="50">
        <f>VLOOKUP($A85,'Data Vlaue (Cr)'!$C:$FB,143)</f>
        <v>12399.38</v>
      </c>
      <c r="E85" s="50">
        <f>VLOOKUP($A85,'Data Vlaue (Cr)'!$C:$FB,144)</f>
        <v>12447.14</v>
      </c>
      <c r="F85" s="50">
        <f>VLOOKUP($A85,'Data Vlaue (Cr)'!$C:$FB,146)*100</f>
        <v>-0.38</v>
      </c>
      <c r="G85" s="49">
        <f>VLOOKUP($A85,'Data Vlaue (Cr)'!$C:$FB,43)</f>
        <v>2035</v>
      </c>
      <c r="H85" s="49">
        <f>VLOOKUP($A85,'Data Vlaue (Cr)'!$C:$FB,44)</f>
        <v>2662</v>
      </c>
      <c r="I85" s="49">
        <f>VLOOKUP($A85,'Data Vlaue (Cr)'!$C:$FB,46)*100</f>
        <v>-23.56</v>
      </c>
      <c r="J85" s="51">
        <f>VLOOKUP($A85,'Data Vlaue (Cr)'!$C:$FB,59)</f>
        <v>6323</v>
      </c>
      <c r="K85" s="51">
        <f>VLOOKUP($A85,'Data Vlaue (Cr)'!$C:$FB,60)</f>
        <v>6007</v>
      </c>
      <c r="L85" s="51">
        <f>VLOOKUP($A85,'Data Vlaue (Cr)'!$C:$FB,62)*100</f>
        <v>5.27</v>
      </c>
      <c r="M85" s="51">
        <f>VLOOKUP($A85,'Data Vlaue (Cr)'!$C:$FB,63)</f>
        <v>3949</v>
      </c>
      <c r="N85" s="51">
        <f>VLOOKUP($A85,'Data Vlaue (Cr)'!$C:$FB,64)</f>
        <v>3610</v>
      </c>
      <c r="O85" s="51">
        <f>VLOOKUP($A85,'Data Vlaue (Cr)'!$C:$FB,66)*100</f>
        <v>9.39</v>
      </c>
    </row>
    <row r="86" spans="1:15" x14ac:dyDescent="0.25">
      <c r="A86" s="101" t="str">
        <f>'Data Vlaue (Cr)'!C81</f>
        <v>HDFCLIFE</v>
      </c>
      <c r="B86" s="50">
        <f>VLOOKUP($A86,'Data Vlaue (Cr)'!$C:$FB,8)</f>
        <v>796.55</v>
      </c>
      <c r="C86" s="50">
        <f>VLOOKUP($A86,'Data Vlaue (Cr)'!$C:$FB,11)*100</f>
        <v>0.35000000000000003</v>
      </c>
      <c r="D86" s="50">
        <f>VLOOKUP($A86,'Data Vlaue (Cr)'!$C:$FB,143)</f>
        <v>1463.29</v>
      </c>
      <c r="E86" s="50">
        <f>VLOOKUP($A86,'Data Vlaue (Cr)'!$C:$FB,144)</f>
        <v>1917.47</v>
      </c>
      <c r="F86" s="50">
        <f>VLOOKUP($A86,'Data Vlaue (Cr)'!$C:$FB,146)*100</f>
        <v>-23.69</v>
      </c>
      <c r="G86" s="49">
        <f>VLOOKUP($A86,'Data Vlaue (Cr)'!$C:$FB,43)</f>
        <v>214</v>
      </c>
      <c r="H86" s="49">
        <f>VLOOKUP($A86,'Data Vlaue (Cr)'!$C:$FB,44)</f>
        <v>210</v>
      </c>
      <c r="I86" s="49">
        <f>VLOOKUP($A86,'Data Vlaue (Cr)'!$C:$FB,46)*100</f>
        <v>1.8800000000000001</v>
      </c>
      <c r="J86" s="51">
        <f>VLOOKUP($A86,'Data Vlaue (Cr)'!$C:$FB,59)</f>
        <v>841</v>
      </c>
      <c r="K86" s="51">
        <f>VLOOKUP($A86,'Data Vlaue (Cr)'!$C:$FB,60)</f>
        <v>1104</v>
      </c>
      <c r="L86" s="51">
        <f>VLOOKUP($A86,'Data Vlaue (Cr)'!$C:$FB,62)*100</f>
        <v>-23.84</v>
      </c>
      <c r="M86" s="51">
        <f>VLOOKUP($A86,'Data Vlaue (Cr)'!$C:$FB,63)</f>
        <v>391</v>
      </c>
      <c r="N86" s="51">
        <f>VLOOKUP($A86,'Data Vlaue (Cr)'!$C:$FB,64)</f>
        <v>586</v>
      </c>
      <c r="O86" s="51">
        <f>VLOOKUP($A86,'Data Vlaue (Cr)'!$C:$FB,66)*100</f>
        <v>-33.25</v>
      </c>
    </row>
    <row r="87" spans="1:15" x14ac:dyDescent="0.25">
      <c r="A87" s="101" t="str">
        <f>'Data Vlaue (Cr)'!C82</f>
        <v>HEROMOTOCO</v>
      </c>
      <c r="B87" s="50">
        <f>VLOOKUP($A87,'Data Vlaue (Cr)'!$C:$FB,8)</f>
        <v>5136</v>
      </c>
      <c r="C87" s="50">
        <f>VLOOKUP($A87,'Data Vlaue (Cr)'!$C:$FB,11)*100</f>
        <v>0.35000000000000003</v>
      </c>
      <c r="D87" s="50">
        <f>VLOOKUP($A87,'Data Vlaue (Cr)'!$C:$FB,143)</f>
        <v>10293.32</v>
      </c>
      <c r="E87" s="50">
        <f>VLOOKUP($A87,'Data Vlaue (Cr)'!$C:$FB,144)</f>
        <v>20103.900000000001</v>
      </c>
      <c r="F87" s="50">
        <f>VLOOKUP($A87,'Data Vlaue (Cr)'!$C:$FB,146)*100</f>
        <v>-48.8</v>
      </c>
      <c r="G87" s="49">
        <f>VLOOKUP($A87,'Data Vlaue (Cr)'!$C:$FB,43)</f>
        <v>751</v>
      </c>
      <c r="H87" s="49">
        <f>VLOOKUP($A87,'Data Vlaue (Cr)'!$C:$FB,44)</f>
        <v>1185</v>
      </c>
      <c r="I87" s="49">
        <f>VLOOKUP($A87,'Data Vlaue (Cr)'!$C:$FB,46)*100</f>
        <v>-36.64</v>
      </c>
      <c r="J87" s="51">
        <f>VLOOKUP($A87,'Data Vlaue (Cr)'!$C:$FB,59)</f>
        <v>5943</v>
      </c>
      <c r="K87" s="51">
        <f>VLOOKUP($A87,'Data Vlaue (Cr)'!$C:$FB,60)</f>
        <v>12818</v>
      </c>
      <c r="L87" s="51">
        <f>VLOOKUP($A87,'Data Vlaue (Cr)'!$C:$FB,62)*100</f>
        <v>-53.64</v>
      </c>
      <c r="M87" s="51">
        <f>VLOOKUP($A87,'Data Vlaue (Cr)'!$C:$FB,63)</f>
        <v>3483</v>
      </c>
      <c r="N87" s="51">
        <f>VLOOKUP($A87,'Data Vlaue (Cr)'!$C:$FB,64)</f>
        <v>5981</v>
      </c>
      <c r="O87" s="51">
        <f>VLOOKUP($A87,'Data Vlaue (Cr)'!$C:$FB,66)*100</f>
        <v>-41.77</v>
      </c>
    </row>
    <row r="88" spans="1:15" x14ac:dyDescent="0.25">
      <c r="A88" s="101" t="str">
        <f>'Data Vlaue (Cr)'!C83</f>
        <v>HFCL</v>
      </c>
      <c r="B88" s="50">
        <f>VLOOKUP($A88,'Data Vlaue (Cr)'!$C:$FB,8)</f>
        <v>75.27</v>
      </c>
      <c r="C88" s="50">
        <f>VLOOKUP($A88,'Data Vlaue (Cr)'!$C:$FB,11)*100</f>
        <v>1.2</v>
      </c>
      <c r="D88" s="50">
        <f>VLOOKUP($A88,'Data Vlaue (Cr)'!$C:$FB,143)</f>
        <v>202.59</v>
      </c>
      <c r="E88" s="50">
        <f>VLOOKUP($A88,'Data Vlaue (Cr)'!$C:$FB,144)</f>
        <v>284.74</v>
      </c>
      <c r="F88" s="50">
        <f>VLOOKUP($A88,'Data Vlaue (Cr)'!$C:$FB,146)*100</f>
        <v>-28.849999999999998</v>
      </c>
      <c r="G88" s="49">
        <f>VLOOKUP($A88,'Data Vlaue (Cr)'!$C:$FB,43)</f>
        <v>65</v>
      </c>
      <c r="H88" s="49">
        <f>VLOOKUP($A88,'Data Vlaue (Cr)'!$C:$FB,44)</f>
        <v>94</v>
      </c>
      <c r="I88" s="49">
        <f>VLOOKUP($A88,'Data Vlaue (Cr)'!$C:$FB,46)*100</f>
        <v>-30.43</v>
      </c>
      <c r="J88" s="51">
        <f>VLOOKUP($A88,'Data Vlaue (Cr)'!$C:$FB,59)</f>
        <v>97</v>
      </c>
      <c r="K88" s="51">
        <f>VLOOKUP($A88,'Data Vlaue (Cr)'!$C:$FB,60)</f>
        <v>140</v>
      </c>
      <c r="L88" s="51">
        <f>VLOOKUP($A88,'Data Vlaue (Cr)'!$C:$FB,62)*100</f>
        <v>-30.680000000000003</v>
      </c>
      <c r="M88" s="51">
        <f>VLOOKUP($A88,'Data Vlaue (Cr)'!$C:$FB,63)</f>
        <v>35</v>
      </c>
      <c r="N88" s="51">
        <f>VLOOKUP($A88,'Data Vlaue (Cr)'!$C:$FB,64)</f>
        <v>47</v>
      </c>
      <c r="O88" s="51">
        <f>VLOOKUP($A88,'Data Vlaue (Cr)'!$C:$FB,66)*100</f>
        <v>-25.39</v>
      </c>
    </row>
    <row r="89" spans="1:15" x14ac:dyDescent="0.25">
      <c r="A89" s="101" t="str">
        <f>'Data Vlaue (Cr)'!C84</f>
        <v>HINDALCO</v>
      </c>
      <c r="B89" s="50">
        <f>VLOOKUP($A89,'Data Vlaue (Cr)'!$C:$FB,8)</f>
        <v>700.85</v>
      </c>
      <c r="C89" s="50">
        <f>VLOOKUP($A89,'Data Vlaue (Cr)'!$C:$FB,11)*100</f>
        <v>-0.83</v>
      </c>
      <c r="D89" s="50">
        <f>VLOOKUP($A89,'Data Vlaue (Cr)'!$C:$FB,143)</f>
        <v>4141.96</v>
      </c>
      <c r="E89" s="50">
        <f>VLOOKUP($A89,'Data Vlaue (Cr)'!$C:$FB,144)</f>
        <v>4796.21</v>
      </c>
      <c r="F89" s="50">
        <f>VLOOKUP($A89,'Data Vlaue (Cr)'!$C:$FB,146)*100</f>
        <v>-13.639999999999999</v>
      </c>
      <c r="G89" s="49">
        <f>VLOOKUP($A89,'Data Vlaue (Cr)'!$C:$FB,43)</f>
        <v>626</v>
      </c>
      <c r="H89" s="49">
        <f>VLOOKUP($A89,'Data Vlaue (Cr)'!$C:$FB,44)</f>
        <v>901</v>
      </c>
      <c r="I89" s="49">
        <f>VLOOKUP($A89,'Data Vlaue (Cr)'!$C:$FB,46)*100</f>
        <v>-30.45</v>
      </c>
      <c r="J89" s="51">
        <f>VLOOKUP($A89,'Data Vlaue (Cr)'!$C:$FB,59)</f>
        <v>2005</v>
      </c>
      <c r="K89" s="51">
        <f>VLOOKUP($A89,'Data Vlaue (Cr)'!$C:$FB,60)</f>
        <v>2116</v>
      </c>
      <c r="L89" s="51">
        <f>VLOOKUP($A89,'Data Vlaue (Cr)'!$C:$FB,62)*100</f>
        <v>-5.24</v>
      </c>
      <c r="M89" s="51">
        <f>VLOOKUP($A89,'Data Vlaue (Cr)'!$C:$FB,63)</f>
        <v>1469</v>
      </c>
      <c r="N89" s="51">
        <f>VLOOKUP($A89,'Data Vlaue (Cr)'!$C:$FB,64)</f>
        <v>1682</v>
      </c>
      <c r="O89" s="51">
        <f>VLOOKUP($A89,'Data Vlaue (Cr)'!$C:$FB,66)*100</f>
        <v>-12.7</v>
      </c>
    </row>
    <row r="90" spans="1:15" x14ac:dyDescent="0.25">
      <c r="A90" s="101" t="str">
        <f>'Data Vlaue (Cr)'!C85</f>
        <v>HINDPETRO</v>
      </c>
      <c r="B90" s="50">
        <f>VLOOKUP($A90,'Data Vlaue (Cr)'!$C:$FB,8)</f>
        <v>390.8</v>
      </c>
      <c r="C90" s="50">
        <f>VLOOKUP($A90,'Data Vlaue (Cr)'!$C:$FB,11)*100</f>
        <v>-1.21</v>
      </c>
      <c r="D90" s="50">
        <f>VLOOKUP($A90,'Data Vlaue (Cr)'!$C:$FB,143)</f>
        <v>1551.12</v>
      </c>
      <c r="E90" s="50">
        <f>VLOOKUP($A90,'Data Vlaue (Cr)'!$C:$FB,144)</f>
        <v>2116.83</v>
      </c>
      <c r="F90" s="50">
        <f>VLOOKUP($A90,'Data Vlaue (Cr)'!$C:$FB,146)*100</f>
        <v>-26.72</v>
      </c>
      <c r="G90" s="49">
        <f>VLOOKUP($A90,'Data Vlaue (Cr)'!$C:$FB,43)</f>
        <v>341</v>
      </c>
      <c r="H90" s="49">
        <f>VLOOKUP($A90,'Data Vlaue (Cr)'!$C:$FB,44)</f>
        <v>432</v>
      </c>
      <c r="I90" s="49">
        <f>VLOOKUP($A90,'Data Vlaue (Cr)'!$C:$FB,46)*100</f>
        <v>-21.09</v>
      </c>
      <c r="J90" s="51">
        <f>VLOOKUP($A90,'Data Vlaue (Cr)'!$C:$FB,59)</f>
        <v>814</v>
      </c>
      <c r="K90" s="51">
        <f>VLOOKUP($A90,'Data Vlaue (Cr)'!$C:$FB,60)</f>
        <v>1112</v>
      </c>
      <c r="L90" s="51">
        <f>VLOOKUP($A90,'Data Vlaue (Cr)'!$C:$FB,62)*100</f>
        <v>-26.840000000000003</v>
      </c>
      <c r="M90" s="51">
        <f>VLOOKUP($A90,'Data Vlaue (Cr)'!$C:$FB,63)</f>
        <v>354</v>
      </c>
      <c r="N90" s="51">
        <f>VLOOKUP($A90,'Data Vlaue (Cr)'!$C:$FB,64)</f>
        <v>515</v>
      </c>
      <c r="O90" s="51">
        <f>VLOOKUP($A90,'Data Vlaue (Cr)'!$C:$FB,66)*100</f>
        <v>-31.369999999999997</v>
      </c>
    </row>
    <row r="91" spans="1:15" x14ac:dyDescent="0.25">
      <c r="A91" s="101" t="str">
        <f>'Data Vlaue (Cr)'!C86</f>
        <v>HINDUNILVR</v>
      </c>
      <c r="B91" s="50">
        <f>VLOOKUP($A91,'Data Vlaue (Cr)'!$C:$FB,8)</f>
        <v>2669.8</v>
      </c>
      <c r="C91" s="50">
        <f>VLOOKUP($A91,'Data Vlaue (Cr)'!$C:$FB,11)*100</f>
        <v>2.5</v>
      </c>
      <c r="D91" s="50">
        <f>VLOOKUP($A91,'Data Vlaue (Cr)'!$C:$FB,143)</f>
        <v>18194.75</v>
      </c>
      <c r="E91" s="50">
        <f>VLOOKUP($A91,'Data Vlaue (Cr)'!$C:$FB,144)</f>
        <v>6332.31</v>
      </c>
      <c r="F91" s="50">
        <f>VLOOKUP($A91,'Data Vlaue (Cr)'!$C:$FB,146)*100</f>
        <v>187.32999999999998</v>
      </c>
      <c r="G91" s="49">
        <f>VLOOKUP($A91,'Data Vlaue (Cr)'!$C:$FB,43)</f>
        <v>1263</v>
      </c>
      <c r="H91" s="49">
        <f>VLOOKUP($A91,'Data Vlaue (Cr)'!$C:$FB,44)</f>
        <v>576</v>
      </c>
      <c r="I91" s="49">
        <f>VLOOKUP($A91,'Data Vlaue (Cr)'!$C:$FB,46)*100</f>
        <v>119.29</v>
      </c>
      <c r="J91" s="51">
        <f>VLOOKUP($A91,'Data Vlaue (Cr)'!$C:$FB,59)</f>
        <v>12046</v>
      </c>
      <c r="K91" s="51">
        <f>VLOOKUP($A91,'Data Vlaue (Cr)'!$C:$FB,60)</f>
        <v>4026</v>
      </c>
      <c r="L91" s="51">
        <f>VLOOKUP($A91,'Data Vlaue (Cr)'!$C:$FB,62)*100</f>
        <v>199.23</v>
      </c>
      <c r="M91" s="51">
        <f>VLOOKUP($A91,'Data Vlaue (Cr)'!$C:$FB,63)</f>
        <v>4812</v>
      </c>
      <c r="N91" s="51">
        <f>VLOOKUP($A91,'Data Vlaue (Cr)'!$C:$FB,64)</f>
        <v>1864</v>
      </c>
      <c r="O91" s="51">
        <f>VLOOKUP($A91,'Data Vlaue (Cr)'!$C:$FB,66)*100</f>
        <v>158.20000000000002</v>
      </c>
    </row>
    <row r="92" spans="1:15" x14ac:dyDescent="0.25">
      <c r="A92" s="101" t="str">
        <f>'Data Vlaue (Cr)'!C87</f>
        <v>HINDZINC</v>
      </c>
      <c r="B92" s="50">
        <f>VLOOKUP($A92,'Data Vlaue (Cr)'!$C:$FB,8)</f>
        <v>430</v>
      </c>
      <c r="C92" s="50">
        <f>VLOOKUP($A92,'Data Vlaue (Cr)'!$C:$FB,11)*100</f>
        <v>0.31</v>
      </c>
      <c r="D92" s="50">
        <f>VLOOKUP($A92,'Data Vlaue (Cr)'!$C:$FB,143)</f>
        <v>724.52</v>
      </c>
      <c r="E92" s="50">
        <f>VLOOKUP($A92,'Data Vlaue (Cr)'!$C:$FB,144)</f>
        <v>874.76</v>
      </c>
      <c r="F92" s="50">
        <f>VLOOKUP($A92,'Data Vlaue (Cr)'!$C:$FB,146)*100</f>
        <v>-17.18</v>
      </c>
      <c r="G92" s="49">
        <f>VLOOKUP($A92,'Data Vlaue (Cr)'!$C:$FB,43)</f>
        <v>194</v>
      </c>
      <c r="H92" s="49">
        <f>VLOOKUP($A92,'Data Vlaue (Cr)'!$C:$FB,44)</f>
        <v>184</v>
      </c>
      <c r="I92" s="49">
        <f>VLOOKUP($A92,'Data Vlaue (Cr)'!$C:$FB,46)*100</f>
        <v>5.59</v>
      </c>
      <c r="J92" s="51">
        <f>VLOOKUP($A92,'Data Vlaue (Cr)'!$C:$FB,59)</f>
        <v>331</v>
      </c>
      <c r="K92" s="51">
        <f>VLOOKUP($A92,'Data Vlaue (Cr)'!$C:$FB,60)</f>
        <v>506</v>
      </c>
      <c r="L92" s="51">
        <f>VLOOKUP($A92,'Data Vlaue (Cr)'!$C:$FB,62)*100</f>
        <v>-34.58</v>
      </c>
      <c r="M92" s="51">
        <f>VLOOKUP($A92,'Data Vlaue (Cr)'!$C:$FB,63)</f>
        <v>194</v>
      </c>
      <c r="N92" s="51">
        <f>VLOOKUP($A92,'Data Vlaue (Cr)'!$C:$FB,64)</f>
        <v>171</v>
      </c>
      <c r="O92" s="51">
        <f>VLOOKUP($A92,'Data Vlaue (Cr)'!$C:$FB,66)*100</f>
        <v>13.16</v>
      </c>
    </row>
    <row r="93" spans="1:15" x14ac:dyDescent="0.25">
      <c r="A93" s="101" t="str">
        <f>'Data Vlaue (Cr)'!C88</f>
        <v>HUDCO</v>
      </c>
      <c r="B93" s="50">
        <f>VLOOKUP($A93,'Data Vlaue (Cr)'!$C:$FB,8)</f>
        <v>214.39</v>
      </c>
      <c r="C93" s="50">
        <f>VLOOKUP($A93,'Data Vlaue (Cr)'!$C:$FB,11)*100</f>
        <v>6.9999999999999993E-2</v>
      </c>
      <c r="D93" s="50">
        <f>VLOOKUP($A93,'Data Vlaue (Cr)'!$C:$FB,143)</f>
        <v>582.74</v>
      </c>
      <c r="E93" s="50">
        <f>VLOOKUP($A93,'Data Vlaue (Cr)'!$C:$FB,144)</f>
        <v>756.27</v>
      </c>
      <c r="F93" s="50">
        <f>VLOOKUP($A93,'Data Vlaue (Cr)'!$C:$FB,146)*100</f>
        <v>-22.95</v>
      </c>
      <c r="G93" s="49">
        <f>VLOOKUP($A93,'Data Vlaue (Cr)'!$C:$FB,43)</f>
        <v>127</v>
      </c>
      <c r="H93" s="49">
        <f>VLOOKUP($A93,'Data Vlaue (Cr)'!$C:$FB,44)</f>
        <v>175</v>
      </c>
      <c r="I93" s="49">
        <f>VLOOKUP($A93,'Data Vlaue (Cr)'!$C:$FB,46)*100</f>
        <v>-27.29</v>
      </c>
      <c r="J93" s="51">
        <f>VLOOKUP($A93,'Data Vlaue (Cr)'!$C:$FB,59)</f>
        <v>316</v>
      </c>
      <c r="K93" s="51">
        <f>VLOOKUP($A93,'Data Vlaue (Cr)'!$C:$FB,60)</f>
        <v>385</v>
      </c>
      <c r="L93" s="51">
        <f>VLOOKUP($A93,'Data Vlaue (Cr)'!$C:$FB,62)*100</f>
        <v>-17.84</v>
      </c>
      <c r="M93" s="51">
        <f>VLOOKUP($A93,'Data Vlaue (Cr)'!$C:$FB,63)</f>
        <v>128</v>
      </c>
      <c r="N93" s="51">
        <f>VLOOKUP($A93,'Data Vlaue (Cr)'!$C:$FB,64)</f>
        <v>185</v>
      </c>
      <c r="O93" s="51">
        <f>VLOOKUP($A93,'Data Vlaue (Cr)'!$C:$FB,66)*100</f>
        <v>-30.580000000000002</v>
      </c>
    </row>
    <row r="94" spans="1:15" x14ac:dyDescent="0.25">
      <c r="A94" s="101" t="str">
        <f>'Data Vlaue (Cr)'!C89</f>
        <v>ICICIBANK</v>
      </c>
      <c r="B94" s="50">
        <f>VLOOKUP($A94,'Data Vlaue (Cr)'!$C:$FB,8)</f>
        <v>1430.6</v>
      </c>
      <c r="C94" s="50">
        <f>VLOOKUP($A94,'Data Vlaue (Cr)'!$C:$FB,11)*100</f>
        <v>-0.4</v>
      </c>
      <c r="D94" s="50">
        <f>VLOOKUP($A94,'Data Vlaue (Cr)'!$C:$FB,143)</f>
        <v>7187.32</v>
      </c>
      <c r="E94" s="50">
        <f>VLOOKUP($A94,'Data Vlaue (Cr)'!$C:$FB,144)</f>
        <v>6315.64</v>
      </c>
      <c r="F94" s="50">
        <f>VLOOKUP($A94,'Data Vlaue (Cr)'!$C:$FB,146)*100</f>
        <v>13.8</v>
      </c>
      <c r="G94" s="49">
        <f>VLOOKUP($A94,'Data Vlaue (Cr)'!$C:$FB,43)</f>
        <v>1742</v>
      </c>
      <c r="H94" s="49">
        <f>VLOOKUP($A94,'Data Vlaue (Cr)'!$C:$FB,44)</f>
        <v>1138</v>
      </c>
      <c r="I94" s="49">
        <f>VLOOKUP($A94,'Data Vlaue (Cr)'!$C:$FB,46)*100</f>
        <v>53.16</v>
      </c>
      <c r="J94" s="51">
        <f>VLOOKUP($A94,'Data Vlaue (Cr)'!$C:$FB,59)</f>
        <v>3498</v>
      </c>
      <c r="K94" s="51">
        <f>VLOOKUP($A94,'Data Vlaue (Cr)'!$C:$FB,60)</f>
        <v>3380</v>
      </c>
      <c r="L94" s="51">
        <f>VLOOKUP($A94,'Data Vlaue (Cr)'!$C:$FB,62)*100</f>
        <v>3.4799999999999995</v>
      </c>
      <c r="M94" s="51">
        <f>VLOOKUP($A94,'Data Vlaue (Cr)'!$C:$FB,63)</f>
        <v>1891</v>
      </c>
      <c r="N94" s="51">
        <f>VLOOKUP($A94,'Data Vlaue (Cr)'!$C:$FB,64)</f>
        <v>1725</v>
      </c>
      <c r="O94" s="51">
        <f>VLOOKUP($A94,'Data Vlaue (Cr)'!$C:$FB,66)*100</f>
        <v>9.64</v>
      </c>
    </row>
    <row r="95" spans="1:15" x14ac:dyDescent="0.25">
      <c r="A95" s="101" t="str">
        <f>'Data Vlaue (Cr)'!C90</f>
        <v>ICICIGI</v>
      </c>
      <c r="B95" s="50">
        <f>VLOOKUP($A95,'Data Vlaue (Cr)'!$C:$FB,8)</f>
        <v>1968.5</v>
      </c>
      <c r="C95" s="50">
        <f>VLOOKUP($A95,'Data Vlaue (Cr)'!$C:$FB,11)*100</f>
        <v>0.8</v>
      </c>
      <c r="D95" s="50">
        <f>VLOOKUP($A95,'Data Vlaue (Cr)'!$C:$FB,143)</f>
        <v>350.96</v>
      </c>
      <c r="E95" s="50">
        <f>VLOOKUP($A95,'Data Vlaue (Cr)'!$C:$FB,144)</f>
        <v>325.70999999999998</v>
      </c>
      <c r="F95" s="50">
        <f>VLOOKUP($A95,'Data Vlaue (Cr)'!$C:$FB,146)*100</f>
        <v>7.75</v>
      </c>
      <c r="G95" s="49">
        <f>VLOOKUP($A95,'Data Vlaue (Cr)'!$C:$FB,43)</f>
        <v>69</v>
      </c>
      <c r="H95" s="49">
        <f>VLOOKUP($A95,'Data Vlaue (Cr)'!$C:$FB,44)</f>
        <v>94</v>
      </c>
      <c r="I95" s="49">
        <f>VLOOKUP($A95,'Data Vlaue (Cr)'!$C:$FB,46)*100</f>
        <v>-26.419999999999998</v>
      </c>
      <c r="J95" s="51">
        <f>VLOOKUP($A95,'Data Vlaue (Cr)'!$C:$FB,59)</f>
        <v>211</v>
      </c>
      <c r="K95" s="51">
        <f>VLOOKUP($A95,'Data Vlaue (Cr)'!$C:$FB,60)</f>
        <v>145</v>
      </c>
      <c r="L95" s="51">
        <f>VLOOKUP($A95,'Data Vlaue (Cr)'!$C:$FB,62)*100</f>
        <v>45.660000000000004</v>
      </c>
      <c r="M95" s="51">
        <f>VLOOKUP($A95,'Data Vlaue (Cr)'!$C:$FB,63)</f>
        <v>65</v>
      </c>
      <c r="N95" s="51">
        <f>VLOOKUP($A95,'Data Vlaue (Cr)'!$C:$FB,64)</f>
        <v>90</v>
      </c>
      <c r="O95" s="51">
        <f>VLOOKUP($A95,'Data Vlaue (Cr)'!$C:$FB,66)*100</f>
        <v>-28.249999999999996</v>
      </c>
    </row>
    <row r="96" spans="1:15" x14ac:dyDescent="0.25">
      <c r="A96" s="101" t="str">
        <f>'Data Vlaue (Cr)'!C91</f>
        <v>ICICIPRULI</v>
      </c>
      <c r="B96" s="50">
        <f>VLOOKUP($A96,'Data Vlaue (Cr)'!$C:$FB,8)</f>
        <v>632.04999999999995</v>
      </c>
      <c r="C96" s="50">
        <f>VLOOKUP($A96,'Data Vlaue (Cr)'!$C:$FB,11)*100</f>
        <v>-0.22</v>
      </c>
      <c r="D96" s="50">
        <f>VLOOKUP($A96,'Data Vlaue (Cr)'!$C:$FB,143)</f>
        <v>213.6</v>
      </c>
      <c r="E96" s="50">
        <f>VLOOKUP($A96,'Data Vlaue (Cr)'!$C:$FB,144)</f>
        <v>337.49</v>
      </c>
      <c r="F96" s="50">
        <f>VLOOKUP($A96,'Data Vlaue (Cr)'!$C:$FB,146)*100</f>
        <v>-36.71</v>
      </c>
      <c r="G96" s="49">
        <f>VLOOKUP($A96,'Data Vlaue (Cr)'!$C:$FB,43)</f>
        <v>68</v>
      </c>
      <c r="H96" s="49">
        <f>VLOOKUP($A96,'Data Vlaue (Cr)'!$C:$FB,44)</f>
        <v>76</v>
      </c>
      <c r="I96" s="49">
        <f>VLOOKUP($A96,'Data Vlaue (Cr)'!$C:$FB,46)*100</f>
        <v>-9.9</v>
      </c>
      <c r="J96" s="51">
        <f>VLOOKUP($A96,'Data Vlaue (Cr)'!$C:$FB,59)</f>
        <v>110</v>
      </c>
      <c r="K96" s="51">
        <f>VLOOKUP($A96,'Data Vlaue (Cr)'!$C:$FB,60)</f>
        <v>191</v>
      </c>
      <c r="L96" s="51">
        <f>VLOOKUP($A96,'Data Vlaue (Cr)'!$C:$FB,62)*100</f>
        <v>-42.44</v>
      </c>
      <c r="M96" s="51">
        <f>VLOOKUP($A96,'Data Vlaue (Cr)'!$C:$FB,63)</f>
        <v>32</v>
      </c>
      <c r="N96" s="51">
        <f>VLOOKUP($A96,'Data Vlaue (Cr)'!$C:$FB,64)</f>
        <v>65</v>
      </c>
      <c r="O96" s="51">
        <f>VLOOKUP($A96,'Data Vlaue (Cr)'!$C:$FB,66)*100</f>
        <v>-51.22</v>
      </c>
    </row>
    <row r="97" spans="1:15" x14ac:dyDescent="0.25">
      <c r="A97" s="101" t="str">
        <f>'Data Vlaue (Cr)'!C92</f>
        <v>IDEA</v>
      </c>
      <c r="B97" s="50">
        <f>VLOOKUP($A97,'Data Vlaue (Cr)'!$C:$FB,8)</f>
        <v>6.79</v>
      </c>
      <c r="C97" s="50">
        <f>VLOOKUP($A97,'Data Vlaue (Cr)'!$C:$FB,11)*100</f>
        <v>3.19</v>
      </c>
      <c r="D97" s="50">
        <f>VLOOKUP($A97,'Data Vlaue (Cr)'!$C:$FB,143)</f>
        <v>1706.88</v>
      </c>
      <c r="E97" s="50">
        <f>VLOOKUP($A97,'Data Vlaue (Cr)'!$C:$FB,144)</f>
        <v>1486.01</v>
      </c>
      <c r="F97" s="50">
        <f>VLOOKUP($A97,'Data Vlaue (Cr)'!$C:$FB,146)*100</f>
        <v>14.860000000000001</v>
      </c>
      <c r="G97" s="49">
        <f>VLOOKUP($A97,'Data Vlaue (Cr)'!$C:$FB,43)</f>
        <v>686</v>
      </c>
      <c r="H97" s="49">
        <f>VLOOKUP($A97,'Data Vlaue (Cr)'!$C:$FB,44)</f>
        <v>1075</v>
      </c>
      <c r="I97" s="49">
        <f>VLOOKUP($A97,'Data Vlaue (Cr)'!$C:$FB,46)*100</f>
        <v>-36.230000000000004</v>
      </c>
      <c r="J97" s="51">
        <f>VLOOKUP($A97,'Data Vlaue (Cr)'!$C:$FB,59)</f>
        <v>711</v>
      </c>
      <c r="K97" s="51">
        <f>VLOOKUP($A97,'Data Vlaue (Cr)'!$C:$FB,60)</f>
        <v>323</v>
      </c>
      <c r="L97" s="51">
        <f>VLOOKUP($A97,'Data Vlaue (Cr)'!$C:$FB,62)*100</f>
        <v>120.22</v>
      </c>
      <c r="M97" s="51">
        <f>VLOOKUP($A97,'Data Vlaue (Cr)'!$C:$FB,63)</f>
        <v>201</v>
      </c>
      <c r="N97" s="51">
        <f>VLOOKUP($A97,'Data Vlaue (Cr)'!$C:$FB,64)</f>
        <v>84</v>
      </c>
      <c r="O97" s="51">
        <f>VLOOKUP($A97,'Data Vlaue (Cr)'!$C:$FB,66)*100</f>
        <v>138.74</v>
      </c>
    </row>
    <row r="98" spans="1:15" x14ac:dyDescent="0.25">
      <c r="A98" s="101" t="str">
        <f>'Data Vlaue (Cr)'!C93</f>
        <v>IDFCFIRSTB</v>
      </c>
      <c r="B98" s="50">
        <f>VLOOKUP($A98,'Data Vlaue (Cr)'!$C:$FB,8)</f>
        <v>71.25</v>
      </c>
      <c r="C98" s="50">
        <f>VLOOKUP($A98,'Data Vlaue (Cr)'!$C:$FB,11)*100</f>
        <v>-0.06</v>
      </c>
      <c r="D98" s="50">
        <f>VLOOKUP($A98,'Data Vlaue (Cr)'!$C:$FB,143)</f>
        <v>915.66</v>
      </c>
      <c r="E98" s="50">
        <f>VLOOKUP($A98,'Data Vlaue (Cr)'!$C:$FB,144)</f>
        <v>1832.01</v>
      </c>
      <c r="F98" s="50">
        <f>VLOOKUP($A98,'Data Vlaue (Cr)'!$C:$FB,146)*100</f>
        <v>-50.019999999999996</v>
      </c>
      <c r="G98" s="49">
        <f>VLOOKUP($A98,'Data Vlaue (Cr)'!$C:$FB,43)</f>
        <v>369</v>
      </c>
      <c r="H98" s="49">
        <f>VLOOKUP($A98,'Data Vlaue (Cr)'!$C:$FB,44)</f>
        <v>509</v>
      </c>
      <c r="I98" s="49">
        <f>VLOOKUP($A98,'Data Vlaue (Cr)'!$C:$FB,46)*100</f>
        <v>-27.51</v>
      </c>
      <c r="J98" s="51">
        <f>VLOOKUP($A98,'Data Vlaue (Cr)'!$C:$FB,59)</f>
        <v>324</v>
      </c>
      <c r="K98" s="51">
        <f>VLOOKUP($A98,'Data Vlaue (Cr)'!$C:$FB,60)</f>
        <v>774</v>
      </c>
      <c r="L98" s="51">
        <f>VLOOKUP($A98,'Data Vlaue (Cr)'!$C:$FB,62)*100</f>
        <v>-58.14</v>
      </c>
      <c r="M98" s="51">
        <f>VLOOKUP($A98,'Data Vlaue (Cr)'!$C:$FB,63)</f>
        <v>212</v>
      </c>
      <c r="N98" s="51">
        <f>VLOOKUP($A98,'Data Vlaue (Cr)'!$C:$FB,64)</f>
        <v>539</v>
      </c>
      <c r="O98" s="51">
        <f>VLOOKUP($A98,'Data Vlaue (Cr)'!$C:$FB,66)*100</f>
        <v>-60.61</v>
      </c>
    </row>
    <row r="99" spans="1:15" x14ac:dyDescent="0.25">
      <c r="A99" s="101" t="str">
        <f>'Data Vlaue (Cr)'!C94</f>
        <v>IEX</v>
      </c>
      <c r="B99" s="50">
        <f>VLOOKUP($A99,'Data Vlaue (Cr)'!$C:$FB,8)</f>
        <v>143.15</v>
      </c>
      <c r="C99" s="50">
        <f>VLOOKUP($A99,'Data Vlaue (Cr)'!$C:$FB,11)*100</f>
        <v>1.0999999999999999</v>
      </c>
      <c r="D99" s="50">
        <f>VLOOKUP($A99,'Data Vlaue (Cr)'!$C:$FB,143)</f>
        <v>910.67</v>
      </c>
      <c r="E99" s="50">
        <f>VLOOKUP($A99,'Data Vlaue (Cr)'!$C:$FB,144)</f>
        <v>682.84</v>
      </c>
      <c r="F99" s="50">
        <f>VLOOKUP($A99,'Data Vlaue (Cr)'!$C:$FB,146)*100</f>
        <v>33.36</v>
      </c>
      <c r="G99" s="49">
        <f>VLOOKUP($A99,'Data Vlaue (Cr)'!$C:$FB,43)</f>
        <v>132</v>
      </c>
      <c r="H99" s="49">
        <f>VLOOKUP($A99,'Data Vlaue (Cr)'!$C:$FB,44)</f>
        <v>121</v>
      </c>
      <c r="I99" s="49">
        <f>VLOOKUP($A99,'Data Vlaue (Cr)'!$C:$FB,46)*100</f>
        <v>8.6900000000000013</v>
      </c>
      <c r="J99" s="51">
        <f>VLOOKUP($A99,'Data Vlaue (Cr)'!$C:$FB,59)</f>
        <v>464</v>
      </c>
      <c r="K99" s="51">
        <f>VLOOKUP($A99,'Data Vlaue (Cr)'!$C:$FB,60)</f>
        <v>327</v>
      </c>
      <c r="L99" s="51">
        <f>VLOOKUP($A99,'Data Vlaue (Cr)'!$C:$FB,62)*100</f>
        <v>41.870000000000005</v>
      </c>
      <c r="M99" s="51">
        <f>VLOOKUP($A99,'Data Vlaue (Cr)'!$C:$FB,63)</f>
        <v>301</v>
      </c>
      <c r="N99" s="51">
        <f>VLOOKUP($A99,'Data Vlaue (Cr)'!$C:$FB,64)</f>
        <v>232</v>
      </c>
      <c r="O99" s="51">
        <f>VLOOKUP($A99,'Data Vlaue (Cr)'!$C:$FB,66)*100</f>
        <v>29.67</v>
      </c>
    </row>
    <row r="100" spans="1:15" x14ac:dyDescent="0.25">
      <c r="A100" s="101" t="str">
        <f>'Data Vlaue (Cr)'!C95</f>
        <v>IGL</v>
      </c>
      <c r="B100" s="50">
        <f>VLOOKUP($A100,'Data Vlaue (Cr)'!$C:$FB,8)</f>
        <v>205.23</v>
      </c>
      <c r="C100" s="50">
        <f>VLOOKUP($A100,'Data Vlaue (Cr)'!$C:$FB,11)*100</f>
        <v>0.33999999999999997</v>
      </c>
      <c r="D100" s="50">
        <f>VLOOKUP($A100,'Data Vlaue (Cr)'!$C:$FB,143)</f>
        <v>415.98</v>
      </c>
      <c r="E100" s="50">
        <f>VLOOKUP($A100,'Data Vlaue (Cr)'!$C:$FB,144)</f>
        <v>199.34</v>
      </c>
      <c r="F100" s="50">
        <f>VLOOKUP($A100,'Data Vlaue (Cr)'!$C:$FB,146)*100</f>
        <v>108.67999999999999</v>
      </c>
      <c r="G100" s="49">
        <f>VLOOKUP($A100,'Data Vlaue (Cr)'!$C:$FB,43)</f>
        <v>136</v>
      </c>
      <c r="H100" s="49">
        <f>VLOOKUP($A100,'Data Vlaue (Cr)'!$C:$FB,44)</f>
        <v>78</v>
      </c>
      <c r="I100" s="49">
        <f>VLOOKUP($A100,'Data Vlaue (Cr)'!$C:$FB,46)*100</f>
        <v>73.36</v>
      </c>
      <c r="J100" s="51">
        <f>VLOOKUP($A100,'Data Vlaue (Cr)'!$C:$FB,59)</f>
        <v>214</v>
      </c>
      <c r="K100" s="51">
        <f>VLOOKUP($A100,'Data Vlaue (Cr)'!$C:$FB,60)</f>
        <v>90</v>
      </c>
      <c r="L100" s="51">
        <f>VLOOKUP($A100,'Data Vlaue (Cr)'!$C:$FB,62)*100</f>
        <v>139.32</v>
      </c>
      <c r="M100" s="51">
        <f>VLOOKUP($A100,'Data Vlaue (Cr)'!$C:$FB,63)</f>
        <v>58</v>
      </c>
      <c r="N100" s="51">
        <f>VLOOKUP($A100,'Data Vlaue (Cr)'!$C:$FB,64)</f>
        <v>28</v>
      </c>
      <c r="O100" s="51">
        <f>VLOOKUP($A100,'Data Vlaue (Cr)'!$C:$FB,66)*100</f>
        <v>105.38000000000001</v>
      </c>
    </row>
    <row r="101" spans="1:15" x14ac:dyDescent="0.25">
      <c r="A101" s="101" t="str">
        <f>'Data Vlaue (Cr)'!C96</f>
        <v>IIFL</v>
      </c>
      <c r="B101" s="50">
        <f>VLOOKUP($A101,'Data Vlaue (Cr)'!$C:$FB,8)</f>
        <v>471.5</v>
      </c>
      <c r="C101" s="50">
        <f>VLOOKUP($A101,'Data Vlaue (Cr)'!$C:$FB,11)*100</f>
        <v>-0.08</v>
      </c>
      <c r="D101" s="50">
        <f>VLOOKUP($A101,'Data Vlaue (Cr)'!$C:$FB,143)</f>
        <v>536.20000000000005</v>
      </c>
      <c r="E101" s="50">
        <f>VLOOKUP($A101,'Data Vlaue (Cr)'!$C:$FB,144)</f>
        <v>1520.24</v>
      </c>
      <c r="F101" s="50">
        <f>VLOOKUP($A101,'Data Vlaue (Cr)'!$C:$FB,146)*100</f>
        <v>-64.73</v>
      </c>
      <c r="G101" s="49">
        <f>VLOOKUP($A101,'Data Vlaue (Cr)'!$C:$FB,43)</f>
        <v>131</v>
      </c>
      <c r="H101" s="49">
        <f>VLOOKUP($A101,'Data Vlaue (Cr)'!$C:$FB,44)</f>
        <v>308</v>
      </c>
      <c r="I101" s="49">
        <f>VLOOKUP($A101,'Data Vlaue (Cr)'!$C:$FB,46)*100</f>
        <v>-57.57</v>
      </c>
      <c r="J101" s="51">
        <f>VLOOKUP($A101,'Data Vlaue (Cr)'!$C:$FB,59)</f>
        <v>264</v>
      </c>
      <c r="K101" s="51">
        <f>VLOOKUP($A101,'Data Vlaue (Cr)'!$C:$FB,60)</f>
        <v>915</v>
      </c>
      <c r="L101" s="51">
        <f>VLOOKUP($A101,'Data Vlaue (Cr)'!$C:$FB,62)*100</f>
        <v>-71.099999999999994</v>
      </c>
      <c r="M101" s="51">
        <f>VLOOKUP($A101,'Data Vlaue (Cr)'!$C:$FB,63)</f>
        <v>130</v>
      </c>
      <c r="N101" s="51">
        <f>VLOOKUP($A101,'Data Vlaue (Cr)'!$C:$FB,64)</f>
        <v>277</v>
      </c>
      <c r="O101" s="51">
        <f>VLOOKUP($A101,'Data Vlaue (Cr)'!$C:$FB,66)*100</f>
        <v>-53.05</v>
      </c>
    </row>
    <row r="102" spans="1:15" x14ac:dyDescent="0.25">
      <c r="A102" s="101" t="str">
        <f>'Data Vlaue (Cr)'!C97</f>
        <v>INDHOTEL</v>
      </c>
      <c r="B102" s="50">
        <f>VLOOKUP($A102,'Data Vlaue (Cr)'!$C:$FB,8)</f>
        <v>806.8</v>
      </c>
      <c r="C102" s="50">
        <f>VLOOKUP($A102,'Data Vlaue (Cr)'!$C:$FB,11)*100</f>
        <v>4.08</v>
      </c>
      <c r="D102" s="50">
        <f>VLOOKUP($A102,'Data Vlaue (Cr)'!$C:$FB,143)</f>
        <v>10754.32</v>
      </c>
      <c r="E102" s="50">
        <f>VLOOKUP($A102,'Data Vlaue (Cr)'!$C:$FB,144)</f>
        <v>1061.06</v>
      </c>
      <c r="F102" s="50">
        <f>VLOOKUP($A102,'Data Vlaue (Cr)'!$C:$FB,146)*100</f>
        <v>913.54000000000008</v>
      </c>
      <c r="G102" s="49">
        <f>VLOOKUP($A102,'Data Vlaue (Cr)'!$C:$FB,43)</f>
        <v>910</v>
      </c>
      <c r="H102" s="49">
        <f>VLOOKUP($A102,'Data Vlaue (Cr)'!$C:$FB,44)</f>
        <v>216</v>
      </c>
      <c r="I102" s="49">
        <f>VLOOKUP($A102,'Data Vlaue (Cr)'!$C:$FB,46)*100</f>
        <v>321.27</v>
      </c>
      <c r="J102" s="51">
        <f>VLOOKUP($A102,'Data Vlaue (Cr)'!$C:$FB,59)</f>
        <v>7584</v>
      </c>
      <c r="K102" s="51">
        <f>VLOOKUP($A102,'Data Vlaue (Cr)'!$C:$FB,60)</f>
        <v>605</v>
      </c>
      <c r="L102" s="51">
        <f>VLOOKUP($A102,'Data Vlaue (Cr)'!$C:$FB,62)*100</f>
        <v>1152.8</v>
      </c>
      <c r="M102" s="51">
        <f>VLOOKUP($A102,'Data Vlaue (Cr)'!$C:$FB,63)</f>
        <v>2178</v>
      </c>
      <c r="N102" s="51">
        <f>VLOOKUP($A102,'Data Vlaue (Cr)'!$C:$FB,64)</f>
        <v>269</v>
      </c>
      <c r="O102" s="51">
        <f>VLOOKUP($A102,'Data Vlaue (Cr)'!$C:$FB,66)*100</f>
        <v>708.75</v>
      </c>
    </row>
    <row r="103" spans="1:15" x14ac:dyDescent="0.25">
      <c r="A103" s="101" t="str">
        <f>'Data Vlaue (Cr)'!C98</f>
        <v>INDIANB</v>
      </c>
      <c r="B103" s="50">
        <f>VLOOKUP($A103,'Data Vlaue (Cr)'!$C:$FB,8)</f>
        <v>670.05</v>
      </c>
      <c r="C103" s="50">
        <f>VLOOKUP($A103,'Data Vlaue (Cr)'!$C:$FB,11)*100</f>
        <v>-0.24</v>
      </c>
      <c r="D103" s="50">
        <f>VLOOKUP($A103,'Data Vlaue (Cr)'!$C:$FB,143)</f>
        <v>256.14</v>
      </c>
      <c r="E103" s="50">
        <f>VLOOKUP($A103,'Data Vlaue (Cr)'!$C:$FB,144)</f>
        <v>490.14</v>
      </c>
      <c r="F103" s="50">
        <f>VLOOKUP($A103,'Data Vlaue (Cr)'!$C:$FB,146)*100</f>
        <v>-47.74</v>
      </c>
      <c r="G103" s="49">
        <f>VLOOKUP($A103,'Data Vlaue (Cr)'!$C:$FB,43)</f>
        <v>77</v>
      </c>
      <c r="H103" s="49">
        <f>VLOOKUP($A103,'Data Vlaue (Cr)'!$C:$FB,44)</f>
        <v>158</v>
      </c>
      <c r="I103" s="49">
        <f>VLOOKUP($A103,'Data Vlaue (Cr)'!$C:$FB,46)*100</f>
        <v>-51.339999999999996</v>
      </c>
      <c r="J103" s="51">
        <f>VLOOKUP($A103,'Data Vlaue (Cr)'!$C:$FB,59)</f>
        <v>131</v>
      </c>
      <c r="K103" s="51">
        <f>VLOOKUP($A103,'Data Vlaue (Cr)'!$C:$FB,60)</f>
        <v>246</v>
      </c>
      <c r="L103" s="51">
        <f>VLOOKUP($A103,'Data Vlaue (Cr)'!$C:$FB,62)*100</f>
        <v>-46.7</v>
      </c>
      <c r="M103" s="51">
        <f>VLOOKUP($A103,'Data Vlaue (Cr)'!$C:$FB,63)</f>
        <v>45</v>
      </c>
      <c r="N103" s="51">
        <f>VLOOKUP($A103,'Data Vlaue (Cr)'!$C:$FB,64)</f>
        <v>78</v>
      </c>
      <c r="O103" s="51">
        <f>VLOOKUP($A103,'Data Vlaue (Cr)'!$C:$FB,66)*100</f>
        <v>-42.49</v>
      </c>
    </row>
    <row r="104" spans="1:15" x14ac:dyDescent="0.25">
      <c r="A104" s="101" t="str">
        <f>'Data Vlaue (Cr)'!C99</f>
        <v>INDIAVIX</v>
      </c>
      <c r="B104" s="50">
        <f>VLOOKUP($A104,'Data Vlaue (Cr)'!$C:$FB,8)</f>
        <v>11.79</v>
      </c>
      <c r="C104" s="50">
        <f>VLOOKUP($A104,'Data Vlaue (Cr)'!$C:$FB,11)*100</f>
        <v>-0.04</v>
      </c>
      <c r="D104" s="50">
        <f>VLOOKUP($A104,'Data Vlaue (Cr)'!$C:$FB,143)</f>
        <v>0</v>
      </c>
      <c r="E104" s="50">
        <f>VLOOKUP($A104,'Data Vlaue (Cr)'!$C:$FB,144)</f>
        <v>0</v>
      </c>
      <c r="F104" s="50">
        <f>VLOOKUP($A104,'Data Vlaue (Cr)'!$C:$FB,146)*100</f>
        <v>0</v>
      </c>
      <c r="G104" s="49">
        <f>VLOOKUP($A104,'Data Vlaue (Cr)'!$C:$FB,43)</f>
        <v>0</v>
      </c>
      <c r="H104" s="49">
        <f>VLOOKUP($A104,'Data Vlaue (Cr)'!$C:$FB,44)</f>
        <v>0</v>
      </c>
      <c r="I104" s="49">
        <f>VLOOKUP($A104,'Data Vlaue (Cr)'!$C:$FB,46)*100</f>
        <v>0</v>
      </c>
      <c r="J104" s="51">
        <f>VLOOKUP($A104,'Data Vlaue (Cr)'!$C:$FB,59)</f>
        <v>0</v>
      </c>
      <c r="K104" s="51">
        <f>VLOOKUP($A104,'Data Vlaue (Cr)'!$C:$FB,60)</f>
        <v>0</v>
      </c>
      <c r="L104" s="51">
        <f>VLOOKUP($A104,'Data Vlaue (Cr)'!$C:$FB,62)*100</f>
        <v>0</v>
      </c>
      <c r="M104" s="51">
        <f>VLOOKUP($A104,'Data Vlaue (Cr)'!$C:$FB,63)</f>
        <v>0</v>
      </c>
      <c r="N104" s="51">
        <f>VLOOKUP($A104,'Data Vlaue (Cr)'!$C:$FB,64)</f>
        <v>0</v>
      </c>
      <c r="O104" s="51">
        <f>VLOOKUP($A104,'Data Vlaue (Cr)'!$C:$FB,66)*100</f>
        <v>0</v>
      </c>
    </row>
    <row r="105" spans="1:15" x14ac:dyDescent="0.25">
      <c r="A105" s="101" t="str">
        <f>'Data Vlaue (Cr)'!C100</f>
        <v>INDIGO</v>
      </c>
      <c r="B105" s="50">
        <f>VLOOKUP($A105,'Data Vlaue (Cr)'!$C:$FB,8)</f>
        <v>6155.5</v>
      </c>
      <c r="C105" s="50">
        <f>VLOOKUP($A105,'Data Vlaue (Cr)'!$C:$FB,11)*100</f>
        <v>1.6500000000000001</v>
      </c>
      <c r="D105" s="50">
        <f>VLOOKUP($A105,'Data Vlaue (Cr)'!$C:$FB,143)</f>
        <v>4073.79</v>
      </c>
      <c r="E105" s="50">
        <f>VLOOKUP($A105,'Data Vlaue (Cr)'!$C:$FB,144)</f>
        <v>2661.5</v>
      </c>
      <c r="F105" s="50">
        <f>VLOOKUP($A105,'Data Vlaue (Cr)'!$C:$FB,146)*100</f>
        <v>53.059999999999995</v>
      </c>
      <c r="G105" s="49">
        <f>VLOOKUP($A105,'Data Vlaue (Cr)'!$C:$FB,43)</f>
        <v>849</v>
      </c>
      <c r="H105" s="49">
        <f>VLOOKUP($A105,'Data Vlaue (Cr)'!$C:$FB,44)</f>
        <v>428</v>
      </c>
      <c r="I105" s="49">
        <f>VLOOKUP($A105,'Data Vlaue (Cr)'!$C:$FB,46)*100</f>
        <v>98.34</v>
      </c>
      <c r="J105" s="51">
        <f>VLOOKUP($A105,'Data Vlaue (Cr)'!$C:$FB,59)</f>
        <v>2226</v>
      </c>
      <c r="K105" s="51">
        <f>VLOOKUP($A105,'Data Vlaue (Cr)'!$C:$FB,60)</f>
        <v>1262</v>
      </c>
      <c r="L105" s="51">
        <f>VLOOKUP($A105,'Data Vlaue (Cr)'!$C:$FB,62)*100</f>
        <v>76.36</v>
      </c>
      <c r="M105" s="51">
        <f>VLOOKUP($A105,'Data Vlaue (Cr)'!$C:$FB,63)</f>
        <v>982</v>
      </c>
      <c r="N105" s="51">
        <f>VLOOKUP($A105,'Data Vlaue (Cr)'!$C:$FB,64)</f>
        <v>994</v>
      </c>
      <c r="O105" s="51">
        <f>VLOOKUP($A105,'Data Vlaue (Cr)'!$C:$FB,66)*100</f>
        <v>-1.1499999999999999</v>
      </c>
    </row>
    <row r="106" spans="1:15" x14ac:dyDescent="0.25">
      <c r="A106" s="101" t="str">
        <f>'Data Vlaue (Cr)'!C101</f>
        <v>INDUSINDBK</v>
      </c>
      <c r="B106" s="50">
        <f>VLOOKUP($A106,'Data Vlaue (Cr)'!$C:$FB,8)</f>
        <v>778.2</v>
      </c>
      <c r="C106" s="50">
        <f>VLOOKUP($A106,'Data Vlaue (Cr)'!$C:$FB,11)*100</f>
        <v>-0.92999999999999994</v>
      </c>
      <c r="D106" s="50">
        <f>VLOOKUP($A106,'Data Vlaue (Cr)'!$C:$FB,143)</f>
        <v>1968.06</v>
      </c>
      <c r="E106" s="50">
        <f>VLOOKUP($A106,'Data Vlaue (Cr)'!$C:$FB,144)</f>
        <v>1809.08</v>
      </c>
      <c r="F106" s="50">
        <f>VLOOKUP($A106,'Data Vlaue (Cr)'!$C:$FB,146)*100</f>
        <v>8.7900000000000009</v>
      </c>
      <c r="G106" s="49">
        <f>VLOOKUP($A106,'Data Vlaue (Cr)'!$C:$FB,43)</f>
        <v>499</v>
      </c>
      <c r="H106" s="49">
        <f>VLOOKUP($A106,'Data Vlaue (Cr)'!$C:$FB,44)</f>
        <v>382</v>
      </c>
      <c r="I106" s="49">
        <f>VLOOKUP($A106,'Data Vlaue (Cr)'!$C:$FB,46)*100</f>
        <v>30.65</v>
      </c>
      <c r="J106" s="51">
        <f>VLOOKUP($A106,'Data Vlaue (Cr)'!$C:$FB,59)</f>
        <v>953</v>
      </c>
      <c r="K106" s="51">
        <f>VLOOKUP($A106,'Data Vlaue (Cr)'!$C:$FB,60)</f>
        <v>879</v>
      </c>
      <c r="L106" s="51">
        <f>VLOOKUP($A106,'Data Vlaue (Cr)'!$C:$FB,62)*100</f>
        <v>8.3800000000000008</v>
      </c>
      <c r="M106" s="51">
        <f>VLOOKUP($A106,'Data Vlaue (Cr)'!$C:$FB,63)</f>
        <v>463</v>
      </c>
      <c r="N106" s="51">
        <f>VLOOKUP($A106,'Data Vlaue (Cr)'!$C:$FB,64)</f>
        <v>491</v>
      </c>
      <c r="O106" s="51">
        <f>VLOOKUP($A106,'Data Vlaue (Cr)'!$C:$FB,66)*100</f>
        <v>-5.6000000000000005</v>
      </c>
    </row>
    <row r="107" spans="1:15" x14ac:dyDescent="0.25">
      <c r="A107" s="101" t="str">
        <f>'Data Vlaue (Cr)'!C102</f>
        <v>INDUSTOWER</v>
      </c>
      <c r="B107" s="50">
        <f>VLOOKUP($A107,'Data Vlaue (Cr)'!$C:$FB,8)</f>
        <v>349.1</v>
      </c>
      <c r="C107" s="50">
        <f>VLOOKUP($A107,'Data Vlaue (Cr)'!$C:$FB,11)*100</f>
        <v>2.69</v>
      </c>
      <c r="D107" s="50">
        <f>VLOOKUP($A107,'Data Vlaue (Cr)'!$C:$FB,143)</f>
        <v>5461.49</v>
      </c>
      <c r="E107" s="50">
        <f>VLOOKUP($A107,'Data Vlaue (Cr)'!$C:$FB,144)</f>
        <v>2281.1</v>
      </c>
      <c r="F107" s="50">
        <f>VLOOKUP($A107,'Data Vlaue (Cr)'!$C:$FB,146)*100</f>
        <v>139.42000000000002</v>
      </c>
      <c r="G107" s="49">
        <f>VLOOKUP($A107,'Data Vlaue (Cr)'!$C:$FB,43)</f>
        <v>948</v>
      </c>
      <c r="H107" s="49">
        <f>VLOOKUP($A107,'Data Vlaue (Cr)'!$C:$FB,44)</f>
        <v>737</v>
      </c>
      <c r="I107" s="49">
        <f>VLOOKUP($A107,'Data Vlaue (Cr)'!$C:$FB,46)*100</f>
        <v>28.63</v>
      </c>
      <c r="J107" s="51">
        <f>VLOOKUP($A107,'Data Vlaue (Cr)'!$C:$FB,59)</f>
        <v>3177</v>
      </c>
      <c r="K107" s="51">
        <f>VLOOKUP($A107,'Data Vlaue (Cr)'!$C:$FB,60)</f>
        <v>1233</v>
      </c>
      <c r="L107" s="51">
        <f>VLOOKUP($A107,'Data Vlaue (Cr)'!$C:$FB,62)*100</f>
        <v>157.62</v>
      </c>
      <c r="M107" s="51">
        <f>VLOOKUP($A107,'Data Vlaue (Cr)'!$C:$FB,63)</f>
        <v>1225</v>
      </c>
      <c r="N107" s="51">
        <f>VLOOKUP($A107,'Data Vlaue (Cr)'!$C:$FB,64)</f>
        <v>327</v>
      </c>
      <c r="O107" s="51">
        <f>VLOOKUP($A107,'Data Vlaue (Cr)'!$C:$FB,66)*100</f>
        <v>274.16999999999996</v>
      </c>
    </row>
    <row r="108" spans="1:15" x14ac:dyDescent="0.25">
      <c r="A108" s="101" t="str">
        <f>'Data Vlaue (Cr)'!C103</f>
        <v>INFY</v>
      </c>
      <c r="B108" s="50">
        <f>VLOOKUP($A108,'Data Vlaue (Cr)'!$C:$FB,8)</f>
        <v>1496.2</v>
      </c>
      <c r="C108" s="50">
        <f>VLOOKUP($A108,'Data Vlaue (Cr)'!$C:$FB,11)*100</f>
        <v>3.9</v>
      </c>
      <c r="D108" s="50">
        <f>VLOOKUP($A108,'Data Vlaue (Cr)'!$C:$FB,143)</f>
        <v>27345.17</v>
      </c>
      <c r="E108" s="50">
        <f>VLOOKUP($A108,'Data Vlaue (Cr)'!$C:$FB,144)</f>
        <v>5744.88</v>
      </c>
      <c r="F108" s="50">
        <f>VLOOKUP($A108,'Data Vlaue (Cr)'!$C:$FB,146)*100</f>
        <v>375.99</v>
      </c>
      <c r="G108" s="49">
        <f>VLOOKUP($A108,'Data Vlaue (Cr)'!$C:$FB,43)</f>
        <v>3071</v>
      </c>
      <c r="H108" s="49">
        <f>VLOOKUP($A108,'Data Vlaue (Cr)'!$C:$FB,44)</f>
        <v>847</v>
      </c>
      <c r="I108" s="49">
        <f>VLOOKUP($A108,'Data Vlaue (Cr)'!$C:$FB,46)*100</f>
        <v>262.7</v>
      </c>
      <c r="J108" s="51">
        <f>VLOOKUP($A108,'Data Vlaue (Cr)'!$C:$FB,59)</f>
        <v>16828</v>
      </c>
      <c r="K108" s="51">
        <f>VLOOKUP($A108,'Data Vlaue (Cr)'!$C:$FB,60)</f>
        <v>3379</v>
      </c>
      <c r="L108" s="51">
        <f>VLOOKUP($A108,'Data Vlaue (Cr)'!$C:$FB,62)*100</f>
        <v>398.05</v>
      </c>
      <c r="M108" s="51">
        <f>VLOOKUP($A108,'Data Vlaue (Cr)'!$C:$FB,63)</f>
        <v>7361</v>
      </c>
      <c r="N108" s="51">
        <f>VLOOKUP($A108,'Data Vlaue (Cr)'!$C:$FB,64)</f>
        <v>1616</v>
      </c>
      <c r="O108" s="51">
        <f>VLOOKUP($A108,'Data Vlaue (Cr)'!$C:$FB,66)*100</f>
        <v>355.5</v>
      </c>
    </row>
    <row r="109" spans="1:15" x14ac:dyDescent="0.25">
      <c r="A109" s="101" t="str">
        <f>'Data Vlaue (Cr)'!C104</f>
        <v>INOXWIND</v>
      </c>
      <c r="B109" s="50">
        <f>VLOOKUP($A109,'Data Vlaue (Cr)'!$C:$FB,8)</f>
        <v>144.19</v>
      </c>
      <c r="C109" s="50">
        <f>VLOOKUP($A109,'Data Vlaue (Cr)'!$C:$FB,11)*100</f>
        <v>-0.2</v>
      </c>
      <c r="D109" s="50">
        <f>VLOOKUP($A109,'Data Vlaue (Cr)'!$C:$FB,143)</f>
        <v>582.85</v>
      </c>
      <c r="E109" s="50">
        <f>VLOOKUP($A109,'Data Vlaue (Cr)'!$C:$FB,144)</f>
        <v>2942.23</v>
      </c>
      <c r="F109" s="50">
        <f>VLOOKUP($A109,'Data Vlaue (Cr)'!$C:$FB,146)*100</f>
        <v>-80.19</v>
      </c>
      <c r="G109" s="49">
        <f>VLOOKUP($A109,'Data Vlaue (Cr)'!$C:$FB,43)</f>
        <v>126</v>
      </c>
      <c r="H109" s="49">
        <f>VLOOKUP($A109,'Data Vlaue (Cr)'!$C:$FB,44)</f>
        <v>408</v>
      </c>
      <c r="I109" s="49">
        <f>VLOOKUP($A109,'Data Vlaue (Cr)'!$C:$FB,46)*100</f>
        <v>-69.22</v>
      </c>
      <c r="J109" s="51">
        <f>VLOOKUP($A109,'Data Vlaue (Cr)'!$C:$FB,59)</f>
        <v>322</v>
      </c>
      <c r="K109" s="51">
        <f>VLOOKUP($A109,'Data Vlaue (Cr)'!$C:$FB,60)</f>
        <v>1912</v>
      </c>
      <c r="L109" s="51">
        <f>VLOOKUP($A109,'Data Vlaue (Cr)'!$C:$FB,62)*100</f>
        <v>-83.17</v>
      </c>
      <c r="M109" s="51">
        <f>VLOOKUP($A109,'Data Vlaue (Cr)'!$C:$FB,63)</f>
        <v>110</v>
      </c>
      <c r="N109" s="51">
        <f>VLOOKUP($A109,'Data Vlaue (Cr)'!$C:$FB,64)</f>
        <v>510</v>
      </c>
      <c r="O109" s="51">
        <f>VLOOKUP($A109,'Data Vlaue (Cr)'!$C:$FB,66)*100</f>
        <v>-78.320000000000007</v>
      </c>
    </row>
    <row r="110" spans="1:15" x14ac:dyDescent="0.25">
      <c r="A110" s="101" t="str">
        <f>'Data Vlaue (Cr)'!C105</f>
        <v>IOC</v>
      </c>
      <c r="B110" s="50">
        <f>VLOOKUP($A110,'Data Vlaue (Cr)'!$C:$FB,8)</f>
        <v>141.44</v>
      </c>
      <c r="C110" s="50">
        <f>VLOOKUP($A110,'Data Vlaue (Cr)'!$C:$FB,11)*100</f>
        <v>-0.4</v>
      </c>
      <c r="D110" s="50">
        <f>VLOOKUP($A110,'Data Vlaue (Cr)'!$C:$FB,143)</f>
        <v>1109.53</v>
      </c>
      <c r="E110" s="50">
        <f>VLOOKUP($A110,'Data Vlaue (Cr)'!$C:$FB,144)</f>
        <v>1481.5</v>
      </c>
      <c r="F110" s="50">
        <f>VLOOKUP($A110,'Data Vlaue (Cr)'!$C:$FB,146)*100</f>
        <v>-25.11</v>
      </c>
      <c r="G110" s="49">
        <f>VLOOKUP($A110,'Data Vlaue (Cr)'!$C:$FB,43)</f>
        <v>184</v>
      </c>
      <c r="H110" s="49">
        <f>VLOOKUP($A110,'Data Vlaue (Cr)'!$C:$FB,44)</f>
        <v>226</v>
      </c>
      <c r="I110" s="49">
        <f>VLOOKUP($A110,'Data Vlaue (Cr)'!$C:$FB,46)*100</f>
        <v>-18.649999999999999</v>
      </c>
      <c r="J110" s="51">
        <f>VLOOKUP($A110,'Data Vlaue (Cr)'!$C:$FB,59)</f>
        <v>516</v>
      </c>
      <c r="K110" s="51">
        <f>VLOOKUP($A110,'Data Vlaue (Cr)'!$C:$FB,60)</f>
        <v>737</v>
      </c>
      <c r="L110" s="51">
        <f>VLOOKUP($A110,'Data Vlaue (Cr)'!$C:$FB,62)*100</f>
        <v>-30.04</v>
      </c>
      <c r="M110" s="51">
        <f>VLOOKUP($A110,'Data Vlaue (Cr)'!$C:$FB,63)</f>
        <v>395</v>
      </c>
      <c r="N110" s="51">
        <f>VLOOKUP($A110,'Data Vlaue (Cr)'!$C:$FB,64)</f>
        <v>503</v>
      </c>
      <c r="O110" s="51">
        <f>VLOOKUP($A110,'Data Vlaue (Cr)'!$C:$FB,66)*100</f>
        <v>-21.42</v>
      </c>
    </row>
    <row r="111" spans="1:15" x14ac:dyDescent="0.25">
      <c r="A111" s="101" t="str">
        <f>'Data Vlaue (Cr)'!C106</f>
        <v>IRB</v>
      </c>
      <c r="B111" s="50">
        <f>VLOOKUP($A111,'Data Vlaue (Cr)'!$C:$FB,8)</f>
        <v>44.6</v>
      </c>
      <c r="C111" s="50">
        <f>VLOOKUP($A111,'Data Vlaue (Cr)'!$C:$FB,11)*100</f>
        <v>-1.1499999999999999</v>
      </c>
      <c r="D111" s="50">
        <f>VLOOKUP($A111,'Data Vlaue (Cr)'!$C:$FB,143)</f>
        <v>119.77</v>
      </c>
      <c r="E111" s="50">
        <f>VLOOKUP($A111,'Data Vlaue (Cr)'!$C:$FB,144)</f>
        <v>172.51</v>
      </c>
      <c r="F111" s="50">
        <f>VLOOKUP($A111,'Data Vlaue (Cr)'!$C:$FB,146)*100</f>
        <v>-30.570000000000004</v>
      </c>
      <c r="G111" s="49">
        <f>VLOOKUP($A111,'Data Vlaue (Cr)'!$C:$FB,43)</f>
        <v>27</v>
      </c>
      <c r="H111" s="49">
        <f>VLOOKUP($A111,'Data Vlaue (Cr)'!$C:$FB,44)</f>
        <v>31</v>
      </c>
      <c r="I111" s="49">
        <f>VLOOKUP($A111,'Data Vlaue (Cr)'!$C:$FB,46)*100</f>
        <v>-12.58</v>
      </c>
      <c r="J111" s="51">
        <f>VLOOKUP($A111,'Data Vlaue (Cr)'!$C:$FB,59)</f>
        <v>61</v>
      </c>
      <c r="K111" s="51">
        <f>VLOOKUP($A111,'Data Vlaue (Cr)'!$C:$FB,60)</f>
        <v>107</v>
      </c>
      <c r="L111" s="51">
        <f>VLOOKUP($A111,'Data Vlaue (Cr)'!$C:$FB,62)*100</f>
        <v>-42.88</v>
      </c>
      <c r="M111" s="51">
        <f>VLOOKUP($A111,'Data Vlaue (Cr)'!$C:$FB,63)</f>
        <v>29</v>
      </c>
      <c r="N111" s="51">
        <f>VLOOKUP($A111,'Data Vlaue (Cr)'!$C:$FB,64)</f>
        <v>28</v>
      </c>
      <c r="O111" s="51">
        <f>VLOOKUP($A111,'Data Vlaue (Cr)'!$C:$FB,66)*100</f>
        <v>2.1999999999999997</v>
      </c>
    </row>
    <row r="112" spans="1:15" x14ac:dyDescent="0.25">
      <c r="A112" s="101" t="str">
        <f>'Data Vlaue (Cr)'!C107</f>
        <v>IRCTC</v>
      </c>
      <c r="B112" s="50">
        <f>VLOOKUP($A112,'Data Vlaue (Cr)'!$C:$FB,8)</f>
        <v>731.2</v>
      </c>
      <c r="C112" s="50">
        <f>VLOOKUP($A112,'Data Vlaue (Cr)'!$C:$FB,11)*100</f>
        <v>0.66</v>
      </c>
      <c r="D112" s="50">
        <f>VLOOKUP($A112,'Data Vlaue (Cr)'!$C:$FB,143)</f>
        <v>982.66</v>
      </c>
      <c r="E112" s="50">
        <f>VLOOKUP($A112,'Data Vlaue (Cr)'!$C:$FB,144)</f>
        <v>887.4</v>
      </c>
      <c r="F112" s="50">
        <f>VLOOKUP($A112,'Data Vlaue (Cr)'!$C:$FB,146)*100</f>
        <v>10.73</v>
      </c>
      <c r="G112" s="49">
        <f>VLOOKUP($A112,'Data Vlaue (Cr)'!$C:$FB,43)</f>
        <v>147</v>
      </c>
      <c r="H112" s="49">
        <f>VLOOKUP($A112,'Data Vlaue (Cr)'!$C:$FB,44)</f>
        <v>147</v>
      </c>
      <c r="I112" s="49">
        <f>VLOOKUP($A112,'Data Vlaue (Cr)'!$C:$FB,46)*100</f>
        <v>0.22</v>
      </c>
      <c r="J112" s="51">
        <f>VLOOKUP($A112,'Data Vlaue (Cr)'!$C:$FB,59)</f>
        <v>623</v>
      </c>
      <c r="K112" s="51">
        <f>VLOOKUP($A112,'Data Vlaue (Cr)'!$C:$FB,60)</f>
        <v>530</v>
      </c>
      <c r="L112" s="51">
        <f>VLOOKUP($A112,'Data Vlaue (Cr)'!$C:$FB,62)*100</f>
        <v>17.53</v>
      </c>
      <c r="M112" s="51">
        <f>VLOOKUP($A112,'Data Vlaue (Cr)'!$C:$FB,63)</f>
        <v>193</v>
      </c>
      <c r="N112" s="51">
        <f>VLOOKUP($A112,'Data Vlaue (Cr)'!$C:$FB,64)</f>
        <v>196</v>
      </c>
      <c r="O112" s="51">
        <f>VLOOKUP($A112,'Data Vlaue (Cr)'!$C:$FB,66)*100</f>
        <v>-1.6</v>
      </c>
    </row>
    <row r="113" spans="1:15" x14ac:dyDescent="0.25">
      <c r="A113" s="101" t="str">
        <f>'Data Vlaue (Cr)'!C108</f>
        <v>IREDA</v>
      </c>
      <c r="B113" s="50">
        <f>VLOOKUP($A113,'Data Vlaue (Cr)'!$C:$FB,8)</f>
        <v>148.78</v>
      </c>
      <c r="C113" s="50">
        <f>VLOOKUP($A113,'Data Vlaue (Cr)'!$C:$FB,11)*100</f>
        <v>-0.09</v>
      </c>
      <c r="D113" s="50">
        <f>VLOOKUP($A113,'Data Vlaue (Cr)'!$C:$FB,143)</f>
        <v>232.18</v>
      </c>
      <c r="E113" s="50">
        <f>VLOOKUP($A113,'Data Vlaue (Cr)'!$C:$FB,144)</f>
        <v>340.76</v>
      </c>
      <c r="F113" s="50">
        <f>VLOOKUP($A113,'Data Vlaue (Cr)'!$C:$FB,146)*100</f>
        <v>-31.86</v>
      </c>
      <c r="G113" s="49">
        <f>VLOOKUP($A113,'Data Vlaue (Cr)'!$C:$FB,43)</f>
        <v>80</v>
      </c>
      <c r="H113" s="49">
        <f>VLOOKUP($A113,'Data Vlaue (Cr)'!$C:$FB,44)</f>
        <v>78</v>
      </c>
      <c r="I113" s="49">
        <f>VLOOKUP($A113,'Data Vlaue (Cr)'!$C:$FB,46)*100</f>
        <v>2.5100000000000002</v>
      </c>
      <c r="J113" s="51">
        <f>VLOOKUP($A113,'Data Vlaue (Cr)'!$C:$FB,59)</f>
        <v>95</v>
      </c>
      <c r="K113" s="51">
        <f>VLOOKUP($A113,'Data Vlaue (Cr)'!$C:$FB,60)</f>
        <v>202</v>
      </c>
      <c r="L113" s="51">
        <f>VLOOKUP($A113,'Data Vlaue (Cr)'!$C:$FB,62)*100</f>
        <v>-52.81</v>
      </c>
      <c r="M113" s="51">
        <f>VLOOKUP($A113,'Data Vlaue (Cr)'!$C:$FB,63)</f>
        <v>53</v>
      </c>
      <c r="N113" s="51">
        <f>VLOOKUP($A113,'Data Vlaue (Cr)'!$C:$FB,64)</f>
        <v>54</v>
      </c>
      <c r="O113" s="51">
        <f>VLOOKUP($A113,'Data Vlaue (Cr)'!$C:$FB,66)*100</f>
        <v>-1.52</v>
      </c>
    </row>
    <row r="114" spans="1:15" x14ac:dyDescent="0.25">
      <c r="A114" s="101" t="str">
        <f>'Data Vlaue (Cr)'!C109</f>
        <v>IRFC</v>
      </c>
      <c r="B114" s="50">
        <f>VLOOKUP($A114,'Data Vlaue (Cr)'!$C:$FB,8)</f>
        <v>126.73</v>
      </c>
      <c r="C114" s="50">
        <f>VLOOKUP($A114,'Data Vlaue (Cr)'!$C:$FB,11)*100</f>
        <v>-0.06</v>
      </c>
      <c r="D114" s="50">
        <f>VLOOKUP($A114,'Data Vlaue (Cr)'!$C:$FB,143)</f>
        <v>555.58000000000004</v>
      </c>
      <c r="E114" s="50">
        <f>VLOOKUP($A114,'Data Vlaue (Cr)'!$C:$FB,144)</f>
        <v>595.67999999999995</v>
      </c>
      <c r="F114" s="50">
        <f>VLOOKUP($A114,'Data Vlaue (Cr)'!$C:$FB,146)*100</f>
        <v>-6.7299999999999995</v>
      </c>
      <c r="G114" s="49">
        <f>VLOOKUP($A114,'Data Vlaue (Cr)'!$C:$FB,43)</f>
        <v>98</v>
      </c>
      <c r="H114" s="49">
        <f>VLOOKUP($A114,'Data Vlaue (Cr)'!$C:$FB,44)</f>
        <v>95</v>
      </c>
      <c r="I114" s="49">
        <f>VLOOKUP($A114,'Data Vlaue (Cr)'!$C:$FB,46)*100</f>
        <v>2.96</v>
      </c>
      <c r="J114" s="51">
        <f>VLOOKUP($A114,'Data Vlaue (Cr)'!$C:$FB,59)</f>
        <v>313</v>
      </c>
      <c r="K114" s="51">
        <f>VLOOKUP($A114,'Data Vlaue (Cr)'!$C:$FB,60)</f>
        <v>369</v>
      </c>
      <c r="L114" s="51">
        <f>VLOOKUP($A114,'Data Vlaue (Cr)'!$C:$FB,62)*100</f>
        <v>-15.09</v>
      </c>
      <c r="M114" s="51">
        <f>VLOOKUP($A114,'Data Vlaue (Cr)'!$C:$FB,63)</f>
        <v>132</v>
      </c>
      <c r="N114" s="51">
        <f>VLOOKUP($A114,'Data Vlaue (Cr)'!$C:$FB,64)</f>
        <v>117</v>
      </c>
      <c r="O114" s="51">
        <f>VLOOKUP($A114,'Data Vlaue (Cr)'!$C:$FB,66)*100</f>
        <v>13.54</v>
      </c>
    </row>
    <row r="115" spans="1:15" x14ac:dyDescent="0.25">
      <c r="A115" s="101" t="str">
        <f>'Data Vlaue (Cr)'!C110</f>
        <v>ITC</v>
      </c>
      <c r="B115" s="50">
        <f>VLOOKUP($A115,'Data Vlaue (Cr)'!$C:$FB,8)</f>
        <v>406.05</v>
      </c>
      <c r="C115" s="50">
        <f>VLOOKUP($A115,'Data Vlaue (Cr)'!$C:$FB,11)*100</f>
        <v>-0.75</v>
      </c>
      <c r="D115" s="50">
        <f>VLOOKUP($A115,'Data Vlaue (Cr)'!$C:$FB,143)</f>
        <v>4179.8100000000004</v>
      </c>
      <c r="E115" s="50">
        <f>VLOOKUP($A115,'Data Vlaue (Cr)'!$C:$FB,144)</f>
        <v>3688.35</v>
      </c>
      <c r="F115" s="50">
        <f>VLOOKUP($A115,'Data Vlaue (Cr)'!$C:$FB,146)*100</f>
        <v>13.320000000000002</v>
      </c>
      <c r="G115" s="49">
        <f>VLOOKUP($A115,'Data Vlaue (Cr)'!$C:$FB,43)</f>
        <v>860</v>
      </c>
      <c r="H115" s="49">
        <f>VLOOKUP($A115,'Data Vlaue (Cr)'!$C:$FB,44)</f>
        <v>480</v>
      </c>
      <c r="I115" s="49">
        <f>VLOOKUP($A115,'Data Vlaue (Cr)'!$C:$FB,46)*100</f>
        <v>78.92</v>
      </c>
      <c r="J115" s="51">
        <f>VLOOKUP($A115,'Data Vlaue (Cr)'!$C:$FB,59)</f>
        <v>2114</v>
      </c>
      <c r="K115" s="51">
        <f>VLOOKUP($A115,'Data Vlaue (Cr)'!$C:$FB,60)</f>
        <v>1978</v>
      </c>
      <c r="L115" s="51">
        <f>VLOOKUP($A115,'Data Vlaue (Cr)'!$C:$FB,62)*100</f>
        <v>6.88</v>
      </c>
      <c r="M115" s="51">
        <f>VLOOKUP($A115,'Data Vlaue (Cr)'!$C:$FB,63)</f>
        <v>1136</v>
      </c>
      <c r="N115" s="51">
        <f>VLOOKUP($A115,'Data Vlaue (Cr)'!$C:$FB,64)</f>
        <v>1173</v>
      </c>
      <c r="O115" s="51">
        <f>VLOOKUP($A115,'Data Vlaue (Cr)'!$C:$FB,66)*100</f>
        <v>-3.19</v>
      </c>
    </row>
    <row r="116" spans="1:15" x14ac:dyDescent="0.25">
      <c r="A116" s="101" t="str">
        <f>'Data Vlaue (Cr)'!C111</f>
        <v>JINDALSTEL</v>
      </c>
      <c r="B116" s="50">
        <f>VLOOKUP($A116,'Data Vlaue (Cr)'!$C:$FB,8)</f>
        <v>1016.25</v>
      </c>
      <c r="C116" s="50">
        <f>VLOOKUP($A116,'Data Vlaue (Cr)'!$C:$FB,11)*100</f>
        <v>1.0900000000000001</v>
      </c>
      <c r="D116" s="50">
        <f>VLOOKUP($A116,'Data Vlaue (Cr)'!$C:$FB,143)</f>
        <v>1644.48</v>
      </c>
      <c r="E116" s="50">
        <f>VLOOKUP($A116,'Data Vlaue (Cr)'!$C:$FB,144)</f>
        <v>1228.01</v>
      </c>
      <c r="F116" s="50">
        <f>VLOOKUP($A116,'Data Vlaue (Cr)'!$C:$FB,146)*100</f>
        <v>33.910000000000004</v>
      </c>
      <c r="G116" s="49">
        <f>VLOOKUP($A116,'Data Vlaue (Cr)'!$C:$FB,43)</f>
        <v>443</v>
      </c>
      <c r="H116" s="49">
        <f>VLOOKUP($A116,'Data Vlaue (Cr)'!$C:$FB,44)</f>
        <v>279</v>
      </c>
      <c r="I116" s="49">
        <f>VLOOKUP($A116,'Data Vlaue (Cr)'!$C:$FB,46)*100</f>
        <v>58.85</v>
      </c>
      <c r="J116" s="51">
        <f>VLOOKUP($A116,'Data Vlaue (Cr)'!$C:$FB,59)</f>
        <v>829</v>
      </c>
      <c r="K116" s="51">
        <f>VLOOKUP($A116,'Data Vlaue (Cr)'!$C:$FB,60)</f>
        <v>655</v>
      </c>
      <c r="L116" s="51">
        <f>VLOOKUP($A116,'Data Vlaue (Cr)'!$C:$FB,62)*100</f>
        <v>26.68</v>
      </c>
      <c r="M116" s="51">
        <f>VLOOKUP($A116,'Data Vlaue (Cr)'!$C:$FB,63)</f>
        <v>359</v>
      </c>
      <c r="N116" s="51">
        <f>VLOOKUP($A116,'Data Vlaue (Cr)'!$C:$FB,64)</f>
        <v>299</v>
      </c>
      <c r="O116" s="51">
        <f>VLOOKUP($A116,'Data Vlaue (Cr)'!$C:$FB,66)*100</f>
        <v>20.29</v>
      </c>
    </row>
    <row r="117" spans="1:15" x14ac:dyDescent="0.25">
      <c r="A117" s="101" t="str">
        <f>'Data Vlaue (Cr)'!C112</f>
        <v>JIOFIN</v>
      </c>
      <c r="B117" s="50">
        <f>VLOOKUP($A117,'Data Vlaue (Cr)'!$C:$FB,8)</f>
        <v>328.45</v>
      </c>
      <c r="C117" s="50">
        <f>VLOOKUP($A117,'Data Vlaue (Cr)'!$C:$FB,11)*100</f>
        <v>-0.86</v>
      </c>
      <c r="D117" s="50">
        <f>VLOOKUP($A117,'Data Vlaue (Cr)'!$C:$FB,143)</f>
        <v>3169.19</v>
      </c>
      <c r="E117" s="50">
        <f>VLOOKUP($A117,'Data Vlaue (Cr)'!$C:$FB,144)</f>
        <v>3267.85</v>
      </c>
      <c r="F117" s="50">
        <f>VLOOKUP($A117,'Data Vlaue (Cr)'!$C:$FB,146)*100</f>
        <v>-3.02</v>
      </c>
      <c r="G117" s="49">
        <f>VLOOKUP($A117,'Data Vlaue (Cr)'!$C:$FB,43)</f>
        <v>572</v>
      </c>
      <c r="H117" s="49">
        <f>VLOOKUP($A117,'Data Vlaue (Cr)'!$C:$FB,44)</f>
        <v>521</v>
      </c>
      <c r="I117" s="49">
        <f>VLOOKUP($A117,'Data Vlaue (Cr)'!$C:$FB,46)*100</f>
        <v>9.92</v>
      </c>
      <c r="J117" s="51">
        <f>VLOOKUP($A117,'Data Vlaue (Cr)'!$C:$FB,59)</f>
        <v>1649</v>
      </c>
      <c r="K117" s="51">
        <f>VLOOKUP($A117,'Data Vlaue (Cr)'!$C:$FB,60)</f>
        <v>1720</v>
      </c>
      <c r="L117" s="51">
        <f>VLOOKUP($A117,'Data Vlaue (Cr)'!$C:$FB,62)*100</f>
        <v>-4.12</v>
      </c>
      <c r="M117" s="51">
        <f>VLOOKUP($A117,'Data Vlaue (Cr)'!$C:$FB,63)</f>
        <v>889</v>
      </c>
      <c r="N117" s="51">
        <f>VLOOKUP($A117,'Data Vlaue (Cr)'!$C:$FB,64)</f>
        <v>949</v>
      </c>
      <c r="O117" s="51">
        <f>VLOOKUP($A117,'Data Vlaue (Cr)'!$C:$FB,66)*100</f>
        <v>-6.34</v>
      </c>
    </row>
    <row r="118" spans="1:15" x14ac:dyDescent="0.25">
      <c r="A118" s="101" t="str">
        <f>'Data Vlaue (Cr)'!C113</f>
        <v>JSL</v>
      </c>
      <c r="B118" s="50">
        <f>VLOOKUP($A118,'Data Vlaue (Cr)'!$C:$FB,8)</f>
        <v>765.05</v>
      </c>
      <c r="C118" s="50">
        <f>VLOOKUP($A118,'Data Vlaue (Cr)'!$C:$FB,11)*100</f>
        <v>0.94000000000000006</v>
      </c>
      <c r="D118" s="50">
        <f>VLOOKUP($A118,'Data Vlaue (Cr)'!$C:$FB,143)</f>
        <v>465.62</v>
      </c>
      <c r="E118" s="50">
        <f>VLOOKUP($A118,'Data Vlaue (Cr)'!$C:$FB,144)</f>
        <v>454.47</v>
      </c>
      <c r="F118" s="50">
        <f>VLOOKUP($A118,'Data Vlaue (Cr)'!$C:$FB,146)*100</f>
        <v>2.4500000000000002</v>
      </c>
      <c r="G118" s="49">
        <f>VLOOKUP($A118,'Data Vlaue (Cr)'!$C:$FB,43)</f>
        <v>77</v>
      </c>
      <c r="H118" s="49">
        <f>VLOOKUP($A118,'Data Vlaue (Cr)'!$C:$FB,44)</f>
        <v>78</v>
      </c>
      <c r="I118" s="49">
        <f>VLOOKUP($A118,'Data Vlaue (Cr)'!$C:$FB,46)*100</f>
        <v>-0.91999999999999993</v>
      </c>
      <c r="J118" s="51">
        <f>VLOOKUP($A118,'Data Vlaue (Cr)'!$C:$FB,59)</f>
        <v>248</v>
      </c>
      <c r="K118" s="51">
        <f>VLOOKUP($A118,'Data Vlaue (Cr)'!$C:$FB,60)</f>
        <v>281</v>
      </c>
      <c r="L118" s="51">
        <f>VLOOKUP($A118,'Data Vlaue (Cr)'!$C:$FB,62)*100</f>
        <v>-11.81</v>
      </c>
      <c r="M118" s="51">
        <f>VLOOKUP($A118,'Data Vlaue (Cr)'!$C:$FB,63)</f>
        <v>135</v>
      </c>
      <c r="N118" s="51">
        <f>VLOOKUP($A118,'Data Vlaue (Cr)'!$C:$FB,64)</f>
        <v>96</v>
      </c>
      <c r="O118" s="51">
        <f>VLOOKUP($A118,'Data Vlaue (Cr)'!$C:$FB,66)*100</f>
        <v>41.370000000000005</v>
      </c>
    </row>
    <row r="119" spans="1:15" x14ac:dyDescent="0.25">
      <c r="A119" s="101" t="str">
        <f>'Data Vlaue (Cr)'!C114</f>
        <v>JSWENERGY</v>
      </c>
      <c r="B119" s="50">
        <f>VLOOKUP($A119,'Data Vlaue (Cr)'!$C:$FB,8)</f>
        <v>531.75</v>
      </c>
      <c r="C119" s="50">
        <f>VLOOKUP($A119,'Data Vlaue (Cr)'!$C:$FB,11)*100</f>
        <v>-0.28999999999999998</v>
      </c>
      <c r="D119" s="50">
        <f>VLOOKUP($A119,'Data Vlaue (Cr)'!$C:$FB,143)</f>
        <v>603.17999999999995</v>
      </c>
      <c r="E119" s="50">
        <f>VLOOKUP($A119,'Data Vlaue (Cr)'!$C:$FB,144)</f>
        <v>375.67</v>
      </c>
      <c r="F119" s="50">
        <f>VLOOKUP($A119,'Data Vlaue (Cr)'!$C:$FB,146)*100</f>
        <v>60.56</v>
      </c>
      <c r="G119" s="49">
        <f>VLOOKUP($A119,'Data Vlaue (Cr)'!$C:$FB,43)</f>
        <v>177</v>
      </c>
      <c r="H119" s="49">
        <f>VLOOKUP($A119,'Data Vlaue (Cr)'!$C:$FB,44)</f>
        <v>120</v>
      </c>
      <c r="I119" s="49">
        <f>VLOOKUP($A119,'Data Vlaue (Cr)'!$C:$FB,46)*100</f>
        <v>47.44</v>
      </c>
      <c r="J119" s="51">
        <f>VLOOKUP($A119,'Data Vlaue (Cr)'!$C:$FB,59)</f>
        <v>300</v>
      </c>
      <c r="K119" s="51">
        <f>VLOOKUP($A119,'Data Vlaue (Cr)'!$C:$FB,60)</f>
        <v>194</v>
      </c>
      <c r="L119" s="51">
        <f>VLOOKUP($A119,'Data Vlaue (Cr)'!$C:$FB,62)*100</f>
        <v>54.03</v>
      </c>
      <c r="M119" s="51">
        <f>VLOOKUP($A119,'Data Vlaue (Cr)'!$C:$FB,63)</f>
        <v>116</v>
      </c>
      <c r="N119" s="51">
        <f>VLOOKUP($A119,'Data Vlaue (Cr)'!$C:$FB,64)</f>
        <v>55</v>
      </c>
      <c r="O119" s="51">
        <f>VLOOKUP($A119,'Data Vlaue (Cr)'!$C:$FB,66)*100</f>
        <v>111.26</v>
      </c>
    </row>
    <row r="120" spans="1:15" x14ac:dyDescent="0.25">
      <c r="A120" s="101" t="str">
        <f>'Data Vlaue (Cr)'!C115</f>
        <v>JSWSTEEL</v>
      </c>
      <c r="B120" s="50">
        <f>VLOOKUP($A120,'Data Vlaue (Cr)'!$C:$FB,8)</f>
        <v>1082.5999999999999</v>
      </c>
      <c r="C120" s="50">
        <f>VLOOKUP($A120,'Data Vlaue (Cr)'!$C:$FB,11)*100</f>
        <v>0.86</v>
      </c>
      <c r="D120" s="50">
        <f>VLOOKUP($A120,'Data Vlaue (Cr)'!$C:$FB,143)</f>
        <v>3128.35</v>
      </c>
      <c r="E120" s="50">
        <f>VLOOKUP($A120,'Data Vlaue (Cr)'!$C:$FB,144)</f>
        <v>2930.95</v>
      </c>
      <c r="F120" s="50">
        <f>VLOOKUP($A120,'Data Vlaue (Cr)'!$C:$FB,146)*100</f>
        <v>6.7299999999999995</v>
      </c>
      <c r="G120" s="49">
        <f>VLOOKUP($A120,'Data Vlaue (Cr)'!$C:$FB,43)</f>
        <v>437</v>
      </c>
      <c r="H120" s="49">
        <f>VLOOKUP($A120,'Data Vlaue (Cr)'!$C:$FB,44)</f>
        <v>598</v>
      </c>
      <c r="I120" s="49">
        <f>VLOOKUP($A120,'Data Vlaue (Cr)'!$C:$FB,46)*100</f>
        <v>-27.02</v>
      </c>
      <c r="J120" s="51">
        <f>VLOOKUP($A120,'Data Vlaue (Cr)'!$C:$FB,59)</f>
        <v>1901</v>
      </c>
      <c r="K120" s="51">
        <f>VLOOKUP($A120,'Data Vlaue (Cr)'!$C:$FB,60)</f>
        <v>1683</v>
      </c>
      <c r="L120" s="51">
        <f>VLOOKUP($A120,'Data Vlaue (Cr)'!$C:$FB,62)*100</f>
        <v>12.97</v>
      </c>
      <c r="M120" s="51">
        <f>VLOOKUP($A120,'Data Vlaue (Cr)'!$C:$FB,63)</f>
        <v>761</v>
      </c>
      <c r="N120" s="51">
        <f>VLOOKUP($A120,'Data Vlaue (Cr)'!$C:$FB,64)</f>
        <v>627</v>
      </c>
      <c r="O120" s="51">
        <f>VLOOKUP($A120,'Data Vlaue (Cr)'!$C:$FB,66)*100</f>
        <v>21.46</v>
      </c>
    </row>
    <row r="121" spans="1:15" x14ac:dyDescent="0.25">
      <c r="A121" s="101" t="str">
        <f>'Data Vlaue (Cr)'!C116</f>
        <v>JUBLFOOD</v>
      </c>
      <c r="B121" s="50">
        <f>VLOOKUP($A121,'Data Vlaue (Cr)'!$C:$FB,8)</f>
        <v>634.20000000000005</v>
      </c>
      <c r="C121" s="50">
        <f>VLOOKUP($A121,'Data Vlaue (Cr)'!$C:$FB,11)*100</f>
        <v>0.02</v>
      </c>
      <c r="D121" s="50">
        <f>VLOOKUP($A121,'Data Vlaue (Cr)'!$C:$FB,143)</f>
        <v>611.07000000000005</v>
      </c>
      <c r="E121" s="50">
        <f>VLOOKUP($A121,'Data Vlaue (Cr)'!$C:$FB,144)</f>
        <v>1201.68</v>
      </c>
      <c r="F121" s="50">
        <f>VLOOKUP($A121,'Data Vlaue (Cr)'!$C:$FB,146)*100</f>
        <v>-49.15</v>
      </c>
      <c r="G121" s="49">
        <f>VLOOKUP($A121,'Data Vlaue (Cr)'!$C:$FB,43)</f>
        <v>127</v>
      </c>
      <c r="H121" s="49">
        <f>VLOOKUP($A121,'Data Vlaue (Cr)'!$C:$FB,44)</f>
        <v>204</v>
      </c>
      <c r="I121" s="49">
        <f>VLOOKUP($A121,'Data Vlaue (Cr)'!$C:$FB,46)*100</f>
        <v>-37.82</v>
      </c>
      <c r="J121" s="51">
        <f>VLOOKUP($A121,'Data Vlaue (Cr)'!$C:$FB,59)</f>
        <v>347</v>
      </c>
      <c r="K121" s="51">
        <f>VLOOKUP($A121,'Data Vlaue (Cr)'!$C:$FB,60)</f>
        <v>694</v>
      </c>
      <c r="L121" s="51">
        <f>VLOOKUP($A121,'Data Vlaue (Cr)'!$C:$FB,62)*100</f>
        <v>-49.95</v>
      </c>
      <c r="M121" s="51">
        <f>VLOOKUP($A121,'Data Vlaue (Cr)'!$C:$FB,63)</f>
        <v>126</v>
      </c>
      <c r="N121" s="51">
        <f>VLOOKUP($A121,'Data Vlaue (Cr)'!$C:$FB,64)</f>
        <v>282</v>
      </c>
      <c r="O121" s="51">
        <f>VLOOKUP($A121,'Data Vlaue (Cr)'!$C:$FB,66)*100</f>
        <v>-55.230000000000004</v>
      </c>
    </row>
    <row r="122" spans="1:15" x14ac:dyDescent="0.25">
      <c r="A122" s="101" t="str">
        <f>'Data Vlaue (Cr)'!C117</f>
        <v>KALYANKJIL</v>
      </c>
      <c r="B122" s="50">
        <f>VLOOKUP($A122,'Data Vlaue (Cr)'!$C:$FB,8)</f>
        <v>510.6</v>
      </c>
      <c r="C122" s="50">
        <f>VLOOKUP($A122,'Data Vlaue (Cr)'!$C:$FB,11)*100</f>
        <v>0.64</v>
      </c>
      <c r="D122" s="50">
        <f>VLOOKUP($A122,'Data Vlaue (Cr)'!$C:$FB,143)</f>
        <v>4874.8999999999996</v>
      </c>
      <c r="E122" s="50">
        <f>VLOOKUP($A122,'Data Vlaue (Cr)'!$C:$FB,144)</f>
        <v>4398.5600000000004</v>
      </c>
      <c r="F122" s="50">
        <f>VLOOKUP($A122,'Data Vlaue (Cr)'!$C:$FB,146)*100</f>
        <v>10.83</v>
      </c>
      <c r="G122" s="49">
        <f>VLOOKUP($A122,'Data Vlaue (Cr)'!$C:$FB,43)</f>
        <v>1241</v>
      </c>
      <c r="H122" s="49">
        <f>VLOOKUP($A122,'Data Vlaue (Cr)'!$C:$FB,44)</f>
        <v>661</v>
      </c>
      <c r="I122" s="49">
        <f>VLOOKUP($A122,'Data Vlaue (Cr)'!$C:$FB,46)*100</f>
        <v>87.91</v>
      </c>
      <c r="J122" s="51">
        <f>VLOOKUP($A122,'Data Vlaue (Cr)'!$C:$FB,59)</f>
        <v>2655</v>
      </c>
      <c r="K122" s="51">
        <f>VLOOKUP($A122,'Data Vlaue (Cr)'!$C:$FB,60)</f>
        <v>2470</v>
      </c>
      <c r="L122" s="51">
        <f>VLOOKUP($A122,'Data Vlaue (Cr)'!$C:$FB,62)*100</f>
        <v>7.51</v>
      </c>
      <c r="M122" s="51">
        <f>VLOOKUP($A122,'Data Vlaue (Cr)'!$C:$FB,63)</f>
        <v>798</v>
      </c>
      <c r="N122" s="51">
        <f>VLOOKUP($A122,'Data Vlaue (Cr)'!$C:$FB,64)</f>
        <v>1087</v>
      </c>
      <c r="O122" s="51">
        <f>VLOOKUP($A122,'Data Vlaue (Cr)'!$C:$FB,66)*100</f>
        <v>-26.56</v>
      </c>
    </row>
    <row r="123" spans="1:15" x14ac:dyDescent="0.25">
      <c r="A123" s="101" t="str">
        <f>'Data Vlaue (Cr)'!C118</f>
        <v>KAYNES</v>
      </c>
      <c r="B123" s="50">
        <f>VLOOKUP($A123,'Data Vlaue (Cr)'!$C:$FB,8)</f>
        <v>6200.5</v>
      </c>
      <c r="C123" s="50">
        <f>VLOOKUP($A123,'Data Vlaue (Cr)'!$C:$FB,11)*100</f>
        <v>-1.1400000000000001</v>
      </c>
      <c r="D123" s="50">
        <f>VLOOKUP($A123,'Data Vlaue (Cr)'!$C:$FB,143)</f>
        <v>1251.3699999999999</v>
      </c>
      <c r="E123" s="50">
        <f>VLOOKUP($A123,'Data Vlaue (Cr)'!$C:$FB,144)</f>
        <v>1345.31</v>
      </c>
      <c r="F123" s="50">
        <f>VLOOKUP($A123,'Data Vlaue (Cr)'!$C:$FB,146)*100</f>
        <v>-6.98</v>
      </c>
      <c r="G123" s="49">
        <f>VLOOKUP($A123,'Data Vlaue (Cr)'!$C:$FB,43)</f>
        <v>140</v>
      </c>
      <c r="H123" s="49">
        <f>VLOOKUP($A123,'Data Vlaue (Cr)'!$C:$FB,44)</f>
        <v>168</v>
      </c>
      <c r="I123" s="49">
        <f>VLOOKUP($A123,'Data Vlaue (Cr)'!$C:$FB,46)*100</f>
        <v>-16.739999999999998</v>
      </c>
      <c r="J123" s="51">
        <f>VLOOKUP($A123,'Data Vlaue (Cr)'!$C:$FB,59)</f>
        <v>739</v>
      </c>
      <c r="K123" s="51">
        <f>VLOOKUP($A123,'Data Vlaue (Cr)'!$C:$FB,60)</f>
        <v>788</v>
      </c>
      <c r="L123" s="51">
        <f>VLOOKUP($A123,'Data Vlaue (Cr)'!$C:$FB,62)*100</f>
        <v>-6.23</v>
      </c>
      <c r="M123" s="51">
        <f>VLOOKUP($A123,'Data Vlaue (Cr)'!$C:$FB,63)</f>
        <v>336</v>
      </c>
      <c r="N123" s="51">
        <f>VLOOKUP($A123,'Data Vlaue (Cr)'!$C:$FB,64)</f>
        <v>346</v>
      </c>
      <c r="O123" s="51">
        <f>VLOOKUP($A123,'Data Vlaue (Cr)'!$C:$FB,66)*100</f>
        <v>-2.74</v>
      </c>
    </row>
    <row r="124" spans="1:15" x14ac:dyDescent="0.25">
      <c r="A124" s="101" t="str">
        <f>'Data Vlaue (Cr)'!C119</f>
        <v>KEI</v>
      </c>
      <c r="B124" s="50">
        <f>VLOOKUP($A124,'Data Vlaue (Cr)'!$C:$FB,8)</f>
        <v>3986.4</v>
      </c>
      <c r="C124" s="50">
        <f>VLOOKUP($A124,'Data Vlaue (Cr)'!$C:$FB,11)*100</f>
        <v>1.01</v>
      </c>
      <c r="D124" s="50">
        <f>VLOOKUP($A124,'Data Vlaue (Cr)'!$C:$FB,143)</f>
        <v>1676.83</v>
      </c>
      <c r="E124" s="50">
        <f>VLOOKUP($A124,'Data Vlaue (Cr)'!$C:$FB,144)</f>
        <v>795.9</v>
      </c>
      <c r="F124" s="50">
        <f>VLOOKUP($A124,'Data Vlaue (Cr)'!$C:$FB,146)*100</f>
        <v>110.68</v>
      </c>
      <c r="G124" s="49">
        <f>VLOOKUP($A124,'Data Vlaue (Cr)'!$C:$FB,43)</f>
        <v>175</v>
      </c>
      <c r="H124" s="49">
        <f>VLOOKUP($A124,'Data Vlaue (Cr)'!$C:$FB,44)</f>
        <v>186</v>
      </c>
      <c r="I124" s="49">
        <f>VLOOKUP($A124,'Data Vlaue (Cr)'!$C:$FB,46)*100</f>
        <v>-6.0699999999999994</v>
      </c>
      <c r="J124" s="51">
        <f>VLOOKUP($A124,'Data Vlaue (Cr)'!$C:$FB,59)</f>
        <v>1109</v>
      </c>
      <c r="K124" s="51">
        <f>VLOOKUP($A124,'Data Vlaue (Cr)'!$C:$FB,60)</f>
        <v>428</v>
      </c>
      <c r="L124" s="51">
        <f>VLOOKUP($A124,'Data Vlaue (Cr)'!$C:$FB,62)*100</f>
        <v>159.32999999999998</v>
      </c>
      <c r="M124" s="51">
        <f>VLOOKUP($A124,'Data Vlaue (Cr)'!$C:$FB,63)</f>
        <v>359</v>
      </c>
      <c r="N124" s="51">
        <f>VLOOKUP($A124,'Data Vlaue (Cr)'!$C:$FB,64)</f>
        <v>187</v>
      </c>
      <c r="O124" s="51">
        <f>VLOOKUP($A124,'Data Vlaue (Cr)'!$C:$FB,66)*100</f>
        <v>92.33</v>
      </c>
    </row>
    <row r="125" spans="1:15" x14ac:dyDescent="0.25">
      <c r="A125" s="101" t="str">
        <f>'Data Vlaue (Cr)'!C120</f>
        <v>KFINTECH</v>
      </c>
      <c r="B125" s="50">
        <f>VLOOKUP($A125,'Data Vlaue (Cr)'!$C:$FB,8)</f>
        <v>1115.8</v>
      </c>
      <c r="C125" s="50">
        <f>VLOOKUP($A125,'Data Vlaue (Cr)'!$C:$FB,11)*100</f>
        <v>-0.85000000000000009</v>
      </c>
      <c r="D125" s="50">
        <f>VLOOKUP($A125,'Data Vlaue (Cr)'!$C:$FB,143)</f>
        <v>234.25</v>
      </c>
      <c r="E125" s="50">
        <f>VLOOKUP($A125,'Data Vlaue (Cr)'!$C:$FB,144)</f>
        <v>287.98</v>
      </c>
      <c r="F125" s="50">
        <f>VLOOKUP($A125,'Data Vlaue (Cr)'!$C:$FB,146)*100</f>
        <v>-18.649999999999999</v>
      </c>
      <c r="G125" s="49">
        <f>VLOOKUP($A125,'Data Vlaue (Cr)'!$C:$FB,43)</f>
        <v>58</v>
      </c>
      <c r="H125" s="49">
        <f>VLOOKUP($A125,'Data Vlaue (Cr)'!$C:$FB,44)</f>
        <v>77</v>
      </c>
      <c r="I125" s="49">
        <f>VLOOKUP($A125,'Data Vlaue (Cr)'!$C:$FB,46)*100</f>
        <v>-25.080000000000002</v>
      </c>
      <c r="J125" s="51">
        <f>VLOOKUP($A125,'Data Vlaue (Cr)'!$C:$FB,59)</f>
        <v>124</v>
      </c>
      <c r="K125" s="51">
        <f>VLOOKUP($A125,'Data Vlaue (Cr)'!$C:$FB,60)</f>
        <v>150</v>
      </c>
      <c r="L125" s="51">
        <f>VLOOKUP($A125,'Data Vlaue (Cr)'!$C:$FB,62)*100</f>
        <v>-17.580000000000002</v>
      </c>
      <c r="M125" s="51">
        <f>VLOOKUP($A125,'Data Vlaue (Cr)'!$C:$FB,63)</f>
        <v>43</v>
      </c>
      <c r="N125" s="51">
        <f>VLOOKUP($A125,'Data Vlaue (Cr)'!$C:$FB,64)</f>
        <v>50</v>
      </c>
      <c r="O125" s="51">
        <f>VLOOKUP($A125,'Data Vlaue (Cr)'!$C:$FB,66)*100</f>
        <v>-13.270000000000001</v>
      </c>
    </row>
    <row r="126" spans="1:15" x14ac:dyDescent="0.25">
      <c r="A126" s="101" t="str">
        <f>'Data Vlaue (Cr)'!C121</f>
        <v>KOTAKBANK</v>
      </c>
      <c r="B126" s="50">
        <f>VLOOKUP($A126,'Data Vlaue (Cr)'!$C:$FB,8)</f>
        <v>2017.5</v>
      </c>
      <c r="C126" s="50">
        <f>VLOOKUP($A126,'Data Vlaue (Cr)'!$C:$FB,11)*100</f>
        <v>-0.61</v>
      </c>
      <c r="D126" s="50">
        <f>VLOOKUP($A126,'Data Vlaue (Cr)'!$C:$FB,143)</f>
        <v>2747.21</v>
      </c>
      <c r="E126" s="50">
        <f>VLOOKUP($A126,'Data Vlaue (Cr)'!$C:$FB,144)</f>
        <v>4588.75</v>
      </c>
      <c r="F126" s="50">
        <f>VLOOKUP($A126,'Data Vlaue (Cr)'!$C:$FB,146)*100</f>
        <v>-40.129999999999995</v>
      </c>
      <c r="G126" s="49">
        <f>VLOOKUP($A126,'Data Vlaue (Cr)'!$C:$FB,43)</f>
        <v>754</v>
      </c>
      <c r="H126" s="49">
        <f>VLOOKUP($A126,'Data Vlaue (Cr)'!$C:$FB,44)</f>
        <v>838</v>
      </c>
      <c r="I126" s="49">
        <f>VLOOKUP($A126,'Data Vlaue (Cr)'!$C:$FB,46)*100</f>
        <v>-10.02</v>
      </c>
      <c r="J126" s="51">
        <f>VLOOKUP($A126,'Data Vlaue (Cr)'!$C:$FB,59)</f>
        <v>1197</v>
      </c>
      <c r="K126" s="51">
        <f>VLOOKUP($A126,'Data Vlaue (Cr)'!$C:$FB,60)</f>
        <v>2341</v>
      </c>
      <c r="L126" s="51">
        <f>VLOOKUP($A126,'Data Vlaue (Cr)'!$C:$FB,62)*100</f>
        <v>-48.88</v>
      </c>
      <c r="M126" s="51">
        <f>VLOOKUP($A126,'Data Vlaue (Cr)'!$C:$FB,63)</f>
        <v>763</v>
      </c>
      <c r="N126" s="51">
        <f>VLOOKUP($A126,'Data Vlaue (Cr)'!$C:$FB,64)</f>
        <v>1364</v>
      </c>
      <c r="O126" s="51">
        <f>VLOOKUP($A126,'Data Vlaue (Cr)'!$C:$FB,66)*100</f>
        <v>-44.05</v>
      </c>
    </row>
    <row r="127" spans="1:15" x14ac:dyDescent="0.25">
      <c r="A127" s="101" t="str">
        <f>'Data Vlaue (Cr)'!C122</f>
        <v>KPITTECH</v>
      </c>
      <c r="B127" s="50">
        <f>VLOOKUP($A127,'Data Vlaue (Cr)'!$C:$FB,8)</f>
        <v>1214.5999999999999</v>
      </c>
      <c r="C127" s="50">
        <f>VLOOKUP($A127,'Data Vlaue (Cr)'!$C:$FB,11)*100</f>
        <v>1.26</v>
      </c>
      <c r="D127" s="50">
        <f>VLOOKUP($A127,'Data Vlaue (Cr)'!$C:$FB,143)</f>
        <v>738.83</v>
      </c>
      <c r="E127" s="50">
        <f>VLOOKUP($A127,'Data Vlaue (Cr)'!$C:$FB,144)</f>
        <v>638.19000000000005</v>
      </c>
      <c r="F127" s="50">
        <f>VLOOKUP($A127,'Data Vlaue (Cr)'!$C:$FB,146)*100</f>
        <v>15.770000000000001</v>
      </c>
      <c r="G127" s="49">
        <f>VLOOKUP($A127,'Data Vlaue (Cr)'!$C:$FB,43)</f>
        <v>168</v>
      </c>
      <c r="H127" s="49">
        <f>VLOOKUP($A127,'Data Vlaue (Cr)'!$C:$FB,44)</f>
        <v>135</v>
      </c>
      <c r="I127" s="49">
        <f>VLOOKUP($A127,'Data Vlaue (Cr)'!$C:$FB,46)*100</f>
        <v>24.310000000000002</v>
      </c>
      <c r="J127" s="51">
        <f>VLOOKUP($A127,'Data Vlaue (Cr)'!$C:$FB,59)</f>
        <v>437</v>
      </c>
      <c r="K127" s="51">
        <f>VLOOKUP($A127,'Data Vlaue (Cr)'!$C:$FB,60)</f>
        <v>319</v>
      </c>
      <c r="L127" s="51">
        <f>VLOOKUP($A127,'Data Vlaue (Cr)'!$C:$FB,62)*100</f>
        <v>36.880000000000003</v>
      </c>
      <c r="M127" s="51">
        <f>VLOOKUP($A127,'Data Vlaue (Cr)'!$C:$FB,63)</f>
        <v>125</v>
      </c>
      <c r="N127" s="51">
        <f>VLOOKUP($A127,'Data Vlaue (Cr)'!$C:$FB,64)</f>
        <v>177</v>
      </c>
      <c r="O127" s="51">
        <f>VLOOKUP($A127,'Data Vlaue (Cr)'!$C:$FB,66)*100</f>
        <v>-29.709999999999997</v>
      </c>
    </row>
    <row r="128" spans="1:15" x14ac:dyDescent="0.25">
      <c r="A128" s="101" t="str">
        <f>'Data Vlaue (Cr)'!C123</f>
        <v>LAURUSLABS</v>
      </c>
      <c r="B128" s="50">
        <f>VLOOKUP($A128,'Data Vlaue (Cr)'!$C:$FB,8)</f>
        <v>876.05</v>
      </c>
      <c r="C128" s="50">
        <f>VLOOKUP($A128,'Data Vlaue (Cr)'!$C:$FB,11)*100</f>
        <v>-0.89</v>
      </c>
      <c r="D128" s="50">
        <f>VLOOKUP($A128,'Data Vlaue (Cr)'!$C:$FB,143)</f>
        <v>2308.06</v>
      </c>
      <c r="E128" s="50">
        <f>VLOOKUP($A128,'Data Vlaue (Cr)'!$C:$FB,144)</f>
        <v>2999.52</v>
      </c>
      <c r="F128" s="50">
        <f>VLOOKUP($A128,'Data Vlaue (Cr)'!$C:$FB,146)*100</f>
        <v>-23.05</v>
      </c>
      <c r="G128" s="49">
        <f>VLOOKUP($A128,'Data Vlaue (Cr)'!$C:$FB,43)</f>
        <v>398</v>
      </c>
      <c r="H128" s="49">
        <f>VLOOKUP($A128,'Data Vlaue (Cr)'!$C:$FB,44)</f>
        <v>397</v>
      </c>
      <c r="I128" s="49">
        <f>VLOOKUP($A128,'Data Vlaue (Cr)'!$C:$FB,46)*100</f>
        <v>0.19</v>
      </c>
      <c r="J128" s="51">
        <f>VLOOKUP($A128,'Data Vlaue (Cr)'!$C:$FB,59)</f>
        <v>1237</v>
      </c>
      <c r="K128" s="51">
        <f>VLOOKUP($A128,'Data Vlaue (Cr)'!$C:$FB,60)</f>
        <v>1787</v>
      </c>
      <c r="L128" s="51">
        <f>VLOOKUP($A128,'Data Vlaue (Cr)'!$C:$FB,62)*100</f>
        <v>-30.81</v>
      </c>
      <c r="M128" s="51">
        <f>VLOOKUP($A128,'Data Vlaue (Cr)'!$C:$FB,63)</f>
        <v>621</v>
      </c>
      <c r="N128" s="51">
        <f>VLOOKUP($A128,'Data Vlaue (Cr)'!$C:$FB,64)</f>
        <v>763</v>
      </c>
      <c r="O128" s="51">
        <f>VLOOKUP($A128,'Data Vlaue (Cr)'!$C:$FB,66)*100</f>
        <v>-18.66</v>
      </c>
    </row>
    <row r="129" spans="1:15" x14ac:dyDescent="0.25">
      <c r="A129" s="101" t="str">
        <f>'Data Vlaue (Cr)'!C124</f>
        <v>LICHSGFIN</v>
      </c>
      <c r="B129" s="50">
        <f>VLOOKUP($A129,'Data Vlaue (Cr)'!$C:$FB,8)</f>
        <v>580.1</v>
      </c>
      <c r="C129" s="50">
        <f>VLOOKUP($A129,'Data Vlaue (Cr)'!$C:$FB,11)*100</f>
        <v>0.06</v>
      </c>
      <c r="D129" s="50">
        <f>VLOOKUP($A129,'Data Vlaue (Cr)'!$C:$FB,143)</f>
        <v>998.4</v>
      </c>
      <c r="E129" s="50">
        <f>VLOOKUP($A129,'Data Vlaue (Cr)'!$C:$FB,144)</f>
        <v>1695.22</v>
      </c>
      <c r="F129" s="50">
        <f>VLOOKUP($A129,'Data Vlaue (Cr)'!$C:$FB,146)*100</f>
        <v>-41.11</v>
      </c>
      <c r="G129" s="49">
        <f>VLOOKUP($A129,'Data Vlaue (Cr)'!$C:$FB,43)</f>
        <v>380</v>
      </c>
      <c r="H129" s="49">
        <f>VLOOKUP($A129,'Data Vlaue (Cr)'!$C:$FB,44)</f>
        <v>511</v>
      </c>
      <c r="I129" s="49">
        <f>VLOOKUP($A129,'Data Vlaue (Cr)'!$C:$FB,46)*100</f>
        <v>-25.619999999999997</v>
      </c>
      <c r="J129" s="51">
        <f>VLOOKUP($A129,'Data Vlaue (Cr)'!$C:$FB,59)</f>
        <v>432</v>
      </c>
      <c r="K129" s="51">
        <f>VLOOKUP($A129,'Data Vlaue (Cr)'!$C:$FB,60)</f>
        <v>866</v>
      </c>
      <c r="L129" s="51">
        <f>VLOOKUP($A129,'Data Vlaue (Cr)'!$C:$FB,62)*100</f>
        <v>-50.07</v>
      </c>
      <c r="M129" s="51">
        <f>VLOOKUP($A129,'Data Vlaue (Cr)'!$C:$FB,63)</f>
        <v>168</v>
      </c>
      <c r="N129" s="51">
        <f>VLOOKUP($A129,'Data Vlaue (Cr)'!$C:$FB,64)</f>
        <v>295</v>
      </c>
      <c r="O129" s="51">
        <f>VLOOKUP($A129,'Data Vlaue (Cr)'!$C:$FB,66)*100</f>
        <v>-42.88</v>
      </c>
    </row>
    <row r="130" spans="1:15" x14ac:dyDescent="0.25">
      <c r="A130" s="101" t="str">
        <f>'Data Vlaue (Cr)'!C125</f>
        <v>LICI</v>
      </c>
      <c r="B130" s="50">
        <f>VLOOKUP($A130,'Data Vlaue (Cr)'!$C:$FB,8)</f>
        <v>899.35</v>
      </c>
      <c r="C130" s="50">
        <f>VLOOKUP($A130,'Data Vlaue (Cr)'!$C:$FB,11)*100</f>
        <v>0.55999999999999994</v>
      </c>
      <c r="D130" s="50">
        <f>VLOOKUP($A130,'Data Vlaue (Cr)'!$C:$FB,143)</f>
        <v>678.26</v>
      </c>
      <c r="E130" s="50">
        <f>VLOOKUP($A130,'Data Vlaue (Cr)'!$C:$FB,144)</f>
        <v>1126.42</v>
      </c>
      <c r="F130" s="50">
        <f>VLOOKUP($A130,'Data Vlaue (Cr)'!$C:$FB,146)*100</f>
        <v>-39.79</v>
      </c>
      <c r="G130" s="49">
        <f>VLOOKUP($A130,'Data Vlaue (Cr)'!$C:$FB,43)</f>
        <v>126</v>
      </c>
      <c r="H130" s="49">
        <f>VLOOKUP($A130,'Data Vlaue (Cr)'!$C:$FB,44)</f>
        <v>208</v>
      </c>
      <c r="I130" s="49">
        <f>VLOOKUP($A130,'Data Vlaue (Cr)'!$C:$FB,46)*100</f>
        <v>-39.489999999999995</v>
      </c>
      <c r="J130" s="51">
        <f>VLOOKUP($A130,'Data Vlaue (Cr)'!$C:$FB,59)</f>
        <v>371</v>
      </c>
      <c r="K130" s="51">
        <f>VLOOKUP($A130,'Data Vlaue (Cr)'!$C:$FB,60)</f>
        <v>652</v>
      </c>
      <c r="L130" s="51">
        <f>VLOOKUP($A130,'Data Vlaue (Cr)'!$C:$FB,62)*100</f>
        <v>-43.15</v>
      </c>
      <c r="M130" s="51">
        <f>VLOOKUP($A130,'Data Vlaue (Cr)'!$C:$FB,63)</f>
        <v>168</v>
      </c>
      <c r="N130" s="51">
        <f>VLOOKUP($A130,'Data Vlaue (Cr)'!$C:$FB,64)</f>
        <v>246</v>
      </c>
      <c r="O130" s="51">
        <f>VLOOKUP($A130,'Data Vlaue (Cr)'!$C:$FB,66)*100</f>
        <v>-31.66</v>
      </c>
    </row>
    <row r="131" spans="1:15" x14ac:dyDescent="0.25">
      <c r="A131" s="101" t="str">
        <f>'Data Vlaue (Cr)'!C126</f>
        <v>LODHA</v>
      </c>
      <c r="B131" s="50">
        <f>VLOOKUP($A131,'Data Vlaue (Cr)'!$C:$FB,8)</f>
        <v>1300</v>
      </c>
      <c r="C131" s="50">
        <f>VLOOKUP($A131,'Data Vlaue (Cr)'!$C:$FB,11)*100</f>
        <v>3.36</v>
      </c>
      <c r="D131" s="50">
        <f>VLOOKUP($A131,'Data Vlaue (Cr)'!$C:$FB,143)</f>
        <v>2233.92</v>
      </c>
      <c r="E131" s="50">
        <f>VLOOKUP($A131,'Data Vlaue (Cr)'!$C:$FB,144)</f>
        <v>583.74</v>
      </c>
      <c r="F131" s="50">
        <f>VLOOKUP($A131,'Data Vlaue (Cr)'!$C:$FB,146)*100</f>
        <v>282.69</v>
      </c>
      <c r="G131" s="49">
        <f>VLOOKUP($A131,'Data Vlaue (Cr)'!$C:$FB,43)</f>
        <v>312</v>
      </c>
      <c r="H131" s="49">
        <f>VLOOKUP($A131,'Data Vlaue (Cr)'!$C:$FB,44)</f>
        <v>122</v>
      </c>
      <c r="I131" s="49">
        <f>VLOOKUP($A131,'Data Vlaue (Cr)'!$C:$FB,46)*100</f>
        <v>156.42000000000002</v>
      </c>
      <c r="J131" s="51">
        <f>VLOOKUP($A131,'Data Vlaue (Cr)'!$C:$FB,59)</f>
        <v>1585</v>
      </c>
      <c r="K131" s="51">
        <f>VLOOKUP($A131,'Data Vlaue (Cr)'!$C:$FB,60)</f>
        <v>294</v>
      </c>
      <c r="L131" s="51">
        <f>VLOOKUP($A131,'Data Vlaue (Cr)'!$C:$FB,62)*100</f>
        <v>439.44</v>
      </c>
      <c r="M131" s="51">
        <f>VLOOKUP($A131,'Data Vlaue (Cr)'!$C:$FB,63)</f>
        <v>323</v>
      </c>
      <c r="N131" s="51">
        <f>VLOOKUP($A131,'Data Vlaue (Cr)'!$C:$FB,64)</f>
        <v>179</v>
      </c>
      <c r="O131" s="51">
        <f>VLOOKUP($A131,'Data Vlaue (Cr)'!$C:$FB,66)*100</f>
        <v>80.349999999999994</v>
      </c>
    </row>
    <row r="132" spans="1:15" x14ac:dyDescent="0.25">
      <c r="A132" s="101" t="str">
        <f>'Data Vlaue (Cr)'!C127</f>
        <v>LT</v>
      </c>
      <c r="B132" s="50">
        <f>VLOOKUP($A132,'Data Vlaue (Cr)'!$C:$FB,8)</f>
        <v>3592.3</v>
      </c>
      <c r="C132" s="50">
        <f>VLOOKUP($A132,'Data Vlaue (Cr)'!$C:$FB,11)*100</f>
        <v>-0.57000000000000006</v>
      </c>
      <c r="D132" s="50">
        <f>VLOOKUP($A132,'Data Vlaue (Cr)'!$C:$FB,143)</f>
        <v>5553.66</v>
      </c>
      <c r="E132" s="50">
        <f>VLOOKUP($A132,'Data Vlaue (Cr)'!$C:$FB,144)</f>
        <v>3351.17</v>
      </c>
      <c r="F132" s="50">
        <f>VLOOKUP($A132,'Data Vlaue (Cr)'!$C:$FB,146)*100</f>
        <v>65.72</v>
      </c>
      <c r="G132" s="49">
        <f>VLOOKUP($A132,'Data Vlaue (Cr)'!$C:$FB,43)</f>
        <v>885</v>
      </c>
      <c r="H132" s="49">
        <f>VLOOKUP($A132,'Data Vlaue (Cr)'!$C:$FB,44)</f>
        <v>566</v>
      </c>
      <c r="I132" s="49">
        <f>VLOOKUP($A132,'Data Vlaue (Cr)'!$C:$FB,46)*100</f>
        <v>56.36</v>
      </c>
      <c r="J132" s="51">
        <f>VLOOKUP($A132,'Data Vlaue (Cr)'!$C:$FB,59)</f>
        <v>3165</v>
      </c>
      <c r="K132" s="51">
        <f>VLOOKUP($A132,'Data Vlaue (Cr)'!$C:$FB,60)</f>
        <v>1955</v>
      </c>
      <c r="L132" s="51">
        <f>VLOOKUP($A132,'Data Vlaue (Cr)'!$C:$FB,62)*100</f>
        <v>61.88</v>
      </c>
      <c r="M132" s="51">
        <f>VLOOKUP($A132,'Data Vlaue (Cr)'!$C:$FB,63)</f>
        <v>1404</v>
      </c>
      <c r="N132" s="51">
        <f>VLOOKUP($A132,'Data Vlaue (Cr)'!$C:$FB,64)</f>
        <v>745</v>
      </c>
      <c r="O132" s="51">
        <f>VLOOKUP($A132,'Data Vlaue (Cr)'!$C:$FB,66)*100</f>
        <v>88.490000000000009</v>
      </c>
    </row>
    <row r="133" spans="1:15" x14ac:dyDescent="0.25">
      <c r="A133" s="101" t="str">
        <f>'Data Vlaue (Cr)'!C128</f>
        <v>LTF</v>
      </c>
      <c r="B133" s="50">
        <f>VLOOKUP($A133,'Data Vlaue (Cr)'!$C:$FB,8)</f>
        <v>216.53</v>
      </c>
      <c r="C133" s="50">
        <f>VLOOKUP($A133,'Data Vlaue (Cr)'!$C:$FB,11)*100</f>
        <v>-0.22999999999999998</v>
      </c>
      <c r="D133" s="50">
        <f>VLOOKUP($A133,'Data Vlaue (Cr)'!$C:$FB,143)</f>
        <v>990.11</v>
      </c>
      <c r="E133" s="50">
        <f>VLOOKUP($A133,'Data Vlaue (Cr)'!$C:$FB,144)</f>
        <v>2993.76</v>
      </c>
      <c r="F133" s="50">
        <f>VLOOKUP($A133,'Data Vlaue (Cr)'!$C:$FB,146)*100</f>
        <v>-66.930000000000007</v>
      </c>
      <c r="G133" s="49">
        <f>VLOOKUP($A133,'Data Vlaue (Cr)'!$C:$FB,43)</f>
        <v>265</v>
      </c>
      <c r="H133" s="49">
        <f>VLOOKUP($A133,'Data Vlaue (Cr)'!$C:$FB,44)</f>
        <v>546</v>
      </c>
      <c r="I133" s="49">
        <f>VLOOKUP($A133,'Data Vlaue (Cr)'!$C:$FB,46)*100</f>
        <v>-51.43</v>
      </c>
      <c r="J133" s="51">
        <f>VLOOKUP($A133,'Data Vlaue (Cr)'!$C:$FB,59)</f>
        <v>491</v>
      </c>
      <c r="K133" s="51">
        <f>VLOOKUP($A133,'Data Vlaue (Cr)'!$C:$FB,60)</f>
        <v>1577</v>
      </c>
      <c r="L133" s="51">
        <f>VLOOKUP($A133,'Data Vlaue (Cr)'!$C:$FB,62)*100</f>
        <v>-68.899999999999991</v>
      </c>
      <c r="M133" s="51">
        <f>VLOOKUP($A133,'Data Vlaue (Cr)'!$C:$FB,63)</f>
        <v>225</v>
      </c>
      <c r="N133" s="51">
        <f>VLOOKUP($A133,'Data Vlaue (Cr)'!$C:$FB,64)</f>
        <v>859</v>
      </c>
      <c r="O133" s="51">
        <f>VLOOKUP($A133,'Data Vlaue (Cr)'!$C:$FB,66)*100</f>
        <v>-73.77</v>
      </c>
    </row>
    <row r="134" spans="1:15" x14ac:dyDescent="0.25">
      <c r="A134" s="101" t="str">
        <f>'Data Vlaue (Cr)'!C129</f>
        <v>LTIM</v>
      </c>
      <c r="B134" s="50">
        <f>VLOOKUP($A134,'Data Vlaue (Cr)'!$C:$FB,8)</f>
        <v>5180.5</v>
      </c>
      <c r="C134" s="50">
        <f>VLOOKUP($A134,'Data Vlaue (Cr)'!$C:$FB,11)*100</f>
        <v>1.3599999999999999</v>
      </c>
      <c r="D134" s="50">
        <f>VLOOKUP($A134,'Data Vlaue (Cr)'!$C:$FB,143)</f>
        <v>2369.41</v>
      </c>
      <c r="E134" s="50">
        <f>VLOOKUP($A134,'Data Vlaue (Cr)'!$C:$FB,144)</f>
        <v>1131.28</v>
      </c>
      <c r="F134" s="50">
        <f>VLOOKUP($A134,'Data Vlaue (Cr)'!$C:$FB,146)*100</f>
        <v>109.44</v>
      </c>
      <c r="G134" s="49">
        <f>VLOOKUP($A134,'Data Vlaue (Cr)'!$C:$FB,43)</f>
        <v>461</v>
      </c>
      <c r="H134" s="49">
        <f>VLOOKUP($A134,'Data Vlaue (Cr)'!$C:$FB,44)</f>
        <v>244</v>
      </c>
      <c r="I134" s="49">
        <f>VLOOKUP($A134,'Data Vlaue (Cr)'!$C:$FB,46)*100</f>
        <v>88.8</v>
      </c>
      <c r="J134" s="51">
        <f>VLOOKUP($A134,'Data Vlaue (Cr)'!$C:$FB,59)</f>
        <v>1398</v>
      </c>
      <c r="K134" s="51">
        <f>VLOOKUP($A134,'Data Vlaue (Cr)'!$C:$FB,60)</f>
        <v>622</v>
      </c>
      <c r="L134" s="51">
        <f>VLOOKUP($A134,'Data Vlaue (Cr)'!$C:$FB,62)*100</f>
        <v>124.66999999999999</v>
      </c>
      <c r="M134" s="51">
        <f>VLOOKUP($A134,'Data Vlaue (Cr)'!$C:$FB,63)</f>
        <v>479</v>
      </c>
      <c r="N134" s="51">
        <f>VLOOKUP($A134,'Data Vlaue (Cr)'!$C:$FB,64)</f>
        <v>265</v>
      </c>
      <c r="O134" s="51">
        <f>VLOOKUP($A134,'Data Vlaue (Cr)'!$C:$FB,66)*100</f>
        <v>81.100000000000009</v>
      </c>
    </row>
    <row r="135" spans="1:15" x14ac:dyDescent="0.25">
      <c r="A135" s="101" t="str">
        <f>'Data Vlaue (Cr)'!C130</f>
        <v>LUPIN</v>
      </c>
      <c r="B135" s="50">
        <f>VLOOKUP($A135,'Data Vlaue (Cr)'!$C:$FB,8)</f>
        <v>1940.3</v>
      </c>
      <c r="C135" s="50">
        <f>VLOOKUP($A135,'Data Vlaue (Cr)'!$C:$FB,11)*100</f>
        <v>-1.44</v>
      </c>
      <c r="D135" s="50">
        <f>VLOOKUP($A135,'Data Vlaue (Cr)'!$C:$FB,143)</f>
        <v>1263.42</v>
      </c>
      <c r="E135" s="50">
        <f>VLOOKUP($A135,'Data Vlaue (Cr)'!$C:$FB,144)</f>
        <v>943.33</v>
      </c>
      <c r="F135" s="50">
        <f>VLOOKUP($A135,'Data Vlaue (Cr)'!$C:$FB,146)*100</f>
        <v>33.93</v>
      </c>
      <c r="G135" s="49">
        <f>VLOOKUP($A135,'Data Vlaue (Cr)'!$C:$FB,43)</f>
        <v>208</v>
      </c>
      <c r="H135" s="49">
        <f>VLOOKUP($A135,'Data Vlaue (Cr)'!$C:$FB,44)</f>
        <v>169</v>
      </c>
      <c r="I135" s="49">
        <f>VLOOKUP($A135,'Data Vlaue (Cr)'!$C:$FB,46)*100</f>
        <v>23.59</v>
      </c>
      <c r="J135" s="51">
        <f>VLOOKUP($A135,'Data Vlaue (Cr)'!$C:$FB,59)</f>
        <v>631</v>
      </c>
      <c r="K135" s="51">
        <f>VLOOKUP($A135,'Data Vlaue (Cr)'!$C:$FB,60)</f>
        <v>536</v>
      </c>
      <c r="L135" s="51">
        <f>VLOOKUP($A135,'Data Vlaue (Cr)'!$C:$FB,62)*100</f>
        <v>17.88</v>
      </c>
      <c r="M135" s="51">
        <f>VLOOKUP($A135,'Data Vlaue (Cr)'!$C:$FB,63)</f>
        <v>401</v>
      </c>
      <c r="N135" s="51">
        <f>VLOOKUP($A135,'Data Vlaue (Cr)'!$C:$FB,64)</f>
        <v>208</v>
      </c>
      <c r="O135" s="51">
        <f>VLOOKUP($A135,'Data Vlaue (Cr)'!$C:$FB,66)*100</f>
        <v>92.7</v>
      </c>
    </row>
    <row r="136" spans="1:15" x14ac:dyDescent="0.25">
      <c r="A136" s="101" t="str">
        <f>'Data Vlaue (Cr)'!C131</f>
        <v>M&amp;M</v>
      </c>
      <c r="B136" s="50">
        <f>VLOOKUP($A136,'Data Vlaue (Cr)'!$C:$FB,8)</f>
        <v>3395.6</v>
      </c>
      <c r="C136" s="50">
        <f>VLOOKUP($A136,'Data Vlaue (Cr)'!$C:$FB,11)*100</f>
        <v>1.24</v>
      </c>
      <c r="D136" s="50">
        <f>VLOOKUP($A136,'Data Vlaue (Cr)'!$C:$FB,143)</f>
        <v>6287.33</v>
      </c>
      <c r="E136" s="50">
        <f>VLOOKUP($A136,'Data Vlaue (Cr)'!$C:$FB,144)</f>
        <v>9073.39</v>
      </c>
      <c r="F136" s="50">
        <f>VLOOKUP($A136,'Data Vlaue (Cr)'!$C:$FB,146)*100</f>
        <v>-30.709999999999997</v>
      </c>
      <c r="G136" s="49">
        <f>VLOOKUP($A136,'Data Vlaue (Cr)'!$C:$FB,43)</f>
        <v>840</v>
      </c>
      <c r="H136" s="49">
        <f>VLOOKUP($A136,'Data Vlaue (Cr)'!$C:$FB,44)</f>
        <v>1336</v>
      </c>
      <c r="I136" s="49">
        <f>VLOOKUP($A136,'Data Vlaue (Cr)'!$C:$FB,46)*100</f>
        <v>-37.130000000000003</v>
      </c>
      <c r="J136" s="51">
        <f>VLOOKUP($A136,'Data Vlaue (Cr)'!$C:$FB,59)</f>
        <v>3511</v>
      </c>
      <c r="K136" s="51">
        <f>VLOOKUP($A136,'Data Vlaue (Cr)'!$C:$FB,60)</f>
        <v>4789</v>
      </c>
      <c r="L136" s="51">
        <f>VLOOKUP($A136,'Data Vlaue (Cr)'!$C:$FB,62)*100</f>
        <v>-26.68</v>
      </c>
      <c r="M136" s="51">
        <f>VLOOKUP($A136,'Data Vlaue (Cr)'!$C:$FB,63)</f>
        <v>1913</v>
      </c>
      <c r="N136" s="51">
        <f>VLOOKUP($A136,'Data Vlaue (Cr)'!$C:$FB,64)</f>
        <v>2938</v>
      </c>
      <c r="O136" s="51">
        <f>VLOOKUP($A136,'Data Vlaue (Cr)'!$C:$FB,66)*100</f>
        <v>-34.89</v>
      </c>
    </row>
    <row r="137" spans="1:15" x14ac:dyDescent="0.25">
      <c r="A137" s="101" t="str">
        <f>'Data Vlaue (Cr)'!C132</f>
        <v>MANAPPURAM</v>
      </c>
      <c r="B137" s="50">
        <f>VLOOKUP($A137,'Data Vlaue (Cr)'!$C:$FB,8)</f>
        <v>266.10000000000002</v>
      </c>
      <c r="C137" s="50">
        <f>VLOOKUP($A137,'Data Vlaue (Cr)'!$C:$FB,11)*100</f>
        <v>-1.28</v>
      </c>
      <c r="D137" s="50">
        <f>VLOOKUP($A137,'Data Vlaue (Cr)'!$C:$FB,143)</f>
        <v>885.88</v>
      </c>
      <c r="E137" s="50">
        <f>VLOOKUP($A137,'Data Vlaue (Cr)'!$C:$FB,144)</f>
        <v>1083.98</v>
      </c>
      <c r="F137" s="50">
        <f>VLOOKUP($A137,'Data Vlaue (Cr)'!$C:$FB,146)*100</f>
        <v>-18.279999999999998</v>
      </c>
      <c r="G137" s="49">
        <f>VLOOKUP($A137,'Data Vlaue (Cr)'!$C:$FB,43)</f>
        <v>171</v>
      </c>
      <c r="H137" s="49">
        <f>VLOOKUP($A137,'Data Vlaue (Cr)'!$C:$FB,44)</f>
        <v>151</v>
      </c>
      <c r="I137" s="49">
        <f>VLOOKUP($A137,'Data Vlaue (Cr)'!$C:$FB,46)*100</f>
        <v>13.05</v>
      </c>
      <c r="J137" s="51">
        <f>VLOOKUP($A137,'Data Vlaue (Cr)'!$C:$FB,59)</f>
        <v>396</v>
      </c>
      <c r="K137" s="51">
        <f>VLOOKUP($A137,'Data Vlaue (Cr)'!$C:$FB,60)</f>
        <v>542</v>
      </c>
      <c r="L137" s="51">
        <f>VLOOKUP($A137,'Data Vlaue (Cr)'!$C:$FB,62)*100</f>
        <v>-26.86</v>
      </c>
      <c r="M137" s="51">
        <f>VLOOKUP($A137,'Data Vlaue (Cr)'!$C:$FB,63)</f>
        <v>312</v>
      </c>
      <c r="N137" s="51">
        <f>VLOOKUP($A137,'Data Vlaue (Cr)'!$C:$FB,64)</f>
        <v>378</v>
      </c>
      <c r="O137" s="51">
        <f>VLOOKUP($A137,'Data Vlaue (Cr)'!$C:$FB,66)*100</f>
        <v>-17.260000000000002</v>
      </c>
    </row>
    <row r="138" spans="1:15" x14ac:dyDescent="0.25">
      <c r="A138" s="101" t="str">
        <f>'Data Vlaue (Cr)'!C133</f>
        <v>MANKIND</v>
      </c>
      <c r="B138" s="50">
        <f>VLOOKUP($A138,'Data Vlaue (Cr)'!$C:$FB,8)</f>
        <v>2506.6</v>
      </c>
      <c r="C138" s="50">
        <f>VLOOKUP($A138,'Data Vlaue (Cr)'!$C:$FB,11)*100</f>
        <v>0.57999999999999996</v>
      </c>
      <c r="D138" s="50">
        <f>VLOOKUP($A138,'Data Vlaue (Cr)'!$C:$FB,143)</f>
        <v>278.93</v>
      </c>
      <c r="E138" s="50">
        <f>VLOOKUP($A138,'Data Vlaue (Cr)'!$C:$FB,144)</f>
        <v>538.32000000000005</v>
      </c>
      <c r="F138" s="50">
        <f>VLOOKUP($A138,'Data Vlaue (Cr)'!$C:$FB,146)*100</f>
        <v>-48.19</v>
      </c>
      <c r="G138" s="49">
        <f>VLOOKUP($A138,'Data Vlaue (Cr)'!$C:$FB,43)</f>
        <v>49</v>
      </c>
      <c r="H138" s="49">
        <f>VLOOKUP($A138,'Data Vlaue (Cr)'!$C:$FB,44)</f>
        <v>85</v>
      </c>
      <c r="I138" s="49">
        <f>VLOOKUP($A138,'Data Vlaue (Cr)'!$C:$FB,46)*100</f>
        <v>-42.29</v>
      </c>
      <c r="J138" s="51">
        <f>VLOOKUP($A138,'Data Vlaue (Cr)'!$C:$FB,59)</f>
        <v>187</v>
      </c>
      <c r="K138" s="51">
        <f>VLOOKUP($A138,'Data Vlaue (Cr)'!$C:$FB,60)</f>
        <v>372</v>
      </c>
      <c r="L138" s="51">
        <f>VLOOKUP($A138,'Data Vlaue (Cr)'!$C:$FB,62)*100</f>
        <v>-49.84</v>
      </c>
      <c r="M138" s="51">
        <f>VLOOKUP($A138,'Data Vlaue (Cr)'!$C:$FB,63)</f>
        <v>35</v>
      </c>
      <c r="N138" s="51">
        <f>VLOOKUP($A138,'Data Vlaue (Cr)'!$C:$FB,64)</f>
        <v>68</v>
      </c>
      <c r="O138" s="51">
        <f>VLOOKUP($A138,'Data Vlaue (Cr)'!$C:$FB,66)*100</f>
        <v>-48.33</v>
      </c>
    </row>
    <row r="139" spans="1:15" x14ac:dyDescent="0.25">
      <c r="A139" s="101" t="str">
        <f>'Data Vlaue (Cr)'!C134</f>
        <v>MARICO</v>
      </c>
      <c r="B139" s="50">
        <f>VLOOKUP($A139,'Data Vlaue (Cr)'!$C:$FB,8)</f>
        <v>751.85</v>
      </c>
      <c r="C139" s="50">
        <f>VLOOKUP($A139,'Data Vlaue (Cr)'!$C:$FB,11)*100</f>
        <v>3.2800000000000002</v>
      </c>
      <c r="D139" s="50">
        <f>VLOOKUP($A139,'Data Vlaue (Cr)'!$C:$FB,143)</f>
        <v>4984.37</v>
      </c>
      <c r="E139" s="50">
        <f>VLOOKUP($A139,'Data Vlaue (Cr)'!$C:$FB,144)</f>
        <v>1064.05</v>
      </c>
      <c r="F139" s="50">
        <f>VLOOKUP($A139,'Data Vlaue (Cr)'!$C:$FB,146)*100</f>
        <v>368.44</v>
      </c>
      <c r="G139" s="49">
        <f>VLOOKUP($A139,'Data Vlaue (Cr)'!$C:$FB,43)</f>
        <v>434</v>
      </c>
      <c r="H139" s="49">
        <f>VLOOKUP($A139,'Data Vlaue (Cr)'!$C:$FB,44)</f>
        <v>224</v>
      </c>
      <c r="I139" s="49">
        <f>VLOOKUP($A139,'Data Vlaue (Cr)'!$C:$FB,46)*100</f>
        <v>94.03</v>
      </c>
      <c r="J139" s="51">
        <f>VLOOKUP($A139,'Data Vlaue (Cr)'!$C:$FB,59)</f>
        <v>3600</v>
      </c>
      <c r="K139" s="51">
        <f>VLOOKUP($A139,'Data Vlaue (Cr)'!$C:$FB,60)</f>
        <v>669</v>
      </c>
      <c r="L139" s="51">
        <f>VLOOKUP($A139,'Data Vlaue (Cr)'!$C:$FB,62)*100</f>
        <v>438.25</v>
      </c>
      <c r="M139" s="51">
        <f>VLOOKUP($A139,'Data Vlaue (Cr)'!$C:$FB,63)</f>
        <v>934</v>
      </c>
      <c r="N139" s="51">
        <f>VLOOKUP($A139,'Data Vlaue (Cr)'!$C:$FB,64)</f>
        <v>197</v>
      </c>
      <c r="O139" s="51">
        <f>VLOOKUP($A139,'Data Vlaue (Cr)'!$C:$FB,66)*100</f>
        <v>373.02</v>
      </c>
    </row>
    <row r="140" spans="1:15" x14ac:dyDescent="0.25">
      <c r="A140" s="101" t="str">
        <f>'Data Vlaue (Cr)'!C135</f>
        <v>MARUTI</v>
      </c>
      <c r="B140" s="50">
        <f>VLOOKUP($A140,'Data Vlaue (Cr)'!$C:$FB,8)</f>
        <v>14221</v>
      </c>
      <c r="C140" s="50">
        <f>VLOOKUP($A140,'Data Vlaue (Cr)'!$C:$FB,11)*100</f>
        <v>-0.2</v>
      </c>
      <c r="D140" s="50">
        <f>VLOOKUP($A140,'Data Vlaue (Cr)'!$C:$FB,143)</f>
        <v>18346.93</v>
      </c>
      <c r="E140" s="50">
        <f>VLOOKUP($A140,'Data Vlaue (Cr)'!$C:$FB,144)</f>
        <v>43407.42</v>
      </c>
      <c r="F140" s="50">
        <f>VLOOKUP($A140,'Data Vlaue (Cr)'!$C:$FB,146)*100</f>
        <v>-57.730000000000004</v>
      </c>
      <c r="G140" s="49">
        <f>VLOOKUP($A140,'Data Vlaue (Cr)'!$C:$FB,43)</f>
        <v>844</v>
      </c>
      <c r="H140" s="49">
        <f>VLOOKUP($A140,'Data Vlaue (Cr)'!$C:$FB,44)</f>
        <v>1809</v>
      </c>
      <c r="I140" s="49">
        <f>VLOOKUP($A140,'Data Vlaue (Cr)'!$C:$FB,46)*100</f>
        <v>-53.33</v>
      </c>
      <c r="J140" s="51">
        <f>VLOOKUP($A140,'Data Vlaue (Cr)'!$C:$FB,59)</f>
        <v>8992</v>
      </c>
      <c r="K140" s="51">
        <f>VLOOKUP($A140,'Data Vlaue (Cr)'!$C:$FB,60)</f>
        <v>23708</v>
      </c>
      <c r="L140" s="51">
        <f>VLOOKUP($A140,'Data Vlaue (Cr)'!$C:$FB,62)*100</f>
        <v>-62.07</v>
      </c>
      <c r="M140" s="51">
        <f>VLOOKUP($A140,'Data Vlaue (Cr)'!$C:$FB,63)</f>
        <v>8448</v>
      </c>
      <c r="N140" s="51">
        <f>VLOOKUP($A140,'Data Vlaue (Cr)'!$C:$FB,64)</f>
        <v>17909</v>
      </c>
      <c r="O140" s="51">
        <f>VLOOKUP($A140,'Data Vlaue (Cr)'!$C:$FB,66)*100</f>
        <v>-52.83</v>
      </c>
    </row>
    <row r="141" spans="1:15" x14ac:dyDescent="0.25">
      <c r="A141" s="101" t="str">
        <f>'Data Vlaue (Cr)'!C136</f>
        <v>MAXHEALTH</v>
      </c>
      <c r="B141" s="50">
        <f>VLOOKUP($A141,'Data Vlaue (Cr)'!$C:$FB,8)</f>
        <v>1225.5999999999999</v>
      </c>
      <c r="C141" s="50">
        <f>VLOOKUP($A141,'Data Vlaue (Cr)'!$C:$FB,11)*100</f>
        <v>-0.31</v>
      </c>
      <c r="D141" s="50">
        <f>VLOOKUP($A141,'Data Vlaue (Cr)'!$C:$FB,143)</f>
        <v>894.64</v>
      </c>
      <c r="E141" s="50">
        <f>VLOOKUP($A141,'Data Vlaue (Cr)'!$C:$FB,144)</f>
        <v>1035.5899999999999</v>
      </c>
      <c r="F141" s="50">
        <f>VLOOKUP($A141,'Data Vlaue (Cr)'!$C:$FB,146)*100</f>
        <v>-13.61</v>
      </c>
      <c r="G141" s="49">
        <f>VLOOKUP($A141,'Data Vlaue (Cr)'!$C:$FB,43)</f>
        <v>249</v>
      </c>
      <c r="H141" s="49">
        <f>VLOOKUP($A141,'Data Vlaue (Cr)'!$C:$FB,44)</f>
        <v>248</v>
      </c>
      <c r="I141" s="49">
        <f>VLOOKUP($A141,'Data Vlaue (Cr)'!$C:$FB,46)*100</f>
        <v>0.5</v>
      </c>
      <c r="J141" s="51">
        <f>VLOOKUP($A141,'Data Vlaue (Cr)'!$C:$FB,59)</f>
        <v>449</v>
      </c>
      <c r="K141" s="51">
        <f>VLOOKUP($A141,'Data Vlaue (Cr)'!$C:$FB,60)</f>
        <v>583</v>
      </c>
      <c r="L141" s="51">
        <f>VLOOKUP($A141,'Data Vlaue (Cr)'!$C:$FB,62)*100</f>
        <v>-23.07</v>
      </c>
      <c r="M141" s="51">
        <f>VLOOKUP($A141,'Data Vlaue (Cr)'!$C:$FB,63)</f>
        <v>181</v>
      </c>
      <c r="N141" s="51">
        <f>VLOOKUP($A141,'Data Vlaue (Cr)'!$C:$FB,64)</f>
        <v>182</v>
      </c>
      <c r="O141" s="51">
        <f>VLOOKUP($A141,'Data Vlaue (Cr)'!$C:$FB,66)*100</f>
        <v>-0.27999999999999997</v>
      </c>
    </row>
    <row r="142" spans="1:15" x14ac:dyDescent="0.25">
      <c r="A142" s="101" t="str">
        <f>'Data Vlaue (Cr)'!C137</f>
        <v>MAZDOCK</v>
      </c>
      <c r="B142" s="50">
        <f>VLOOKUP($A142,'Data Vlaue (Cr)'!$C:$FB,8)</f>
        <v>2772.9</v>
      </c>
      <c r="C142" s="50">
        <f>VLOOKUP($A142,'Data Vlaue (Cr)'!$C:$FB,11)*100</f>
        <v>0.92999999999999994</v>
      </c>
      <c r="D142" s="50">
        <f>VLOOKUP($A142,'Data Vlaue (Cr)'!$C:$FB,143)</f>
        <v>1956.91</v>
      </c>
      <c r="E142" s="50">
        <f>VLOOKUP($A142,'Data Vlaue (Cr)'!$C:$FB,144)</f>
        <v>1100.97</v>
      </c>
      <c r="F142" s="50">
        <f>VLOOKUP($A142,'Data Vlaue (Cr)'!$C:$FB,146)*100</f>
        <v>77.739999999999995</v>
      </c>
      <c r="G142" s="49">
        <f>VLOOKUP($A142,'Data Vlaue (Cr)'!$C:$FB,43)</f>
        <v>375</v>
      </c>
      <c r="H142" s="49">
        <f>VLOOKUP($A142,'Data Vlaue (Cr)'!$C:$FB,44)</f>
        <v>140</v>
      </c>
      <c r="I142" s="49">
        <f>VLOOKUP($A142,'Data Vlaue (Cr)'!$C:$FB,46)*100</f>
        <v>167.08</v>
      </c>
      <c r="J142" s="51">
        <f>VLOOKUP($A142,'Data Vlaue (Cr)'!$C:$FB,59)</f>
        <v>1176</v>
      </c>
      <c r="K142" s="51">
        <f>VLOOKUP($A142,'Data Vlaue (Cr)'!$C:$FB,60)</f>
        <v>766</v>
      </c>
      <c r="L142" s="51">
        <f>VLOOKUP($A142,'Data Vlaue (Cr)'!$C:$FB,62)*100</f>
        <v>53.38</v>
      </c>
      <c r="M142" s="51">
        <f>VLOOKUP($A142,'Data Vlaue (Cr)'!$C:$FB,63)</f>
        <v>367</v>
      </c>
      <c r="N142" s="51">
        <f>VLOOKUP($A142,'Data Vlaue (Cr)'!$C:$FB,64)</f>
        <v>139</v>
      </c>
      <c r="O142" s="51">
        <f>VLOOKUP($A142,'Data Vlaue (Cr)'!$C:$FB,66)*100</f>
        <v>164.48000000000002</v>
      </c>
    </row>
    <row r="143" spans="1:15" x14ac:dyDescent="0.25">
      <c r="A143" s="101" t="str">
        <f>'Data Vlaue (Cr)'!C138</f>
        <v>MCX</v>
      </c>
      <c r="B143" s="50">
        <f>VLOOKUP($A143,'Data Vlaue (Cr)'!$C:$FB,8)</f>
        <v>8224</v>
      </c>
      <c r="C143" s="50">
        <f>VLOOKUP($A143,'Data Vlaue (Cr)'!$C:$FB,11)*100</f>
        <v>-0.86</v>
      </c>
      <c r="D143" s="50">
        <f>VLOOKUP($A143,'Data Vlaue (Cr)'!$C:$FB,143)</f>
        <v>3489.69</v>
      </c>
      <c r="E143" s="50">
        <f>VLOOKUP($A143,'Data Vlaue (Cr)'!$C:$FB,144)</f>
        <v>6678.09</v>
      </c>
      <c r="F143" s="50">
        <f>VLOOKUP($A143,'Data Vlaue (Cr)'!$C:$FB,146)*100</f>
        <v>-47.74</v>
      </c>
      <c r="G143" s="49">
        <f>VLOOKUP($A143,'Data Vlaue (Cr)'!$C:$FB,43)</f>
        <v>244</v>
      </c>
      <c r="H143" s="49">
        <f>VLOOKUP($A143,'Data Vlaue (Cr)'!$C:$FB,44)</f>
        <v>404</v>
      </c>
      <c r="I143" s="49">
        <f>VLOOKUP($A143,'Data Vlaue (Cr)'!$C:$FB,46)*100</f>
        <v>-39.67</v>
      </c>
      <c r="J143" s="51">
        <f>VLOOKUP($A143,'Data Vlaue (Cr)'!$C:$FB,59)</f>
        <v>1802</v>
      </c>
      <c r="K143" s="51">
        <f>VLOOKUP($A143,'Data Vlaue (Cr)'!$C:$FB,60)</f>
        <v>3379</v>
      </c>
      <c r="L143" s="51">
        <f>VLOOKUP($A143,'Data Vlaue (Cr)'!$C:$FB,62)*100</f>
        <v>-46.68</v>
      </c>
      <c r="M143" s="51">
        <f>VLOOKUP($A143,'Data Vlaue (Cr)'!$C:$FB,63)</f>
        <v>1388</v>
      </c>
      <c r="N143" s="51">
        <f>VLOOKUP($A143,'Data Vlaue (Cr)'!$C:$FB,64)</f>
        <v>2795</v>
      </c>
      <c r="O143" s="51">
        <f>VLOOKUP($A143,'Data Vlaue (Cr)'!$C:$FB,66)*100</f>
        <v>-50.349999999999994</v>
      </c>
    </row>
    <row r="144" spans="1:15" x14ac:dyDescent="0.25">
      <c r="A144" s="101" t="str">
        <f>'Data Vlaue (Cr)'!C139</f>
        <v>MFSL</v>
      </c>
      <c r="B144" s="50">
        <f>VLOOKUP($A144,'Data Vlaue (Cr)'!$C:$FB,8)</f>
        <v>1643.6</v>
      </c>
      <c r="C144" s="50">
        <f>VLOOKUP($A144,'Data Vlaue (Cr)'!$C:$FB,11)*100</f>
        <v>0.38</v>
      </c>
      <c r="D144" s="50">
        <f>VLOOKUP($A144,'Data Vlaue (Cr)'!$C:$FB,143)</f>
        <v>351.92</v>
      </c>
      <c r="E144" s="50">
        <f>VLOOKUP($A144,'Data Vlaue (Cr)'!$C:$FB,144)</f>
        <v>1046.8699999999999</v>
      </c>
      <c r="F144" s="50">
        <f>VLOOKUP($A144,'Data Vlaue (Cr)'!$C:$FB,146)*100</f>
        <v>-66.38</v>
      </c>
      <c r="G144" s="49">
        <f>VLOOKUP($A144,'Data Vlaue (Cr)'!$C:$FB,43)</f>
        <v>70</v>
      </c>
      <c r="H144" s="49">
        <f>VLOOKUP($A144,'Data Vlaue (Cr)'!$C:$FB,44)</f>
        <v>179</v>
      </c>
      <c r="I144" s="49">
        <f>VLOOKUP($A144,'Data Vlaue (Cr)'!$C:$FB,46)*100</f>
        <v>-60.72</v>
      </c>
      <c r="J144" s="51">
        <f>VLOOKUP($A144,'Data Vlaue (Cr)'!$C:$FB,59)</f>
        <v>180</v>
      </c>
      <c r="K144" s="51">
        <f>VLOOKUP($A144,'Data Vlaue (Cr)'!$C:$FB,60)</f>
        <v>405</v>
      </c>
      <c r="L144" s="51">
        <f>VLOOKUP($A144,'Data Vlaue (Cr)'!$C:$FB,62)*100</f>
        <v>-55.64</v>
      </c>
      <c r="M144" s="51">
        <f>VLOOKUP($A144,'Data Vlaue (Cr)'!$C:$FB,63)</f>
        <v>99</v>
      </c>
      <c r="N144" s="51">
        <f>VLOOKUP($A144,'Data Vlaue (Cr)'!$C:$FB,64)</f>
        <v>467</v>
      </c>
      <c r="O144" s="51">
        <f>VLOOKUP($A144,'Data Vlaue (Cr)'!$C:$FB,66)*100</f>
        <v>-78.7</v>
      </c>
    </row>
    <row r="145" spans="1:15" x14ac:dyDescent="0.25">
      <c r="A145" s="101" t="str">
        <f>'Data Vlaue (Cr)'!C140</f>
        <v>MIDCPNIFTY</v>
      </c>
      <c r="B145" s="50">
        <f>VLOOKUP($A145,'Data Vlaue (Cr)'!$C:$FB,8)</f>
        <v>12999.8</v>
      </c>
      <c r="C145" s="50">
        <f>VLOOKUP($A145,'Data Vlaue (Cr)'!$C:$FB,11)*100</f>
        <v>0.71000000000000008</v>
      </c>
      <c r="D145" s="50">
        <f>VLOOKUP($A145,'Data Vlaue (Cr)'!$C:$FB,143)</f>
        <v>91102.19</v>
      </c>
      <c r="E145" s="50">
        <f>VLOOKUP($A145,'Data Vlaue (Cr)'!$C:$FB,144)</f>
        <v>82394.12</v>
      </c>
      <c r="F145" s="50">
        <f>VLOOKUP($A145,'Data Vlaue (Cr)'!$C:$FB,146)*100</f>
        <v>10.57</v>
      </c>
      <c r="G145" s="49">
        <f>VLOOKUP($A145,'Data Vlaue (Cr)'!$C:$FB,43)</f>
        <v>723</v>
      </c>
      <c r="H145" s="49">
        <f>VLOOKUP($A145,'Data Vlaue (Cr)'!$C:$FB,44)</f>
        <v>819</v>
      </c>
      <c r="I145" s="49">
        <f>VLOOKUP($A145,'Data Vlaue (Cr)'!$C:$FB,46)*100</f>
        <v>-11.73</v>
      </c>
      <c r="J145" s="51">
        <f>VLOOKUP($A145,'Data Vlaue (Cr)'!$C:$FB,59)</f>
        <v>42651</v>
      </c>
      <c r="K145" s="51">
        <f>VLOOKUP($A145,'Data Vlaue (Cr)'!$C:$FB,60)</f>
        <v>42751</v>
      </c>
      <c r="L145" s="51">
        <f>VLOOKUP($A145,'Data Vlaue (Cr)'!$C:$FB,62)*100</f>
        <v>-0.22999999999999998</v>
      </c>
      <c r="M145" s="51">
        <f>VLOOKUP($A145,'Data Vlaue (Cr)'!$C:$FB,63)</f>
        <v>48393</v>
      </c>
      <c r="N145" s="51">
        <f>VLOOKUP($A145,'Data Vlaue (Cr)'!$C:$FB,64)</f>
        <v>39445</v>
      </c>
      <c r="O145" s="51">
        <f>VLOOKUP($A145,'Data Vlaue (Cr)'!$C:$FB,66)*100</f>
        <v>22.68</v>
      </c>
    </row>
    <row r="146" spans="1:15" x14ac:dyDescent="0.25">
      <c r="A146" s="101" t="str">
        <f>'Data Vlaue (Cr)'!C141</f>
        <v>MOTHERSON</v>
      </c>
      <c r="B146" s="50">
        <f>VLOOKUP($A146,'Data Vlaue (Cr)'!$C:$FB,8)</f>
        <v>97.97</v>
      </c>
      <c r="C146" s="50">
        <f>VLOOKUP($A146,'Data Vlaue (Cr)'!$C:$FB,11)*100</f>
        <v>-1.44</v>
      </c>
      <c r="D146" s="50">
        <f>VLOOKUP($A146,'Data Vlaue (Cr)'!$C:$FB,143)</f>
        <v>1167.48</v>
      </c>
      <c r="E146" s="50">
        <f>VLOOKUP($A146,'Data Vlaue (Cr)'!$C:$FB,144)</f>
        <v>2630.72</v>
      </c>
      <c r="F146" s="50">
        <f>VLOOKUP($A146,'Data Vlaue (Cr)'!$C:$FB,146)*100</f>
        <v>-55.620000000000005</v>
      </c>
      <c r="G146" s="49">
        <f>VLOOKUP($A146,'Data Vlaue (Cr)'!$C:$FB,43)</f>
        <v>231</v>
      </c>
      <c r="H146" s="49">
        <f>VLOOKUP($A146,'Data Vlaue (Cr)'!$C:$FB,44)</f>
        <v>392</v>
      </c>
      <c r="I146" s="49">
        <f>VLOOKUP($A146,'Data Vlaue (Cr)'!$C:$FB,46)*100</f>
        <v>-41.11</v>
      </c>
      <c r="J146" s="51">
        <f>VLOOKUP($A146,'Data Vlaue (Cr)'!$C:$FB,59)</f>
        <v>596</v>
      </c>
      <c r="K146" s="51">
        <f>VLOOKUP($A146,'Data Vlaue (Cr)'!$C:$FB,60)</f>
        <v>1641</v>
      </c>
      <c r="L146" s="51">
        <f>VLOOKUP($A146,'Data Vlaue (Cr)'!$C:$FB,62)*100</f>
        <v>-63.71</v>
      </c>
      <c r="M146" s="51">
        <f>VLOOKUP($A146,'Data Vlaue (Cr)'!$C:$FB,63)</f>
        <v>313</v>
      </c>
      <c r="N146" s="51">
        <f>VLOOKUP($A146,'Data Vlaue (Cr)'!$C:$FB,64)</f>
        <v>539</v>
      </c>
      <c r="O146" s="51">
        <f>VLOOKUP($A146,'Data Vlaue (Cr)'!$C:$FB,66)*100</f>
        <v>-41.959999999999994</v>
      </c>
    </row>
    <row r="147" spans="1:15" x14ac:dyDescent="0.25">
      <c r="A147" s="101" t="str">
        <f>'Data Vlaue (Cr)'!C142</f>
        <v>MPHASIS</v>
      </c>
      <c r="B147" s="50">
        <f>VLOOKUP($A147,'Data Vlaue (Cr)'!$C:$FB,8)</f>
        <v>2835.5</v>
      </c>
      <c r="C147" s="50">
        <f>VLOOKUP($A147,'Data Vlaue (Cr)'!$C:$FB,11)*100</f>
        <v>3.39</v>
      </c>
      <c r="D147" s="50">
        <f>VLOOKUP($A147,'Data Vlaue (Cr)'!$C:$FB,143)</f>
        <v>2701.74</v>
      </c>
      <c r="E147" s="50">
        <f>VLOOKUP($A147,'Data Vlaue (Cr)'!$C:$FB,144)</f>
        <v>461.1</v>
      </c>
      <c r="F147" s="50">
        <f>VLOOKUP($A147,'Data Vlaue (Cr)'!$C:$FB,146)*100</f>
        <v>485.94</v>
      </c>
      <c r="G147" s="49">
        <f>VLOOKUP($A147,'Data Vlaue (Cr)'!$C:$FB,43)</f>
        <v>494</v>
      </c>
      <c r="H147" s="49">
        <f>VLOOKUP($A147,'Data Vlaue (Cr)'!$C:$FB,44)</f>
        <v>131</v>
      </c>
      <c r="I147" s="49">
        <f>VLOOKUP($A147,'Data Vlaue (Cr)'!$C:$FB,46)*100</f>
        <v>276.67</v>
      </c>
      <c r="J147" s="51">
        <f>VLOOKUP($A147,'Data Vlaue (Cr)'!$C:$FB,59)</f>
        <v>1648</v>
      </c>
      <c r="K147" s="51">
        <f>VLOOKUP($A147,'Data Vlaue (Cr)'!$C:$FB,60)</f>
        <v>268</v>
      </c>
      <c r="L147" s="51">
        <f>VLOOKUP($A147,'Data Vlaue (Cr)'!$C:$FB,62)*100</f>
        <v>515.03</v>
      </c>
      <c r="M147" s="51">
        <f>VLOOKUP($A147,'Data Vlaue (Cr)'!$C:$FB,63)</f>
        <v>572</v>
      </c>
      <c r="N147" s="51">
        <f>VLOOKUP($A147,'Data Vlaue (Cr)'!$C:$FB,64)</f>
        <v>73</v>
      </c>
      <c r="O147" s="51">
        <f>VLOOKUP($A147,'Data Vlaue (Cr)'!$C:$FB,66)*100</f>
        <v>687</v>
      </c>
    </row>
    <row r="148" spans="1:15" x14ac:dyDescent="0.25">
      <c r="A148" s="101" t="str">
        <f>'Data Vlaue (Cr)'!C143</f>
        <v>MUTHOOTFIN</v>
      </c>
      <c r="B148" s="50">
        <f>VLOOKUP($A148,'Data Vlaue (Cr)'!$C:$FB,8)</f>
        <v>2683.9</v>
      </c>
      <c r="C148" s="50">
        <f>VLOOKUP($A148,'Data Vlaue (Cr)'!$C:$FB,11)*100</f>
        <v>-2.2999999999999998</v>
      </c>
      <c r="D148" s="50">
        <f>VLOOKUP($A148,'Data Vlaue (Cr)'!$C:$FB,143)</f>
        <v>6006.38</v>
      </c>
      <c r="E148" s="50">
        <f>VLOOKUP($A148,'Data Vlaue (Cr)'!$C:$FB,144)</f>
        <v>3605.65</v>
      </c>
      <c r="F148" s="50">
        <f>VLOOKUP($A148,'Data Vlaue (Cr)'!$C:$FB,146)*100</f>
        <v>66.58</v>
      </c>
      <c r="G148" s="49">
        <f>VLOOKUP($A148,'Data Vlaue (Cr)'!$C:$FB,43)</f>
        <v>392</v>
      </c>
      <c r="H148" s="49">
        <f>VLOOKUP($A148,'Data Vlaue (Cr)'!$C:$FB,44)</f>
        <v>412</v>
      </c>
      <c r="I148" s="49">
        <f>VLOOKUP($A148,'Data Vlaue (Cr)'!$C:$FB,46)*100</f>
        <v>-4.8099999999999996</v>
      </c>
      <c r="J148" s="51">
        <f>VLOOKUP($A148,'Data Vlaue (Cr)'!$C:$FB,59)</f>
        <v>2747</v>
      </c>
      <c r="K148" s="51">
        <f>VLOOKUP($A148,'Data Vlaue (Cr)'!$C:$FB,60)</f>
        <v>1813</v>
      </c>
      <c r="L148" s="51">
        <f>VLOOKUP($A148,'Data Vlaue (Cr)'!$C:$FB,62)*100</f>
        <v>51.5</v>
      </c>
      <c r="M148" s="51">
        <f>VLOOKUP($A148,'Data Vlaue (Cr)'!$C:$FB,63)</f>
        <v>2754</v>
      </c>
      <c r="N148" s="51">
        <f>VLOOKUP($A148,'Data Vlaue (Cr)'!$C:$FB,64)</f>
        <v>1252</v>
      </c>
      <c r="O148" s="51">
        <f>VLOOKUP($A148,'Data Vlaue (Cr)'!$C:$FB,66)*100</f>
        <v>119.95</v>
      </c>
    </row>
    <row r="149" spans="1:15" x14ac:dyDescent="0.25">
      <c r="A149" s="101" t="str">
        <f>'Data Vlaue (Cr)'!C144</f>
        <v>NATIONALUM</v>
      </c>
      <c r="B149" s="50">
        <f>VLOOKUP($A149,'Data Vlaue (Cr)'!$C:$FB,8)</f>
        <v>192.22</v>
      </c>
      <c r="C149" s="50">
        <f>VLOOKUP($A149,'Data Vlaue (Cr)'!$C:$FB,11)*100</f>
        <v>0.48</v>
      </c>
      <c r="D149" s="50">
        <f>VLOOKUP($A149,'Data Vlaue (Cr)'!$C:$FB,143)</f>
        <v>1053.67</v>
      </c>
      <c r="E149" s="50">
        <f>VLOOKUP($A149,'Data Vlaue (Cr)'!$C:$FB,144)</f>
        <v>998.37</v>
      </c>
      <c r="F149" s="50">
        <f>VLOOKUP($A149,'Data Vlaue (Cr)'!$C:$FB,146)*100</f>
        <v>5.54</v>
      </c>
      <c r="G149" s="49">
        <f>VLOOKUP($A149,'Data Vlaue (Cr)'!$C:$FB,43)</f>
        <v>296</v>
      </c>
      <c r="H149" s="49">
        <f>VLOOKUP($A149,'Data Vlaue (Cr)'!$C:$FB,44)</f>
        <v>278</v>
      </c>
      <c r="I149" s="49">
        <f>VLOOKUP($A149,'Data Vlaue (Cr)'!$C:$FB,46)*100</f>
        <v>6.41</v>
      </c>
      <c r="J149" s="51">
        <f>VLOOKUP($A149,'Data Vlaue (Cr)'!$C:$FB,59)</f>
        <v>488</v>
      </c>
      <c r="K149" s="51">
        <f>VLOOKUP($A149,'Data Vlaue (Cr)'!$C:$FB,60)</f>
        <v>414</v>
      </c>
      <c r="L149" s="51">
        <f>VLOOKUP($A149,'Data Vlaue (Cr)'!$C:$FB,62)*100</f>
        <v>17.95</v>
      </c>
      <c r="M149" s="51">
        <f>VLOOKUP($A149,'Data Vlaue (Cr)'!$C:$FB,63)</f>
        <v>254</v>
      </c>
      <c r="N149" s="51">
        <f>VLOOKUP($A149,'Data Vlaue (Cr)'!$C:$FB,64)</f>
        <v>301</v>
      </c>
      <c r="O149" s="51">
        <f>VLOOKUP($A149,'Data Vlaue (Cr)'!$C:$FB,66)*100</f>
        <v>-15.590000000000002</v>
      </c>
    </row>
    <row r="150" spans="1:15" x14ac:dyDescent="0.25">
      <c r="A150" s="101" t="str">
        <f>'Data Vlaue (Cr)'!C145</f>
        <v>NAUKRI</v>
      </c>
      <c r="B150" s="50">
        <f>VLOOKUP($A150,'Data Vlaue (Cr)'!$C:$FB,8)</f>
        <v>1395.5</v>
      </c>
      <c r="C150" s="50">
        <f>VLOOKUP($A150,'Data Vlaue (Cr)'!$C:$FB,11)*100</f>
        <v>1.06</v>
      </c>
      <c r="D150" s="50">
        <f>VLOOKUP($A150,'Data Vlaue (Cr)'!$C:$FB,143)</f>
        <v>935.37</v>
      </c>
      <c r="E150" s="50">
        <f>VLOOKUP($A150,'Data Vlaue (Cr)'!$C:$FB,144)</f>
        <v>611.9</v>
      </c>
      <c r="F150" s="50">
        <f>VLOOKUP($A150,'Data Vlaue (Cr)'!$C:$FB,146)*100</f>
        <v>52.86</v>
      </c>
      <c r="G150" s="49">
        <f>VLOOKUP($A150,'Data Vlaue (Cr)'!$C:$FB,43)</f>
        <v>268</v>
      </c>
      <c r="H150" s="49">
        <f>VLOOKUP($A150,'Data Vlaue (Cr)'!$C:$FB,44)</f>
        <v>177</v>
      </c>
      <c r="I150" s="49">
        <f>VLOOKUP($A150,'Data Vlaue (Cr)'!$C:$FB,46)*100</f>
        <v>51.190000000000005</v>
      </c>
      <c r="J150" s="51">
        <f>VLOOKUP($A150,'Data Vlaue (Cr)'!$C:$FB,59)</f>
        <v>383</v>
      </c>
      <c r="K150" s="51">
        <f>VLOOKUP($A150,'Data Vlaue (Cr)'!$C:$FB,60)</f>
        <v>277</v>
      </c>
      <c r="L150" s="51">
        <f>VLOOKUP($A150,'Data Vlaue (Cr)'!$C:$FB,62)*100</f>
        <v>38.24</v>
      </c>
      <c r="M150" s="51">
        <f>VLOOKUP($A150,'Data Vlaue (Cr)'!$C:$FB,63)</f>
        <v>286</v>
      </c>
      <c r="N150" s="51">
        <f>VLOOKUP($A150,'Data Vlaue (Cr)'!$C:$FB,64)</f>
        <v>164</v>
      </c>
      <c r="O150" s="51">
        <f>VLOOKUP($A150,'Data Vlaue (Cr)'!$C:$FB,66)*100</f>
        <v>74.099999999999994</v>
      </c>
    </row>
    <row r="151" spans="1:15" x14ac:dyDescent="0.25">
      <c r="A151" s="101" t="str">
        <f>'Data Vlaue (Cr)'!C146</f>
        <v>NBCC</v>
      </c>
      <c r="B151" s="50">
        <f>VLOOKUP($A151,'Data Vlaue (Cr)'!$C:$FB,8)</f>
        <v>105.39</v>
      </c>
      <c r="C151" s="50">
        <f>VLOOKUP($A151,'Data Vlaue (Cr)'!$C:$FB,11)*100</f>
        <v>-1.1199999999999999</v>
      </c>
      <c r="D151" s="50">
        <f>VLOOKUP($A151,'Data Vlaue (Cr)'!$C:$FB,143)</f>
        <v>247.56</v>
      </c>
      <c r="E151" s="50">
        <f>VLOOKUP($A151,'Data Vlaue (Cr)'!$C:$FB,144)</f>
        <v>146.75</v>
      </c>
      <c r="F151" s="50">
        <f>VLOOKUP($A151,'Data Vlaue (Cr)'!$C:$FB,146)*100</f>
        <v>68.7</v>
      </c>
      <c r="G151" s="49">
        <f>VLOOKUP($A151,'Data Vlaue (Cr)'!$C:$FB,43)</f>
        <v>106</v>
      </c>
      <c r="H151" s="49">
        <f>VLOOKUP($A151,'Data Vlaue (Cr)'!$C:$FB,44)</f>
        <v>59</v>
      </c>
      <c r="I151" s="49">
        <f>VLOOKUP($A151,'Data Vlaue (Cr)'!$C:$FB,46)*100</f>
        <v>79.36999999999999</v>
      </c>
      <c r="J151" s="51">
        <f>VLOOKUP($A151,'Data Vlaue (Cr)'!$C:$FB,59)</f>
        <v>96</v>
      </c>
      <c r="K151" s="51">
        <f>VLOOKUP($A151,'Data Vlaue (Cr)'!$C:$FB,60)</f>
        <v>59</v>
      </c>
      <c r="L151" s="51">
        <f>VLOOKUP($A151,'Data Vlaue (Cr)'!$C:$FB,62)*100</f>
        <v>62.21</v>
      </c>
      <c r="M151" s="51">
        <f>VLOOKUP($A151,'Data Vlaue (Cr)'!$C:$FB,63)</f>
        <v>40</v>
      </c>
      <c r="N151" s="51">
        <f>VLOOKUP($A151,'Data Vlaue (Cr)'!$C:$FB,64)</f>
        <v>24</v>
      </c>
      <c r="O151" s="51">
        <f>VLOOKUP($A151,'Data Vlaue (Cr)'!$C:$FB,66)*100</f>
        <v>65.14</v>
      </c>
    </row>
    <row r="152" spans="1:15" x14ac:dyDescent="0.25">
      <c r="A152" s="101" t="str">
        <f>'Data Vlaue (Cr)'!C147</f>
        <v>NCC</v>
      </c>
      <c r="B152" s="50">
        <f>VLOOKUP($A152,'Data Vlaue (Cr)'!$C:$FB,8)</f>
        <v>220.84</v>
      </c>
      <c r="C152" s="50">
        <f>VLOOKUP($A152,'Data Vlaue (Cr)'!$C:$FB,11)*100</f>
        <v>-0.64</v>
      </c>
      <c r="D152" s="50">
        <f>VLOOKUP($A152,'Data Vlaue (Cr)'!$C:$FB,143)</f>
        <v>188.44</v>
      </c>
      <c r="E152" s="50">
        <f>VLOOKUP($A152,'Data Vlaue (Cr)'!$C:$FB,144)</f>
        <v>255.81</v>
      </c>
      <c r="F152" s="50">
        <f>VLOOKUP($A152,'Data Vlaue (Cr)'!$C:$FB,146)*100</f>
        <v>-26.33</v>
      </c>
      <c r="G152" s="49">
        <f>VLOOKUP($A152,'Data Vlaue (Cr)'!$C:$FB,43)</f>
        <v>55</v>
      </c>
      <c r="H152" s="49">
        <f>VLOOKUP($A152,'Data Vlaue (Cr)'!$C:$FB,44)</f>
        <v>67</v>
      </c>
      <c r="I152" s="49">
        <f>VLOOKUP($A152,'Data Vlaue (Cr)'!$C:$FB,46)*100</f>
        <v>-17.130000000000003</v>
      </c>
      <c r="J152" s="51">
        <f>VLOOKUP($A152,'Data Vlaue (Cr)'!$C:$FB,59)</f>
        <v>93</v>
      </c>
      <c r="K152" s="51">
        <f>VLOOKUP($A152,'Data Vlaue (Cr)'!$C:$FB,60)</f>
        <v>116</v>
      </c>
      <c r="L152" s="51">
        <f>VLOOKUP($A152,'Data Vlaue (Cr)'!$C:$FB,62)*100</f>
        <v>-20.330000000000002</v>
      </c>
      <c r="M152" s="51">
        <f>VLOOKUP($A152,'Data Vlaue (Cr)'!$C:$FB,63)</f>
        <v>37</v>
      </c>
      <c r="N152" s="51">
        <f>VLOOKUP($A152,'Data Vlaue (Cr)'!$C:$FB,64)</f>
        <v>69</v>
      </c>
      <c r="O152" s="51">
        <f>VLOOKUP($A152,'Data Vlaue (Cr)'!$C:$FB,66)*100</f>
        <v>-46.53</v>
      </c>
    </row>
    <row r="153" spans="1:15" x14ac:dyDescent="0.25">
      <c r="A153" s="101" t="str">
        <f>'Data Vlaue (Cr)'!C148</f>
        <v>NESTLEIND</v>
      </c>
      <c r="B153" s="50">
        <f>VLOOKUP($A153,'Data Vlaue (Cr)'!$C:$FB,8)</f>
        <v>1190.3</v>
      </c>
      <c r="C153" s="50">
        <f>VLOOKUP($A153,'Data Vlaue (Cr)'!$C:$FB,11)*100</f>
        <v>2.4899999999999998</v>
      </c>
      <c r="D153" s="50">
        <f>VLOOKUP($A153,'Data Vlaue (Cr)'!$C:$FB,143)</f>
        <v>2717.07</v>
      </c>
      <c r="E153" s="50">
        <f>VLOOKUP($A153,'Data Vlaue (Cr)'!$C:$FB,144)</f>
        <v>1787.43</v>
      </c>
      <c r="F153" s="50">
        <f>VLOOKUP($A153,'Data Vlaue (Cr)'!$C:$FB,146)*100</f>
        <v>52.01</v>
      </c>
      <c r="G153" s="49">
        <f>VLOOKUP($A153,'Data Vlaue (Cr)'!$C:$FB,43)</f>
        <v>469</v>
      </c>
      <c r="H153" s="49">
        <f>VLOOKUP($A153,'Data Vlaue (Cr)'!$C:$FB,44)</f>
        <v>322</v>
      </c>
      <c r="I153" s="49">
        <f>VLOOKUP($A153,'Data Vlaue (Cr)'!$C:$FB,46)*100</f>
        <v>45.58</v>
      </c>
      <c r="J153" s="51">
        <f>VLOOKUP($A153,'Data Vlaue (Cr)'!$C:$FB,59)</f>
        <v>1672</v>
      </c>
      <c r="K153" s="51">
        <f>VLOOKUP($A153,'Data Vlaue (Cr)'!$C:$FB,60)</f>
        <v>948</v>
      </c>
      <c r="L153" s="51">
        <f>VLOOKUP($A153,'Data Vlaue (Cr)'!$C:$FB,62)*100</f>
        <v>76.34</v>
      </c>
      <c r="M153" s="51">
        <f>VLOOKUP($A153,'Data Vlaue (Cr)'!$C:$FB,63)</f>
        <v>572</v>
      </c>
      <c r="N153" s="51">
        <f>VLOOKUP($A153,'Data Vlaue (Cr)'!$C:$FB,64)</f>
        <v>563</v>
      </c>
      <c r="O153" s="51">
        <f>VLOOKUP($A153,'Data Vlaue (Cr)'!$C:$FB,66)*100</f>
        <v>1.6199999999999999</v>
      </c>
    </row>
    <row r="154" spans="1:15" x14ac:dyDescent="0.25">
      <c r="A154" s="101" t="str">
        <f>'Data Vlaue (Cr)'!C149</f>
        <v>NHPC</v>
      </c>
      <c r="B154" s="50">
        <f>VLOOKUP($A154,'Data Vlaue (Cr)'!$C:$FB,8)</f>
        <v>82.76</v>
      </c>
      <c r="C154" s="50">
        <f>VLOOKUP($A154,'Data Vlaue (Cr)'!$C:$FB,11)*100</f>
        <v>0.82000000000000006</v>
      </c>
      <c r="D154" s="50">
        <f>VLOOKUP($A154,'Data Vlaue (Cr)'!$C:$FB,143)</f>
        <v>262.58</v>
      </c>
      <c r="E154" s="50">
        <f>VLOOKUP($A154,'Data Vlaue (Cr)'!$C:$FB,144)</f>
        <v>203.05</v>
      </c>
      <c r="F154" s="50">
        <f>VLOOKUP($A154,'Data Vlaue (Cr)'!$C:$FB,146)*100</f>
        <v>29.32</v>
      </c>
      <c r="G154" s="49">
        <f>VLOOKUP($A154,'Data Vlaue (Cr)'!$C:$FB,43)</f>
        <v>90</v>
      </c>
      <c r="H154" s="49">
        <f>VLOOKUP($A154,'Data Vlaue (Cr)'!$C:$FB,44)</f>
        <v>80</v>
      </c>
      <c r="I154" s="49">
        <f>VLOOKUP($A154,'Data Vlaue (Cr)'!$C:$FB,46)*100</f>
        <v>12.509999999999998</v>
      </c>
      <c r="J154" s="51">
        <f>VLOOKUP($A154,'Data Vlaue (Cr)'!$C:$FB,59)</f>
        <v>112</v>
      </c>
      <c r="K154" s="51">
        <f>VLOOKUP($A154,'Data Vlaue (Cr)'!$C:$FB,60)</f>
        <v>82</v>
      </c>
      <c r="L154" s="51">
        <f>VLOOKUP($A154,'Data Vlaue (Cr)'!$C:$FB,62)*100</f>
        <v>37.74</v>
      </c>
      <c r="M154" s="51">
        <f>VLOOKUP($A154,'Data Vlaue (Cr)'!$C:$FB,63)</f>
        <v>58</v>
      </c>
      <c r="N154" s="51">
        <f>VLOOKUP($A154,'Data Vlaue (Cr)'!$C:$FB,64)</f>
        <v>41</v>
      </c>
      <c r="O154" s="51">
        <f>VLOOKUP($A154,'Data Vlaue (Cr)'!$C:$FB,66)*100</f>
        <v>43.96</v>
      </c>
    </row>
    <row r="155" spans="1:15" x14ac:dyDescent="0.25">
      <c r="A155" s="101" t="str">
        <f>'Data Vlaue (Cr)'!C150</f>
        <v>NIFTY</v>
      </c>
      <c r="B155" s="50">
        <f>VLOOKUP($A155,'Data Vlaue (Cr)'!$C:$FB,8)</f>
        <v>25050.55</v>
      </c>
      <c r="C155" s="50">
        <f>VLOOKUP($A155,'Data Vlaue (Cr)'!$C:$FB,11)*100</f>
        <v>0.27999999999999997</v>
      </c>
      <c r="D155" s="50">
        <f>VLOOKUP($A155,'Data Vlaue (Cr)'!$C:$FB,143)</f>
        <v>17982691.859999999</v>
      </c>
      <c r="E155" s="50">
        <f>VLOOKUP($A155,'Data Vlaue (Cr)'!$C:$FB,144)</f>
        <v>10771770.810000001</v>
      </c>
      <c r="F155" s="50">
        <f>VLOOKUP($A155,'Data Vlaue (Cr)'!$C:$FB,146)*100</f>
        <v>66.94</v>
      </c>
      <c r="G155" s="49">
        <f>VLOOKUP($A155,'Data Vlaue (Cr)'!$C:$FB,43)</f>
        <v>12359</v>
      </c>
      <c r="H155" s="49">
        <f>VLOOKUP($A155,'Data Vlaue (Cr)'!$C:$FB,44)</f>
        <v>10299</v>
      </c>
      <c r="I155" s="49">
        <f>VLOOKUP($A155,'Data Vlaue (Cr)'!$C:$FB,46)*100</f>
        <v>20</v>
      </c>
      <c r="J155" s="51">
        <f>VLOOKUP($A155,'Data Vlaue (Cr)'!$C:$FB,59)</f>
        <v>9914029</v>
      </c>
      <c r="K155" s="51">
        <f>VLOOKUP($A155,'Data Vlaue (Cr)'!$C:$FB,60)</f>
        <v>5927158</v>
      </c>
      <c r="L155" s="51">
        <f>VLOOKUP($A155,'Data Vlaue (Cr)'!$C:$FB,62)*100</f>
        <v>67.259999999999991</v>
      </c>
      <c r="M155" s="51">
        <f>VLOOKUP($A155,'Data Vlaue (Cr)'!$C:$FB,63)</f>
        <v>8086867</v>
      </c>
      <c r="N155" s="51">
        <f>VLOOKUP($A155,'Data Vlaue (Cr)'!$C:$FB,64)</f>
        <v>4867500</v>
      </c>
      <c r="O155" s="51">
        <f>VLOOKUP($A155,'Data Vlaue (Cr)'!$C:$FB,66)*100</f>
        <v>66.14</v>
      </c>
    </row>
    <row r="156" spans="1:15" x14ac:dyDescent="0.25">
      <c r="A156" s="101" t="str">
        <f>'Data Vlaue (Cr)'!C151</f>
        <v>NIFTYNXT50</v>
      </c>
      <c r="B156" s="50">
        <f>VLOOKUP($A156,'Data Vlaue (Cr)'!$C:$FB,8)</f>
        <v>68164.3</v>
      </c>
      <c r="C156" s="50">
        <f>VLOOKUP($A156,'Data Vlaue (Cr)'!$C:$FB,11)*100</f>
        <v>0.38</v>
      </c>
      <c r="D156" s="50">
        <f>VLOOKUP($A156,'Data Vlaue (Cr)'!$C:$FB,143)</f>
        <v>160.09</v>
      </c>
      <c r="E156" s="50">
        <f>VLOOKUP($A156,'Data Vlaue (Cr)'!$C:$FB,144)</f>
        <v>99.82</v>
      </c>
      <c r="F156" s="50">
        <f>VLOOKUP($A156,'Data Vlaue (Cr)'!$C:$FB,146)*100</f>
        <v>60.38</v>
      </c>
      <c r="G156" s="49">
        <f>VLOOKUP($A156,'Data Vlaue (Cr)'!$C:$FB,43)</f>
        <v>19</v>
      </c>
      <c r="H156" s="49">
        <f>VLOOKUP($A156,'Data Vlaue (Cr)'!$C:$FB,44)</f>
        <v>30</v>
      </c>
      <c r="I156" s="49">
        <f>VLOOKUP($A156,'Data Vlaue (Cr)'!$C:$FB,46)*100</f>
        <v>-37.29</v>
      </c>
      <c r="J156" s="51">
        <f>VLOOKUP($A156,'Data Vlaue (Cr)'!$C:$FB,59)</f>
        <v>97</v>
      </c>
      <c r="K156" s="51">
        <f>VLOOKUP($A156,'Data Vlaue (Cr)'!$C:$FB,60)</f>
        <v>34</v>
      </c>
      <c r="L156" s="51">
        <f>VLOOKUP($A156,'Data Vlaue (Cr)'!$C:$FB,62)*100</f>
        <v>185.5</v>
      </c>
      <c r="M156" s="51">
        <f>VLOOKUP($A156,'Data Vlaue (Cr)'!$C:$FB,63)</f>
        <v>42</v>
      </c>
      <c r="N156" s="51">
        <f>VLOOKUP($A156,'Data Vlaue (Cr)'!$C:$FB,64)</f>
        <v>36</v>
      </c>
      <c r="O156" s="51">
        <f>VLOOKUP($A156,'Data Vlaue (Cr)'!$C:$FB,66)*100</f>
        <v>16.509999999999998</v>
      </c>
    </row>
    <row r="157" spans="1:15" x14ac:dyDescent="0.25">
      <c r="A157" s="101" t="str">
        <f>'Data Vlaue (Cr)'!C152</f>
        <v>NMDC</v>
      </c>
      <c r="B157" s="50">
        <f>VLOOKUP($A157,'Data Vlaue (Cr)'!$C:$FB,8)</f>
        <v>71.819999999999993</v>
      </c>
      <c r="C157" s="50">
        <f>VLOOKUP($A157,'Data Vlaue (Cr)'!$C:$FB,11)*100</f>
        <v>1.5599999999999998</v>
      </c>
      <c r="D157" s="50">
        <f>VLOOKUP($A157,'Data Vlaue (Cr)'!$C:$FB,143)</f>
        <v>2973.42</v>
      </c>
      <c r="E157" s="50">
        <f>VLOOKUP($A157,'Data Vlaue (Cr)'!$C:$FB,144)</f>
        <v>1358.93</v>
      </c>
      <c r="F157" s="50">
        <f>VLOOKUP($A157,'Data Vlaue (Cr)'!$C:$FB,146)*100</f>
        <v>118.80999999999999</v>
      </c>
      <c r="G157" s="49">
        <f>VLOOKUP($A157,'Data Vlaue (Cr)'!$C:$FB,43)</f>
        <v>587</v>
      </c>
      <c r="H157" s="49">
        <f>VLOOKUP($A157,'Data Vlaue (Cr)'!$C:$FB,44)</f>
        <v>376</v>
      </c>
      <c r="I157" s="49">
        <f>VLOOKUP($A157,'Data Vlaue (Cr)'!$C:$FB,46)*100</f>
        <v>56.210000000000008</v>
      </c>
      <c r="J157" s="51">
        <f>VLOOKUP($A157,'Data Vlaue (Cr)'!$C:$FB,59)</f>
        <v>1673</v>
      </c>
      <c r="K157" s="51">
        <f>VLOOKUP($A157,'Data Vlaue (Cr)'!$C:$FB,60)</f>
        <v>603</v>
      </c>
      <c r="L157" s="51">
        <f>VLOOKUP($A157,'Data Vlaue (Cr)'!$C:$FB,62)*100</f>
        <v>177.43</v>
      </c>
      <c r="M157" s="51">
        <f>VLOOKUP($A157,'Data Vlaue (Cr)'!$C:$FB,63)</f>
        <v>650</v>
      </c>
      <c r="N157" s="51">
        <f>VLOOKUP($A157,'Data Vlaue (Cr)'!$C:$FB,64)</f>
        <v>368</v>
      </c>
      <c r="O157" s="51">
        <f>VLOOKUP($A157,'Data Vlaue (Cr)'!$C:$FB,66)*100</f>
        <v>76.75</v>
      </c>
    </row>
    <row r="158" spans="1:15" x14ac:dyDescent="0.25">
      <c r="A158" s="101" t="str">
        <f>'Data Vlaue (Cr)'!C153</f>
        <v>NTPC</v>
      </c>
      <c r="B158" s="50">
        <f>VLOOKUP($A158,'Data Vlaue (Cr)'!$C:$FB,8)</f>
        <v>342</v>
      </c>
      <c r="C158" s="50">
        <f>VLOOKUP($A158,'Data Vlaue (Cr)'!$C:$FB,11)*100</f>
        <v>2.0699999999999998</v>
      </c>
      <c r="D158" s="50">
        <f>VLOOKUP($A158,'Data Vlaue (Cr)'!$C:$FB,143)</f>
        <v>5454.14</v>
      </c>
      <c r="E158" s="50">
        <f>VLOOKUP($A158,'Data Vlaue (Cr)'!$C:$FB,144)</f>
        <v>2757.32</v>
      </c>
      <c r="F158" s="50">
        <f>VLOOKUP($A158,'Data Vlaue (Cr)'!$C:$FB,146)*100</f>
        <v>97.81</v>
      </c>
      <c r="G158" s="49">
        <f>VLOOKUP($A158,'Data Vlaue (Cr)'!$C:$FB,43)</f>
        <v>707</v>
      </c>
      <c r="H158" s="49">
        <f>VLOOKUP($A158,'Data Vlaue (Cr)'!$C:$FB,44)</f>
        <v>477</v>
      </c>
      <c r="I158" s="49">
        <f>VLOOKUP($A158,'Data Vlaue (Cr)'!$C:$FB,46)*100</f>
        <v>48.14</v>
      </c>
      <c r="J158" s="51">
        <f>VLOOKUP($A158,'Data Vlaue (Cr)'!$C:$FB,59)</f>
        <v>3588</v>
      </c>
      <c r="K158" s="51">
        <f>VLOOKUP($A158,'Data Vlaue (Cr)'!$C:$FB,60)</f>
        <v>1505</v>
      </c>
      <c r="L158" s="51">
        <f>VLOOKUP($A158,'Data Vlaue (Cr)'!$C:$FB,62)*100</f>
        <v>138.35</v>
      </c>
      <c r="M158" s="51">
        <f>VLOOKUP($A158,'Data Vlaue (Cr)'!$C:$FB,63)</f>
        <v>1112</v>
      </c>
      <c r="N158" s="51">
        <f>VLOOKUP($A158,'Data Vlaue (Cr)'!$C:$FB,64)</f>
        <v>758</v>
      </c>
      <c r="O158" s="51">
        <f>VLOOKUP($A158,'Data Vlaue (Cr)'!$C:$FB,66)*100</f>
        <v>46.79</v>
      </c>
    </row>
    <row r="159" spans="1:15" x14ac:dyDescent="0.25">
      <c r="A159" s="101" t="str">
        <f>'Data Vlaue (Cr)'!C154</f>
        <v>NUVAMA</v>
      </c>
      <c r="B159" s="50">
        <f>VLOOKUP($A159,'Data Vlaue (Cr)'!$C:$FB,8)</f>
        <v>6854.5</v>
      </c>
      <c r="C159" s="50">
        <f>VLOOKUP($A159,'Data Vlaue (Cr)'!$C:$FB,11)*100</f>
        <v>0.96</v>
      </c>
      <c r="D159" s="50">
        <f>VLOOKUP($A159,'Data Vlaue (Cr)'!$C:$FB,143)</f>
        <v>1161.6600000000001</v>
      </c>
      <c r="E159" s="50">
        <f>VLOOKUP($A159,'Data Vlaue (Cr)'!$C:$FB,144)</f>
        <v>927.55</v>
      </c>
      <c r="F159" s="50">
        <f>VLOOKUP($A159,'Data Vlaue (Cr)'!$C:$FB,146)*100</f>
        <v>25.240000000000002</v>
      </c>
      <c r="G159" s="49">
        <f>VLOOKUP($A159,'Data Vlaue (Cr)'!$C:$FB,43)</f>
        <v>122</v>
      </c>
      <c r="H159" s="49">
        <f>VLOOKUP($A159,'Data Vlaue (Cr)'!$C:$FB,44)</f>
        <v>124</v>
      </c>
      <c r="I159" s="49">
        <f>VLOOKUP($A159,'Data Vlaue (Cr)'!$C:$FB,46)*100</f>
        <v>-1.41</v>
      </c>
      <c r="J159" s="51">
        <f>VLOOKUP($A159,'Data Vlaue (Cr)'!$C:$FB,59)</f>
        <v>678</v>
      </c>
      <c r="K159" s="51">
        <f>VLOOKUP($A159,'Data Vlaue (Cr)'!$C:$FB,60)</f>
        <v>416</v>
      </c>
      <c r="L159" s="51">
        <f>VLOOKUP($A159,'Data Vlaue (Cr)'!$C:$FB,62)*100</f>
        <v>62.91</v>
      </c>
      <c r="M159" s="51">
        <f>VLOOKUP($A159,'Data Vlaue (Cr)'!$C:$FB,63)</f>
        <v>342</v>
      </c>
      <c r="N159" s="51">
        <f>VLOOKUP($A159,'Data Vlaue (Cr)'!$C:$FB,64)</f>
        <v>383</v>
      </c>
      <c r="O159" s="51">
        <f>VLOOKUP($A159,'Data Vlaue (Cr)'!$C:$FB,66)*100</f>
        <v>-10.82</v>
      </c>
    </row>
    <row r="160" spans="1:15" x14ac:dyDescent="0.25">
      <c r="A160" s="101" t="str">
        <f>'Data Vlaue (Cr)'!C155</f>
        <v>NYKAA</v>
      </c>
      <c r="B160" s="50">
        <f>VLOOKUP($A160,'Data Vlaue (Cr)'!$C:$FB,8)</f>
        <v>225.18</v>
      </c>
      <c r="C160" s="50">
        <f>VLOOKUP($A160,'Data Vlaue (Cr)'!$C:$FB,11)*100</f>
        <v>-0.73</v>
      </c>
      <c r="D160" s="50">
        <f>VLOOKUP($A160,'Data Vlaue (Cr)'!$C:$FB,143)</f>
        <v>1235.8699999999999</v>
      </c>
      <c r="E160" s="50">
        <f>VLOOKUP($A160,'Data Vlaue (Cr)'!$C:$FB,144)</f>
        <v>2144.3200000000002</v>
      </c>
      <c r="F160" s="50">
        <f>VLOOKUP($A160,'Data Vlaue (Cr)'!$C:$FB,146)*100</f>
        <v>-42.370000000000005</v>
      </c>
      <c r="G160" s="49">
        <f>VLOOKUP($A160,'Data Vlaue (Cr)'!$C:$FB,43)</f>
        <v>326</v>
      </c>
      <c r="H160" s="49">
        <f>VLOOKUP($A160,'Data Vlaue (Cr)'!$C:$FB,44)</f>
        <v>402</v>
      </c>
      <c r="I160" s="49">
        <f>VLOOKUP($A160,'Data Vlaue (Cr)'!$C:$FB,46)*100</f>
        <v>-18.93</v>
      </c>
      <c r="J160" s="51">
        <f>VLOOKUP($A160,'Data Vlaue (Cr)'!$C:$FB,59)</f>
        <v>638</v>
      </c>
      <c r="K160" s="51">
        <f>VLOOKUP($A160,'Data Vlaue (Cr)'!$C:$FB,60)</f>
        <v>1315</v>
      </c>
      <c r="L160" s="51">
        <f>VLOOKUP($A160,'Data Vlaue (Cr)'!$C:$FB,62)*100</f>
        <v>-51.49</v>
      </c>
      <c r="M160" s="51">
        <f>VLOOKUP($A160,'Data Vlaue (Cr)'!$C:$FB,63)</f>
        <v>250</v>
      </c>
      <c r="N160" s="51">
        <f>VLOOKUP($A160,'Data Vlaue (Cr)'!$C:$FB,64)</f>
        <v>409</v>
      </c>
      <c r="O160" s="51">
        <f>VLOOKUP($A160,'Data Vlaue (Cr)'!$C:$FB,66)*100</f>
        <v>-38.72</v>
      </c>
    </row>
    <row r="161" spans="1:15" x14ac:dyDescent="0.25">
      <c r="A161" s="101" t="str">
        <f>'Data Vlaue (Cr)'!C156</f>
        <v>OBEROIRLTY</v>
      </c>
      <c r="B161" s="50">
        <f>VLOOKUP($A161,'Data Vlaue (Cr)'!$C:$FB,8)</f>
        <v>1656.9</v>
      </c>
      <c r="C161" s="50">
        <f>VLOOKUP($A161,'Data Vlaue (Cr)'!$C:$FB,11)*100</f>
        <v>0.44999999999999996</v>
      </c>
      <c r="D161" s="50">
        <f>VLOOKUP($A161,'Data Vlaue (Cr)'!$C:$FB,143)</f>
        <v>507.89</v>
      </c>
      <c r="E161" s="50">
        <f>VLOOKUP($A161,'Data Vlaue (Cr)'!$C:$FB,144)</f>
        <v>379.97</v>
      </c>
      <c r="F161" s="50">
        <f>VLOOKUP($A161,'Data Vlaue (Cr)'!$C:$FB,146)*100</f>
        <v>33.660000000000004</v>
      </c>
      <c r="G161" s="49">
        <f>VLOOKUP($A161,'Data Vlaue (Cr)'!$C:$FB,43)</f>
        <v>113</v>
      </c>
      <c r="H161" s="49">
        <f>VLOOKUP($A161,'Data Vlaue (Cr)'!$C:$FB,44)</f>
        <v>112</v>
      </c>
      <c r="I161" s="49">
        <f>VLOOKUP($A161,'Data Vlaue (Cr)'!$C:$FB,46)*100</f>
        <v>1.67</v>
      </c>
      <c r="J161" s="51">
        <f>VLOOKUP($A161,'Data Vlaue (Cr)'!$C:$FB,59)</f>
        <v>308</v>
      </c>
      <c r="K161" s="51">
        <f>VLOOKUP($A161,'Data Vlaue (Cr)'!$C:$FB,60)</f>
        <v>166</v>
      </c>
      <c r="L161" s="51">
        <f>VLOOKUP($A161,'Data Vlaue (Cr)'!$C:$FB,62)*100</f>
        <v>85.84</v>
      </c>
      <c r="M161" s="51">
        <f>VLOOKUP($A161,'Data Vlaue (Cr)'!$C:$FB,63)</f>
        <v>77</v>
      </c>
      <c r="N161" s="51">
        <f>VLOOKUP($A161,'Data Vlaue (Cr)'!$C:$FB,64)</f>
        <v>104</v>
      </c>
      <c r="O161" s="51">
        <f>VLOOKUP($A161,'Data Vlaue (Cr)'!$C:$FB,66)*100</f>
        <v>-26.450000000000003</v>
      </c>
    </row>
    <row r="162" spans="1:15" x14ac:dyDescent="0.25">
      <c r="A162" s="101" t="str">
        <f>'Data Vlaue (Cr)'!C157</f>
        <v>OFSS</v>
      </c>
      <c r="B162" s="50">
        <f>VLOOKUP($A162,'Data Vlaue (Cr)'!$C:$FB,8)</f>
        <v>8763</v>
      </c>
      <c r="C162" s="50">
        <f>VLOOKUP($A162,'Data Vlaue (Cr)'!$C:$FB,11)*100</f>
        <v>1.9300000000000002</v>
      </c>
      <c r="D162" s="50">
        <f>VLOOKUP($A162,'Data Vlaue (Cr)'!$C:$FB,143)</f>
        <v>2265.4299999999998</v>
      </c>
      <c r="E162" s="50">
        <f>VLOOKUP($A162,'Data Vlaue (Cr)'!$C:$FB,144)</f>
        <v>686.79</v>
      </c>
      <c r="F162" s="50">
        <f>VLOOKUP($A162,'Data Vlaue (Cr)'!$C:$FB,146)*100</f>
        <v>229.85999999999999</v>
      </c>
      <c r="G162" s="49">
        <f>VLOOKUP($A162,'Data Vlaue (Cr)'!$C:$FB,43)</f>
        <v>314</v>
      </c>
      <c r="H162" s="49">
        <f>VLOOKUP($A162,'Data Vlaue (Cr)'!$C:$FB,44)</f>
        <v>101</v>
      </c>
      <c r="I162" s="49">
        <f>VLOOKUP($A162,'Data Vlaue (Cr)'!$C:$FB,46)*100</f>
        <v>212.59</v>
      </c>
      <c r="J162" s="51">
        <f>VLOOKUP($A162,'Data Vlaue (Cr)'!$C:$FB,59)</f>
        <v>1436</v>
      </c>
      <c r="K162" s="51">
        <f>VLOOKUP($A162,'Data Vlaue (Cr)'!$C:$FB,60)</f>
        <v>476</v>
      </c>
      <c r="L162" s="51">
        <f>VLOOKUP($A162,'Data Vlaue (Cr)'!$C:$FB,62)*100</f>
        <v>202.02</v>
      </c>
      <c r="M162" s="51">
        <f>VLOOKUP($A162,'Data Vlaue (Cr)'!$C:$FB,63)</f>
        <v>492</v>
      </c>
      <c r="N162" s="51">
        <f>VLOOKUP($A162,'Data Vlaue (Cr)'!$C:$FB,64)</f>
        <v>112</v>
      </c>
      <c r="O162" s="51">
        <f>VLOOKUP($A162,'Data Vlaue (Cr)'!$C:$FB,66)*100</f>
        <v>340.99</v>
      </c>
    </row>
    <row r="163" spans="1:15" x14ac:dyDescent="0.25">
      <c r="A163" s="101" t="str">
        <f>'Data Vlaue (Cr)'!C158</f>
        <v>OIL</v>
      </c>
      <c r="B163" s="50">
        <f>VLOOKUP($A163,'Data Vlaue (Cr)'!$C:$FB,8)</f>
        <v>408</v>
      </c>
      <c r="C163" s="50">
        <f>VLOOKUP($A163,'Data Vlaue (Cr)'!$C:$FB,11)*100</f>
        <v>-0.02</v>
      </c>
      <c r="D163" s="50">
        <f>VLOOKUP($A163,'Data Vlaue (Cr)'!$C:$FB,143)</f>
        <v>349.35</v>
      </c>
      <c r="E163" s="50">
        <f>VLOOKUP($A163,'Data Vlaue (Cr)'!$C:$FB,144)</f>
        <v>326.69</v>
      </c>
      <c r="F163" s="50">
        <f>VLOOKUP($A163,'Data Vlaue (Cr)'!$C:$FB,146)*100</f>
        <v>6.94</v>
      </c>
      <c r="G163" s="49">
        <f>VLOOKUP($A163,'Data Vlaue (Cr)'!$C:$FB,43)</f>
        <v>133</v>
      </c>
      <c r="H163" s="49">
        <f>VLOOKUP($A163,'Data Vlaue (Cr)'!$C:$FB,44)</f>
        <v>65</v>
      </c>
      <c r="I163" s="49">
        <f>VLOOKUP($A163,'Data Vlaue (Cr)'!$C:$FB,46)*100</f>
        <v>105.91999999999999</v>
      </c>
      <c r="J163" s="51">
        <f>VLOOKUP($A163,'Data Vlaue (Cr)'!$C:$FB,59)</f>
        <v>147</v>
      </c>
      <c r="K163" s="51">
        <f>VLOOKUP($A163,'Data Vlaue (Cr)'!$C:$FB,60)</f>
        <v>185</v>
      </c>
      <c r="L163" s="51">
        <f>VLOOKUP($A163,'Data Vlaue (Cr)'!$C:$FB,62)*100</f>
        <v>-20.25</v>
      </c>
      <c r="M163" s="51">
        <f>VLOOKUP($A163,'Data Vlaue (Cr)'!$C:$FB,63)</f>
        <v>64</v>
      </c>
      <c r="N163" s="51">
        <f>VLOOKUP($A163,'Data Vlaue (Cr)'!$C:$FB,64)</f>
        <v>71</v>
      </c>
      <c r="O163" s="51">
        <f>VLOOKUP($A163,'Data Vlaue (Cr)'!$C:$FB,66)*100</f>
        <v>-9.9699999999999989</v>
      </c>
    </row>
    <row r="164" spans="1:15" x14ac:dyDescent="0.25">
      <c r="A164" s="101" t="str">
        <f>'Data Vlaue (Cr)'!C159</f>
        <v>ONGC</v>
      </c>
      <c r="B164" s="50">
        <f>VLOOKUP($A164,'Data Vlaue (Cr)'!$C:$FB,8)</f>
        <v>237.93</v>
      </c>
      <c r="C164" s="50">
        <f>VLOOKUP($A164,'Data Vlaue (Cr)'!$C:$FB,11)*100</f>
        <v>0</v>
      </c>
      <c r="D164" s="50">
        <f>VLOOKUP($A164,'Data Vlaue (Cr)'!$C:$FB,143)</f>
        <v>1546.18</v>
      </c>
      <c r="E164" s="50">
        <f>VLOOKUP($A164,'Data Vlaue (Cr)'!$C:$FB,144)</f>
        <v>1093.6300000000001</v>
      </c>
      <c r="F164" s="50">
        <f>VLOOKUP($A164,'Data Vlaue (Cr)'!$C:$FB,146)*100</f>
        <v>41.38</v>
      </c>
      <c r="G164" s="49">
        <f>VLOOKUP($A164,'Data Vlaue (Cr)'!$C:$FB,43)</f>
        <v>176</v>
      </c>
      <c r="H164" s="49">
        <f>VLOOKUP($A164,'Data Vlaue (Cr)'!$C:$FB,44)</f>
        <v>177</v>
      </c>
      <c r="I164" s="49">
        <f>VLOOKUP($A164,'Data Vlaue (Cr)'!$C:$FB,46)*100</f>
        <v>-0.54</v>
      </c>
      <c r="J164" s="51">
        <f>VLOOKUP($A164,'Data Vlaue (Cr)'!$C:$FB,59)</f>
        <v>981</v>
      </c>
      <c r="K164" s="51">
        <f>VLOOKUP($A164,'Data Vlaue (Cr)'!$C:$FB,60)</f>
        <v>586</v>
      </c>
      <c r="L164" s="51">
        <f>VLOOKUP($A164,'Data Vlaue (Cr)'!$C:$FB,62)*100</f>
        <v>67.320000000000007</v>
      </c>
      <c r="M164" s="51">
        <f>VLOOKUP($A164,'Data Vlaue (Cr)'!$C:$FB,63)</f>
        <v>367</v>
      </c>
      <c r="N164" s="51">
        <f>VLOOKUP($A164,'Data Vlaue (Cr)'!$C:$FB,64)</f>
        <v>311</v>
      </c>
      <c r="O164" s="51">
        <f>VLOOKUP($A164,'Data Vlaue (Cr)'!$C:$FB,66)*100</f>
        <v>18.07</v>
      </c>
    </row>
    <row r="165" spans="1:15" x14ac:dyDescent="0.25">
      <c r="A165" s="101" t="str">
        <f>'Data Vlaue (Cr)'!C160</f>
        <v>PAGEIND</v>
      </c>
      <c r="B165" s="50">
        <f>VLOOKUP($A165,'Data Vlaue (Cr)'!$C:$FB,8)</f>
        <v>45385</v>
      </c>
      <c r="C165" s="50">
        <f>VLOOKUP($A165,'Data Vlaue (Cr)'!$C:$FB,11)*100</f>
        <v>-0.55999999999999994</v>
      </c>
      <c r="D165" s="50">
        <f>VLOOKUP($A165,'Data Vlaue (Cr)'!$C:$FB,143)</f>
        <v>1135.3800000000001</v>
      </c>
      <c r="E165" s="50">
        <f>VLOOKUP($A165,'Data Vlaue (Cr)'!$C:$FB,144)</f>
        <v>1600.24</v>
      </c>
      <c r="F165" s="50">
        <f>VLOOKUP($A165,'Data Vlaue (Cr)'!$C:$FB,146)*100</f>
        <v>-29.049999999999997</v>
      </c>
      <c r="G165" s="49">
        <f>VLOOKUP($A165,'Data Vlaue (Cr)'!$C:$FB,43)</f>
        <v>174</v>
      </c>
      <c r="H165" s="49">
        <f>VLOOKUP($A165,'Data Vlaue (Cr)'!$C:$FB,44)</f>
        <v>167</v>
      </c>
      <c r="I165" s="49">
        <f>VLOOKUP($A165,'Data Vlaue (Cr)'!$C:$FB,46)*100</f>
        <v>4.12</v>
      </c>
      <c r="J165" s="51">
        <f>VLOOKUP($A165,'Data Vlaue (Cr)'!$C:$FB,59)</f>
        <v>620</v>
      </c>
      <c r="K165" s="51">
        <f>VLOOKUP($A165,'Data Vlaue (Cr)'!$C:$FB,60)</f>
        <v>973</v>
      </c>
      <c r="L165" s="51">
        <f>VLOOKUP($A165,'Data Vlaue (Cr)'!$C:$FB,62)*100</f>
        <v>-36.24</v>
      </c>
      <c r="M165" s="51">
        <f>VLOOKUP($A165,'Data Vlaue (Cr)'!$C:$FB,63)</f>
        <v>319</v>
      </c>
      <c r="N165" s="51">
        <f>VLOOKUP($A165,'Data Vlaue (Cr)'!$C:$FB,64)</f>
        <v>437</v>
      </c>
      <c r="O165" s="51">
        <f>VLOOKUP($A165,'Data Vlaue (Cr)'!$C:$FB,66)*100</f>
        <v>-26.82</v>
      </c>
    </row>
    <row r="166" spans="1:15" x14ac:dyDescent="0.25">
      <c r="A166" s="101" t="str">
        <f>'Data Vlaue (Cr)'!C161</f>
        <v>PATANJALI</v>
      </c>
      <c r="B166" s="50">
        <f>VLOOKUP($A166,'Data Vlaue (Cr)'!$C:$FB,8)</f>
        <v>1813.8</v>
      </c>
      <c r="C166" s="50">
        <f>VLOOKUP($A166,'Data Vlaue (Cr)'!$C:$FB,11)*100</f>
        <v>1.34</v>
      </c>
      <c r="D166" s="50">
        <f>VLOOKUP($A166,'Data Vlaue (Cr)'!$C:$FB,143)</f>
        <v>1130.8800000000001</v>
      </c>
      <c r="E166" s="50">
        <f>VLOOKUP($A166,'Data Vlaue (Cr)'!$C:$FB,144)</f>
        <v>1149.8499999999999</v>
      </c>
      <c r="F166" s="50">
        <f>VLOOKUP($A166,'Data Vlaue (Cr)'!$C:$FB,146)*100</f>
        <v>-1.6500000000000001</v>
      </c>
      <c r="G166" s="49">
        <f>VLOOKUP($A166,'Data Vlaue (Cr)'!$C:$FB,43)</f>
        <v>311</v>
      </c>
      <c r="H166" s="49">
        <f>VLOOKUP($A166,'Data Vlaue (Cr)'!$C:$FB,44)</f>
        <v>534</v>
      </c>
      <c r="I166" s="49">
        <f>VLOOKUP($A166,'Data Vlaue (Cr)'!$C:$FB,46)*100</f>
        <v>-41.69</v>
      </c>
      <c r="J166" s="51">
        <f>VLOOKUP($A166,'Data Vlaue (Cr)'!$C:$FB,59)</f>
        <v>627</v>
      </c>
      <c r="K166" s="51">
        <f>VLOOKUP($A166,'Data Vlaue (Cr)'!$C:$FB,60)</f>
        <v>414</v>
      </c>
      <c r="L166" s="51">
        <f>VLOOKUP($A166,'Data Vlaue (Cr)'!$C:$FB,62)*100</f>
        <v>51.38</v>
      </c>
      <c r="M166" s="51">
        <f>VLOOKUP($A166,'Data Vlaue (Cr)'!$C:$FB,63)</f>
        <v>177</v>
      </c>
      <c r="N166" s="51">
        <f>VLOOKUP($A166,'Data Vlaue (Cr)'!$C:$FB,64)</f>
        <v>200</v>
      </c>
      <c r="O166" s="51">
        <f>VLOOKUP($A166,'Data Vlaue (Cr)'!$C:$FB,66)*100</f>
        <v>-11.52</v>
      </c>
    </row>
    <row r="167" spans="1:15" x14ac:dyDescent="0.25">
      <c r="A167" s="101" t="str">
        <f>'Data Vlaue (Cr)'!C162</f>
        <v>PAYTM</v>
      </c>
      <c r="B167" s="50">
        <f>VLOOKUP($A167,'Data Vlaue (Cr)'!$C:$FB,8)</f>
        <v>1248</v>
      </c>
      <c r="C167" s="50">
        <f>VLOOKUP($A167,'Data Vlaue (Cr)'!$C:$FB,11)*100</f>
        <v>1.78</v>
      </c>
      <c r="D167" s="50">
        <f>VLOOKUP($A167,'Data Vlaue (Cr)'!$C:$FB,143)</f>
        <v>11002.51</v>
      </c>
      <c r="E167" s="50">
        <f>VLOOKUP($A167,'Data Vlaue (Cr)'!$C:$FB,144)</f>
        <v>14838.46</v>
      </c>
      <c r="F167" s="50">
        <f>VLOOKUP($A167,'Data Vlaue (Cr)'!$C:$FB,146)*100</f>
        <v>-25.85</v>
      </c>
      <c r="G167" s="49">
        <f>VLOOKUP($A167,'Data Vlaue (Cr)'!$C:$FB,43)</f>
        <v>1142</v>
      </c>
      <c r="H167" s="49">
        <f>VLOOKUP($A167,'Data Vlaue (Cr)'!$C:$FB,44)</f>
        <v>1832</v>
      </c>
      <c r="I167" s="49">
        <f>VLOOKUP($A167,'Data Vlaue (Cr)'!$C:$FB,46)*100</f>
        <v>-37.669999999999995</v>
      </c>
      <c r="J167" s="51">
        <f>VLOOKUP($A167,'Data Vlaue (Cr)'!$C:$FB,59)</f>
        <v>6653</v>
      </c>
      <c r="K167" s="51">
        <f>VLOOKUP($A167,'Data Vlaue (Cr)'!$C:$FB,60)</f>
        <v>9147</v>
      </c>
      <c r="L167" s="51">
        <f>VLOOKUP($A167,'Data Vlaue (Cr)'!$C:$FB,62)*100</f>
        <v>-27.26</v>
      </c>
      <c r="M167" s="51">
        <f>VLOOKUP($A167,'Data Vlaue (Cr)'!$C:$FB,63)</f>
        <v>3072</v>
      </c>
      <c r="N167" s="51">
        <f>VLOOKUP($A167,'Data Vlaue (Cr)'!$C:$FB,64)</f>
        <v>4098</v>
      </c>
      <c r="O167" s="51">
        <f>VLOOKUP($A167,'Data Vlaue (Cr)'!$C:$FB,66)*100</f>
        <v>-25.040000000000003</v>
      </c>
    </row>
    <row r="168" spans="1:15" x14ac:dyDescent="0.25">
      <c r="A168" s="101" t="str">
        <f>'Data Vlaue (Cr)'!C163</f>
        <v>PERSISTENT</v>
      </c>
      <c r="B168" s="50">
        <f>VLOOKUP($A168,'Data Vlaue (Cr)'!$C:$FB,8)</f>
        <v>5345</v>
      </c>
      <c r="C168" s="50">
        <f>VLOOKUP($A168,'Data Vlaue (Cr)'!$C:$FB,11)*100</f>
        <v>2.0699999999999998</v>
      </c>
      <c r="D168" s="50">
        <f>VLOOKUP($A168,'Data Vlaue (Cr)'!$C:$FB,143)</f>
        <v>3965.69</v>
      </c>
      <c r="E168" s="50">
        <f>VLOOKUP($A168,'Data Vlaue (Cr)'!$C:$FB,144)</f>
        <v>1641.07</v>
      </c>
      <c r="F168" s="50">
        <f>VLOOKUP($A168,'Data Vlaue (Cr)'!$C:$FB,146)*100</f>
        <v>141.65</v>
      </c>
      <c r="G168" s="49">
        <f>VLOOKUP($A168,'Data Vlaue (Cr)'!$C:$FB,43)</f>
        <v>489</v>
      </c>
      <c r="H168" s="49">
        <f>VLOOKUP($A168,'Data Vlaue (Cr)'!$C:$FB,44)</f>
        <v>230</v>
      </c>
      <c r="I168" s="49">
        <f>VLOOKUP($A168,'Data Vlaue (Cr)'!$C:$FB,46)*100</f>
        <v>113.14</v>
      </c>
      <c r="J168" s="51">
        <f>VLOOKUP($A168,'Data Vlaue (Cr)'!$C:$FB,59)</f>
        <v>2501</v>
      </c>
      <c r="K168" s="51">
        <f>VLOOKUP($A168,'Data Vlaue (Cr)'!$C:$FB,60)</f>
        <v>1048</v>
      </c>
      <c r="L168" s="51">
        <f>VLOOKUP($A168,'Data Vlaue (Cr)'!$C:$FB,62)*100</f>
        <v>138.64000000000001</v>
      </c>
      <c r="M168" s="51">
        <f>VLOOKUP($A168,'Data Vlaue (Cr)'!$C:$FB,63)</f>
        <v>930</v>
      </c>
      <c r="N168" s="51">
        <f>VLOOKUP($A168,'Data Vlaue (Cr)'!$C:$FB,64)</f>
        <v>345</v>
      </c>
      <c r="O168" s="51">
        <f>VLOOKUP($A168,'Data Vlaue (Cr)'!$C:$FB,66)*100</f>
        <v>169.3</v>
      </c>
    </row>
    <row r="169" spans="1:15" x14ac:dyDescent="0.25">
      <c r="A169" s="101" t="str">
        <f>'Data Vlaue (Cr)'!C164</f>
        <v>PETRONET</v>
      </c>
      <c r="B169" s="50">
        <f>VLOOKUP($A169,'Data Vlaue (Cr)'!$C:$FB,8)</f>
        <v>280.14999999999998</v>
      </c>
      <c r="C169" s="50">
        <f>VLOOKUP($A169,'Data Vlaue (Cr)'!$C:$FB,11)*100</f>
        <v>-0.97</v>
      </c>
      <c r="D169" s="50">
        <f>VLOOKUP($A169,'Data Vlaue (Cr)'!$C:$FB,143)</f>
        <v>417.89</v>
      </c>
      <c r="E169" s="50">
        <f>VLOOKUP($A169,'Data Vlaue (Cr)'!$C:$FB,144)</f>
        <v>1043.8699999999999</v>
      </c>
      <c r="F169" s="50">
        <f>VLOOKUP($A169,'Data Vlaue (Cr)'!$C:$FB,146)*100</f>
        <v>-59.97</v>
      </c>
      <c r="G169" s="49">
        <f>VLOOKUP($A169,'Data Vlaue (Cr)'!$C:$FB,43)</f>
        <v>93</v>
      </c>
      <c r="H169" s="49">
        <f>VLOOKUP($A169,'Data Vlaue (Cr)'!$C:$FB,44)</f>
        <v>156</v>
      </c>
      <c r="I169" s="49">
        <f>VLOOKUP($A169,'Data Vlaue (Cr)'!$C:$FB,46)*100</f>
        <v>-40.25</v>
      </c>
      <c r="J169" s="51">
        <f>VLOOKUP($A169,'Data Vlaue (Cr)'!$C:$FB,59)</f>
        <v>141</v>
      </c>
      <c r="K169" s="51">
        <f>VLOOKUP($A169,'Data Vlaue (Cr)'!$C:$FB,60)</f>
        <v>545</v>
      </c>
      <c r="L169" s="51">
        <f>VLOOKUP($A169,'Data Vlaue (Cr)'!$C:$FB,62)*100</f>
        <v>-74.039999999999992</v>
      </c>
      <c r="M169" s="51">
        <f>VLOOKUP($A169,'Data Vlaue (Cr)'!$C:$FB,63)</f>
        <v>180</v>
      </c>
      <c r="N169" s="51">
        <f>VLOOKUP($A169,'Data Vlaue (Cr)'!$C:$FB,64)</f>
        <v>332</v>
      </c>
      <c r="O169" s="51">
        <f>VLOOKUP($A169,'Data Vlaue (Cr)'!$C:$FB,66)*100</f>
        <v>-45.64</v>
      </c>
    </row>
    <row r="170" spans="1:15" x14ac:dyDescent="0.25">
      <c r="A170" s="101" t="str">
        <f>'Data Vlaue (Cr)'!C165</f>
        <v>PFC</v>
      </c>
      <c r="B170" s="50">
        <f>VLOOKUP($A170,'Data Vlaue (Cr)'!$C:$FB,8)</f>
        <v>403.4</v>
      </c>
      <c r="C170" s="50">
        <f>VLOOKUP($A170,'Data Vlaue (Cr)'!$C:$FB,11)*100</f>
        <v>-1.6099999999999999</v>
      </c>
      <c r="D170" s="50">
        <f>VLOOKUP($A170,'Data Vlaue (Cr)'!$C:$FB,143)</f>
        <v>2683.55</v>
      </c>
      <c r="E170" s="50">
        <f>VLOOKUP($A170,'Data Vlaue (Cr)'!$C:$FB,144)</f>
        <v>1828.89</v>
      </c>
      <c r="F170" s="50">
        <f>VLOOKUP($A170,'Data Vlaue (Cr)'!$C:$FB,146)*100</f>
        <v>46.73</v>
      </c>
      <c r="G170" s="49">
        <f>VLOOKUP($A170,'Data Vlaue (Cr)'!$C:$FB,43)</f>
        <v>590</v>
      </c>
      <c r="H170" s="49">
        <f>VLOOKUP($A170,'Data Vlaue (Cr)'!$C:$FB,44)</f>
        <v>299</v>
      </c>
      <c r="I170" s="49">
        <f>VLOOKUP($A170,'Data Vlaue (Cr)'!$C:$FB,46)*100</f>
        <v>97.47</v>
      </c>
      <c r="J170" s="51">
        <f>VLOOKUP($A170,'Data Vlaue (Cr)'!$C:$FB,59)</f>
        <v>1303</v>
      </c>
      <c r="K170" s="51">
        <f>VLOOKUP($A170,'Data Vlaue (Cr)'!$C:$FB,60)</f>
        <v>977</v>
      </c>
      <c r="L170" s="51">
        <f>VLOOKUP($A170,'Data Vlaue (Cr)'!$C:$FB,62)*100</f>
        <v>33.300000000000004</v>
      </c>
      <c r="M170" s="51">
        <f>VLOOKUP($A170,'Data Vlaue (Cr)'!$C:$FB,63)</f>
        <v>721</v>
      </c>
      <c r="N170" s="51">
        <f>VLOOKUP($A170,'Data Vlaue (Cr)'!$C:$FB,64)</f>
        <v>490</v>
      </c>
      <c r="O170" s="51">
        <f>VLOOKUP($A170,'Data Vlaue (Cr)'!$C:$FB,66)*100</f>
        <v>47.199999999999996</v>
      </c>
    </row>
    <row r="171" spans="1:15" x14ac:dyDescent="0.25">
      <c r="A171" s="101" t="str">
        <f>'Data Vlaue (Cr)'!C166</f>
        <v>PGEL</v>
      </c>
      <c r="B171" s="50">
        <f>VLOOKUP($A171,'Data Vlaue (Cr)'!$C:$FB,8)</f>
        <v>536.6</v>
      </c>
      <c r="C171" s="50">
        <f>VLOOKUP($A171,'Data Vlaue (Cr)'!$C:$FB,11)*100</f>
        <v>-0.67999999999999994</v>
      </c>
      <c r="D171" s="50">
        <f>VLOOKUP($A171,'Data Vlaue (Cr)'!$C:$FB,143)</f>
        <v>7770.11</v>
      </c>
      <c r="E171" s="50">
        <f>VLOOKUP($A171,'Data Vlaue (Cr)'!$C:$FB,144)</f>
        <v>133.63999999999999</v>
      </c>
      <c r="F171" s="50">
        <f>VLOOKUP($A171,'Data Vlaue (Cr)'!$C:$FB,146)*100</f>
        <v>5714.12</v>
      </c>
      <c r="G171" s="49">
        <f>VLOOKUP($A171,'Data Vlaue (Cr)'!$C:$FB,43)</f>
        <v>961</v>
      </c>
      <c r="H171" s="49">
        <f>VLOOKUP($A171,'Data Vlaue (Cr)'!$C:$FB,44)</f>
        <v>38</v>
      </c>
      <c r="I171" s="49">
        <f>VLOOKUP($A171,'Data Vlaue (Cr)'!$C:$FB,46)*100</f>
        <v>2410.21</v>
      </c>
      <c r="J171" s="51">
        <f>VLOOKUP($A171,'Data Vlaue (Cr)'!$C:$FB,59)</f>
        <v>4429</v>
      </c>
      <c r="K171" s="51">
        <f>VLOOKUP($A171,'Data Vlaue (Cr)'!$C:$FB,60)</f>
        <v>62</v>
      </c>
      <c r="L171" s="51">
        <f>VLOOKUP($A171,'Data Vlaue (Cr)'!$C:$FB,62)*100</f>
        <v>7048.8200000000006</v>
      </c>
      <c r="M171" s="51">
        <f>VLOOKUP($A171,'Data Vlaue (Cr)'!$C:$FB,63)</f>
        <v>1806</v>
      </c>
      <c r="N171" s="51">
        <f>VLOOKUP($A171,'Data Vlaue (Cr)'!$C:$FB,64)</f>
        <v>26</v>
      </c>
      <c r="O171" s="51">
        <f>VLOOKUP($A171,'Data Vlaue (Cr)'!$C:$FB,66)*100</f>
        <v>6981.3</v>
      </c>
    </row>
    <row r="172" spans="1:15" x14ac:dyDescent="0.25">
      <c r="A172" s="101" t="str">
        <f>'Data Vlaue (Cr)'!C167</f>
        <v>PHOENIXLTD</v>
      </c>
      <c r="B172" s="50">
        <f>VLOOKUP($A172,'Data Vlaue (Cr)'!$C:$FB,8)</f>
        <v>1563.5</v>
      </c>
      <c r="C172" s="50">
        <f>VLOOKUP($A172,'Data Vlaue (Cr)'!$C:$FB,11)*100</f>
        <v>4</v>
      </c>
      <c r="D172" s="50">
        <f>VLOOKUP($A172,'Data Vlaue (Cr)'!$C:$FB,143)</f>
        <v>1234.98</v>
      </c>
      <c r="E172" s="50">
        <f>VLOOKUP($A172,'Data Vlaue (Cr)'!$C:$FB,144)</f>
        <v>323.02999999999997</v>
      </c>
      <c r="F172" s="50">
        <f>VLOOKUP($A172,'Data Vlaue (Cr)'!$C:$FB,146)*100</f>
        <v>282.31</v>
      </c>
      <c r="G172" s="49">
        <f>VLOOKUP($A172,'Data Vlaue (Cr)'!$C:$FB,43)</f>
        <v>245</v>
      </c>
      <c r="H172" s="49">
        <f>VLOOKUP($A172,'Data Vlaue (Cr)'!$C:$FB,44)</f>
        <v>93</v>
      </c>
      <c r="I172" s="49">
        <f>VLOOKUP($A172,'Data Vlaue (Cr)'!$C:$FB,46)*100</f>
        <v>164.15</v>
      </c>
      <c r="J172" s="51">
        <f>VLOOKUP($A172,'Data Vlaue (Cr)'!$C:$FB,59)</f>
        <v>757</v>
      </c>
      <c r="K172" s="51">
        <f>VLOOKUP($A172,'Data Vlaue (Cr)'!$C:$FB,60)</f>
        <v>169</v>
      </c>
      <c r="L172" s="51">
        <f>VLOOKUP($A172,'Data Vlaue (Cr)'!$C:$FB,62)*100</f>
        <v>348.48</v>
      </c>
      <c r="M172" s="51">
        <f>VLOOKUP($A172,'Data Vlaue (Cr)'!$C:$FB,63)</f>
        <v>237</v>
      </c>
      <c r="N172" s="51">
        <f>VLOOKUP($A172,'Data Vlaue (Cr)'!$C:$FB,64)</f>
        <v>71</v>
      </c>
      <c r="O172" s="51">
        <f>VLOOKUP($A172,'Data Vlaue (Cr)'!$C:$FB,66)*100</f>
        <v>231.39</v>
      </c>
    </row>
    <row r="173" spans="1:15" x14ac:dyDescent="0.25">
      <c r="A173" s="101" t="str">
        <f>'Data Vlaue (Cr)'!C168</f>
        <v>PIDILITIND</v>
      </c>
      <c r="B173" s="50">
        <f>VLOOKUP($A173,'Data Vlaue (Cr)'!$C:$FB,8)</f>
        <v>3084.6</v>
      </c>
      <c r="C173" s="50">
        <f>VLOOKUP($A173,'Data Vlaue (Cr)'!$C:$FB,11)*100</f>
        <v>-0.33999999999999997</v>
      </c>
      <c r="D173" s="50">
        <f>VLOOKUP($A173,'Data Vlaue (Cr)'!$C:$FB,143)</f>
        <v>332.13</v>
      </c>
      <c r="E173" s="50">
        <f>VLOOKUP($A173,'Data Vlaue (Cr)'!$C:$FB,144)</f>
        <v>675.55</v>
      </c>
      <c r="F173" s="50">
        <f>VLOOKUP($A173,'Data Vlaue (Cr)'!$C:$FB,146)*100</f>
        <v>-50.839999999999996</v>
      </c>
      <c r="G173" s="49">
        <f>VLOOKUP($A173,'Data Vlaue (Cr)'!$C:$FB,43)</f>
        <v>78</v>
      </c>
      <c r="H173" s="49">
        <f>VLOOKUP($A173,'Data Vlaue (Cr)'!$C:$FB,44)</f>
        <v>123</v>
      </c>
      <c r="I173" s="49">
        <f>VLOOKUP($A173,'Data Vlaue (Cr)'!$C:$FB,46)*100</f>
        <v>-36.130000000000003</v>
      </c>
      <c r="J173" s="51">
        <f>VLOOKUP($A173,'Data Vlaue (Cr)'!$C:$FB,59)</f>
        <v>194</v>
      </c>
      <c r="K173" s="51">
        <f>VLOOKUP($A173,'Data Vlaue (Cr)'!$C:$FB,60)</f>
        <v>402</v>
      </c>
      <c r="L173" s="51">
        <f>VLOOKUP($A173,'Data Vlaue (Cr)'!$C:$FB,62)*100</f>
        <v>-51.629999999999995</v>
      </c>
      <c r="M173" s="51">
        <f>VLOOKUP($A173,'Data Vlaue (Cr)'!$C:$FB,63)</f>
        <v>57</v>
      </c>
      <c r="N173" s="51">
        <f>VLOOKUP($A173,'Data Vlaue (Cr)'!$C:$FB,64)</f>
        <v>144</v>
      </c>
      <c r="O173" s="51">
        <f>VLOOKUP($A173,'Data Vlaue (Cr)'!$C:$FB,66)*100</f>
        <v>-60.480000000000004</v>
      </c>
    </row>
    <row r="174" spans="1:15" x14ac:dyDescent="0.25">
      <c r="A174" s="101" t="str">
        <f>'Data Vlaue (Cr)'!C169</f>
        <v>PIIND</v>
      </c>
      <c r="B174" s="50">
        <f>VLOOKUP($A174,'Data Vlaue (Cr)'!$C:$FB,8)</f>
        <v>3796.8</v>
      </c>
      <c r="C174" s="50">
        <f>VLOOKUP($A174,'Data Vlaue (Cr)'!$C:$FB,11)*100</f>
        <v>0.84</v>
      </c>
      <c r="D174" s="50">
        <f>VLOOKUP($A174,'Data Vlaue (Cr)'!$C:$FB,143)</f>
        <v>684.71</v>
      </c>
      <c r="E174" s="50">
        <f>VLOOKUP($A174,'Data Vlaue (Cr)'!$C:$FB,144)</f>
        <v>527.05999999999995</v>
      </c>
      <c r="F174" s="50">
        <f>VLOOKUP($A174,'Data Vlaue (Cr)'!$C:$FB,146)*100</f>
        <v>29.909999999999997</v>
      </c>
      <c r="G174" s="49">
        <f>VLOOKUP($A174,'Data Vlaue (Cr)'!$C:$FB,43)</f>
        <v>147</v>
      </c>
      <c r="H174" s="49">
        <f>VLOOKUP($A174,'Data Vlaue (Cr)'!$C:$FB,44)</f>
        <v>94</v>
      </c>
      <c r="I174" s="49">
        <f>VLOOKUP($A174,'Data Vlaue (Cr)'!$C:$FB,46)*100</f>
        <v>56.000000000000007</v>
      </c>
      <c r="J174" s="51">
        <f>VLOOKUP($A174,'Data Vlaue (Cr)'!$C:$FB,59)</f>
        <v>413</v>
      </c>
      <c r="K174" s="51">
        <f>VLOOKUP($A174,'Data Vlaue (Cr)'!$C:$FB,60)</f>
        <v>292</v>
      </c>
      <c r="L174" s="51">
        <f>VLOOKUP($A174,'Data Vlaue (Cr)'!$C:$FB,62)*100</f>
        <v>41.510000000000005</v>
      </c>
      <c r="M174" s="51">
        <f>VLOOKUP($A174,'Data Vlaue (Cr)'!$C:$FB,63)</f>
        <v>114</v>
      </c>
      <c r="N174" s="51">
        <f>VLOOKUP($A174,'Data Vlaue (Cr)'!$C:$FB,64)</f>
        <v>135</v>
      </c>
      <c r="O174" s="51">
        <f>VLOOKUP($A174,'Data Vlaue (Cr)'!$C:$FB,66)*100</f>
        <v>-15.379999999999999</v>
      </c>
    </row>
    <row r="175" spans="1:15" x14ac:dyDescent="0.25">
      <c r="A175" s="101" t="str">
        <f>'Data Vlaue (Cr)'!C170</f>
        <v>PNB</v>
      </c>
      <c r="B175" s="50">
        <f>VLOOKUP($A175,'Data Vlaue (Cr)'!$C:$FB,8)</f>
        <v>107.11</v>
      </c>
      <c r="C175" s="50">
        <f>VLOOKUP($A175,'Data Vlaue (Cr)'!$C:$FB,11)*100</f>
        <v>-0.73</v>
      </c>
      <c r="D175" s="50">
        <f>VLOOKUP($A175,'Data Vlaue (Cr)'!$C:$FB,143)</f>
        <v>1930.66</v>
      </c>
      <c r="E175" s="50">
        <f>VLOOKUP($A175,'Data Vlaue (Cr)'!$C:$FB,144)</f>
        <v>2151.0100000000002</v>
      </c>
      <c r="F175" s="50">
        <f>VLOOKUP($A175,'Data Vlaue (Cr)'!$C:$FB,146)*100</f>
        <v>-10.24</v>
      </c>
      <c r="G175" s="49">
        <f>VLOOKUP($A175,'Data Vlaue (Cr)'!$C:$FB,43)</f>
        <v>394</v>
      </c>
      <c r="H175" s="49">
        <f>VLOOKUP($A175,'Data Vlaue (Cr)'!$C:$FB,44)</f>
        <v>441</v>
      </c>
      <c r="I175" s="49">
        <f>VLOOKUP($A175,'Data Vlaue (Cr)'!$C:$FB,46)*100</f>
        <v>-10.83</v>
      </c>
      <c r="J175" s="51">
        <f>VLOOKUP($A175,'Data Vlaue (Cr)'!$C:$FB,59)</f>
        <v>947</v>
      </c>
      <c r="K175" s="51">
        <f>VLOOKUP($A175,'Data Vlaue (Cr)'!$C:$FB,60)</f>
        <v>1062</v>
      </c>
      <c r="L175" s="51">
        <f>VLOOKUP($A175,'Data Vlaue (Cr)'!$C:$FB,62)*100</f>
        <v>-10.89</v>
      </c>
      <c r="M175" s="51">
        <f>VLOOKUP($A175,'Data Vlaue (Cr)'!$C:$FB,63)</f>
        <v>553</v>
      </c>
      <c r="N175" s="51">
        <f>VLOOKUP($A175,'Data Vlaue (Cr)'!$C:$FB,64)</f>
        <v>613</v>
      </c>
      <c r="O175" s="51">
        <f>VLOOKUP($A175,'Data Vlaue (Cr)'!$C:$FB,66)*100</f>
        <v>-9.67</v>
      </c>
    </row>
    <row r="176" spans="1:15" x14ac:dyDescent="0.25">
      <c r="A176" s="101" t="str">
        <f>'Data Vlaue (Cr)'!C171</f>
        <v>PNBHOUSING</v>
      </c>
      <c r="B176" s="50">
        <f>VLOOKUP($A176,'Data Vlaue (Cr)'!$C:$FB,8)</f>
        <v>808.45</v>
      </c>
      <c r="C176" s="50">
        <f>VLOOKUP($A176,'Data Vlaue (Cr)'!$C:$FB,11)*100</f>
        <v>-1.1299999999999999</v>
      </c>
      <c r="D176" s="50">
        <f>VLOOKUP($A176,'Data Vlaue (Cr)'!$C:$FB,143)</f>
        <v>1557.55</v>
      </c>
      <c r="E176" s="50">
        <f>VLOOKUP($A176,'Data Vlaue (Cr)'!$C:$FB,144)</f>
        <v>5555.79</v>
      </c>
      <c r="F176" s="50">
        <f>VLOOKUP($A176,'Data Vlaue (Cr)'!$C:$FB,146)*100</f>
        <v>-71.97</v>
      </c>
      <c r="G176" s="49">
        <f>VLOOKUP($A176,'Data Vlaue (Cr)'!$C:$FB,43)</f>
        <v>289</v>
      </c>
      <c r="H176" s="49">
        <f>VLOOKUP($A176,'Data Vlaue (Cr)'!$C:$FB,44)</f>
        <v>952</v>
      </c>
      <c r="I176" s="49">
        <f>VLOOKUP($A176,'Data Vlaue (Cr)'!$C:$FB,46)*100</f>
        <v>-69.650000000000006</v>
      </c>
      <c r="J176" s="51">
        <f>VLOOKUP($A176,'Data Vlaue (Cr)'!$C:$FB,59)</f>
        <v>883</v>
      </c>
      <c r="K176" s="51">
        <f>VLOOKUP($A176,'Data Vlaue (Cr)'!$C:$FB,60)</f>
        <v>3250</v>
      </c>
      <c r="L176" s="51">
        <f>VLOOKUP($A176,'Data Vlaue (Cr)'!$C:$FB,62)*100</f>
        <v>-72.850000000000009</v>
      </c>
      <c r="M176" s="51">
        <f>VLOOKUP($A176,'Data Vlaue (Cr)'!$C:$FB,63)</f>
        <v>334</v>
      </c>
      <c r="N176" s="51">
        <f>VLOOKUP($A176,'Data Vlaue (Cr)'!$C:$FB,64)</f>
        <v>1144</v>
      </c>
      <c r="O176" s="51">
        <f>VLOOKUP($A176,'Data Vlaue (Cr)'!$C:$FB,66)*100</f>
        <v>-70.760000000000005</v>
      </c>
    </row>
    <row r="177" spans="1:15" x14ac:dyDescent="0.25">
      <c r="A177" s="101" t="str">
        <f>'Data Vlaue (Cr)'!C172</f>
        <v>POLICYBZR</v>
      </c>
      <c r="B177" s="50">
        <f>VLOOKUP($A177,'Data Vlaue (Cr)'!$C:$FB,8)</f>
        <v>1921.8</v>
      </c>
      <c r="C177" s="50">
        <f>VLOOKUP($A177,'Data Vlaue (Cr)'!$C:$FB,11)*100</f>
        <v>0.41000000000000003</v>
      </c>
      <c r="D177" s="50">
        <f>VLOOKUP($A177,'Data Vlaue (Cr)'!$C:$FB,143)</f>
        <v>800.42</v>
      </c>
      <c r="E177" s="50">
        <f>VLOOKUP($A177,'Data Vlaue (Cr)'!$C:$FB,144)</f>
        <v>886.94</v>
      </c>
      <c r="F177" s="50">
        <f>VLOOKUP($A177,'Data Vlaue (Cr)'!$C:$FB,146)*100</f>
        <v>-9.75</v>
      </c>
      <c r="G177" s="49">
        <f>VLOOKUP($A177,'Data Vlaue (Cr)'!$C:$FB,43)</f>
        <v>199</v>
      </c>
      <c r="H177" s="49">
        <f>VLOOKUP($A177,'Data Vlaue (Cr)'!$C:$FB,44)</f>
        <v>220</v>
      </c>
      <c r="I177" s="49">
        <f>VLOOKUP($A177,'Data Vlaue (Cr)'!$C:$FB,46)*100</f>
        <v>-9.77</v>
      </c>
      <c r="J177" s="51">
        <f>VLOOKUP($A177,'Data Vlaue (Cr)'!$C:$FB,59)</f>
        <v>440</v>
      </c>
      <c r="K177" s="51">
        <f>VLOOKUP($A177,'Data Vlaue (Cr)'!$C:$FB,60)</f>
        <v>495</v>
      </c>
      <c r="L177" s="51">
        <f>VLOOKUP($A177,'Data Vlaue (Cr)'!$C:$FB,62)*100</f>
        <v>-11.020000000000001</v>
      </c>
      <c r="M177" s="51">
        <f>VLOOKUP($A177,'Data Vlaue (Cr)'!$C:$FB,63)</f>
        <v>151</v>
      </c>
      <c r="N177" s="51">
        <f>VLOOKUP($A177,'Data Vlaue (Cr)'!$C:$FB,64)</f>
        <v>168</v>
      </c>
      <c r="O177" s="51">
        <f>VLOOKUP($A177,'Data Vlaue (Cr)'!$C:$FB,66)*100</f>
        <v>-9.7900000000000009</v>
      </c>
    </row>
    <row r="178" spans="1:15" x14ac:dyDescent="0.25">
      <c r="A178" s="101" t="str">
        <f>'Data Vlaue (Cr)'!C173</f>
        <v>POLYCAB</v>
      </c>
      <c r="B178" s="50">
        <f>VLOOKUP($A178,'Data Vlaue (Cr)'!$C:$FB,8)</f>
        <v>7158</v>
      </c>
      <c r="C178" s="50">
        <f>VLOOKUP($A178,'Data Vlaue (Cr)'!$C:$FB,11)*100</f>
        <v>0.57999999999999996</v>
      </c>
      <c r="D178" s="50">
        <f>VLOOKUP($A178,'Data Vlaue (Cr)'!$C:$FB,143)</f>
        <v>2483.44</v>
      </c>
      <c r="E178" s="50">
        <f>VLOOKUP($A178,'Data Vlaue (Cr)'!$C:$FB,144)</f>
        <v>1430.39</v>
      </c>
      <c r="F178" s="50">
        <f>VLOOKUP($A178,'Data Vlaue (Cr)'!$C:$FB,146)*100</f>
        <v>73.61999999999999</v>
      </c>
      <c r="G178" s="49">
        <f>VLOOKUP($A178,'Data Vlaue (Cr)'!$C:$FB,43)</f>
        <v>264</v>
      </c>
      <c r="H178" s="49">
        <f>VLOOKUP($A178,'Data Vlaue (Cr)'!$C:$FB,44)</f>
        <v>191</v>
      </c>
      <c r="I178" s="49">
        <f>VLOOKUP($A178,'Data Vlaue (Cr)'!$C:$FB,46)*100</f>
        <v>38.39</v>
      </c>
      <c r="J178" s="51">
        <f>VLOOKUP($A178,'Data Vlaue (Cr)'!$C:$FB,59)</f>
        <v>1595</v>
      </c>
      <c r="K178" s="51">
        <f>VLOOKUP($A178,'Data Vlaue (Cr)'!$C:$FB,60)</f>
        <v>816</v>
      </c>
      <c r="L178" s="51">
        <f>VLOOKUP($A178,'Data Vlaue (Cr)'!$C:$FB,62)*100</f>
        <v>95.399999999999991</v>
      </c>
      <c r="M178" s="51">
        <f>VLOOKUP($A178,'Data Vlaue (Cr)'!$C:$FB,63)</f>
        <v>599</v>
      </c>
      <c r="N178" s="51">
        <f>VLOOKUP($A178,'Data Vlaue (Cr)'!$C:$FB,64)</f>
        <v>426</v>
      </c>
      <c r="O178" s="51">
        <f>VLOOKUP($A178,'Data Vlaue (Cr)'!$C:$FB,66)*100</f>
        <v>40.82</v>
      </c>
    </row>
    <row r="179" spans="1:15" x14ac:dyDescent="0.25">
      <c r="A179" s="101" t="str">
        <f>'Data Vlaue (Cr)'!C174</f>
        <v>POONAWALLA</v>
      </c>
      <c r="B179" s="50">
        <f>VLOOKUP($A179,'Data Vlaue (Cr)'!$C:$FB,8)</f>
        <v>462.8</v>
      </c>
      <c r="C179" s="50">
        <f>VLOOKUP($A179,'Data Vlaue (Cr)'!$C:$FB,11)*100</f>
        <v>-1.48</v>
      </c>
      <c r="D179" s="50">
        <f>VLOOKUP($A179,'Data Vlaue (Cr)'!$C:$FB,143)</f>
        <v>149.26</v>
      </c>
      <c r="E179" s="50">
        <f>VLOOKUP($A179,'Data Vlaue (Cr)'!$C:$FB,144)</f>
        <v>209.34</v>
      </c>
      <c r="F179" s="50">
        <f>VLOOKUP($A179,'Data Vlaue (Cr)'!$C:$FB,146)*100</f>
        <v>-28.7</v>
      </c>
      <c r="G179" s="49">
        <f>VLOOKUP($A179,'Data Vlaue (Cr)'!$C:$FB,43)</f>
        <v>36</v>
      </c>
      <c r="H179" s="49">
        <f>VLOOKUP($A179,'Data Vlaue (Cr)'!$C:$FB,44)</f>
        <v>65</v>
      </c>
      <c r="I179" s="49">
        <f>VLOOKUP($A179,'Data Vlaue (Cr)'!$C:$FB,46)*100</f>
        <v>-44.21</v>
      </c>
      <c r="J179" s="51">
        <f>VLOOKUP($A179,'Data Vlaue (Cr)'!$C:$FB,59)</f>
        <v>66</v>
      </c>
      <c r="K179" s="51">
        <f>VLOOKUP($A179,'Data Vlaue (Cr)'!$C:$FB,60)</f>
        <v>96</v>
      </c>
      <c r="L179" s="51">
        <f>VLOOKUP($A179,'Data Vlaue (Cr)'!$C:$FB,62)*100</f>
        <v>-31.669999999999998</v>
      </c>
      <c r="M179" s="51">
        <f>VLOOKUP($A179,'Data Vlaue (Cr)'!$C:$FB,63)</f>
        <v>47</v>
      </c>
      <c r="N179" s="51">
        <f>VLOOKUP($A179,'Data Vlaue (Cr)'!$C:$FB,64)</f>
        <v>44</v>
      </c>
      <c r="O179" s="51">
        <f>VLOOKUP($A179,'Data Vlaue (Cr)'!$C:$FB,66)*100</f>
        <v>4.99</v>
      </c>
    </row>
    <row r="180" spans="1:15" x14ac:dyDescent="0.25">
      <c r="A180" s="101" t="str">
        <f>'Data Vlaue (Cr)'!C175</f>
        <v>POWERGRID</v>
      </c>
      <c r="B180" s="50">
        <f>VLOOKUP($A180,'Data Vlaue (Cr)'!$C:$FB,8)</f>
        <v>288.39999999999998</v>
      </c>
      <c r="C180" s="50">
        <f>VLOOKUP($A180,'Data Vlaue (Cr)'!$C:$FB,11)*100</f>
        <v>0.13999999999999999</v>
      </c>
      <c r="D180" s="50">
        <f>VLOOKUP($A180,'Data Vlaue (Cr)'!$C:$FB,143)</f>
        <v>598.4</v>
      </c>
      <c r="E180" s="50">
        <f>VLOOKUP($A180,'Data Vlaue (Cr)'!$C:$FB,144)</f>
        <v>738.02</v>
      </c>
      <c r="F180" s="50">
        <f>VLOOKUP($A180,'Data Vlaue (Cr)'!$C:$FB,146)*100</f>
        <v>-18.920000000000002</v>
      </c>
      <c r="G180" s="49">
        <f>VLOOKUP($A180,'Data Vlaue (Cr)'!$C:$FB,43)</f>
        <v>155</v>
      </c>
      <c r="H180" s="49">
        <f>VLOOKUP($A180,'Data Vlaue (Cr)'!$C:$FB,44)</f>
        <v>143</v>
      </c>
      <c r="I180" s="49">
        <f>VLOOKUP($A180,'Data Vlaue (Cr)'!$C:$FB,46)*100</f>
        <v>8.51</v>
      </c>
      <c r="J180" s="51">
        <f>VLOOKUP($A180,'Data Vlaue (Cr)'!$C:$FB,59)</f>
        <v>316</v>
      </c>
      <c r="K180" s="51">
        <f>VLOOKUP($A180,'Data Vlaue (Cr)'!$C:$FB,60)</f>
        <v>402</v>
      </c>
      <c r="L180" s="51">
        <f>VLOOKUP($A180,'Data Vlaue (Cr)'!$C:$FB,62)*100</f>
        <v>-21.490000000000002</v>
      </c>
      <c r="M180" s="51">
        <f>VLOOKUP($A180,'Data Vlaue (Cr)'!$C:$FB,63)</f>
        <v>121</v>
      </c>
      <c r="N180" s="51">
        <f>VLOOKUP($A180,'Data Vlaue (Cr)'!$C:$FB,64)</f>
        <v>180</v>
      </c>
      <c r="O180" s="51">
        <f>VLOOKUP($A180,'Data Vlaue (Cr)'!$C:$FB,66)*100</f>
        <v>-33.18</v>
      </c>
    </row>
    <row r="181" spans="1:15" x14ac:dyDescent="0.25">
      <c r="A181" s="101" t="str">
        <f>'Data Vlaue (Cr)'!C176</f>
        <v>PPLPHARMA</v>
      </c>
      <c r="B181" s="50">
        <f>VLOOKUP($A181,'Data Vlaue (Cr)'!$C:$FB,8)</f>
        <v>191.79</v>
      </c>
      <c r="C181" s="50">
        <f>VLOOKUP($A181,'Data Vlaue (Cr)'!$C:$FB,11)*100</f>
        <v>-1.25</v>
      </c>
      <c r="D181" s="50">
        <f>VLOOKUP($A181,'Data Vlaue (Cr)'!$C:$FB,143)</f>
        <v>187.1</v>
      </c>
      <c r="E181" s="50">
        <f>VLOOKUP($A181,'Data Vlaue (Cr)'!$C:$FB,144)</f>
        <v>247.72</v>
      </c>
      <c r="F181" s="50">
        <f>VLOOKUP($A181,'Data Vlaue (Cr)'!$C:$FB,146)*100</f>
        <v>-24.47</v>
      </c>
      <c r="G181" s="49">
        <f>VLOOKUP($A181,'Data Vlaue (Cr)'!$C:$FB,43)</f>
        <v>50</v>
      </c>
      <c r="H181" s="49">
        <f>VLOOKUP($A181,'Data Vlaue (Cr)'!$C:$FB,44)</f>
        <v>56</v>
      </c>
      <c r="I181" s="49">
        <f>VLOOKUP($A181,'Data Vlaue (Cr)'!$C:$FB,46)*100</f>
        <v>-10.72</v>
      </c>
      <c r="J181" s="51">
        <f>VLOOKUP($A181,'Data Vlaue (Cr)'!$C:$FB,59)</f>
        <v>84</v>
      </c>
      <c r="K181" s="51">
        <f>VLOOKUP($A181,'Data Vlaue (Cr)'!$C:$FB,60)</f>
        <v>136</v>
      </c>
      <c r="L181" s="51">
        <f>VLOOKUP($A181,'Data Vlaue (Cr)'!$C:$FB,62)*100</f>
        <v>-38.72</v>
      </c>
      <c r="M181" s="51">
        <f>VLOOKUP($A181,'Data Vlaue (Cr)'!$C:$FB,63)</f>
        <v>47</v>
      </c>
      <c r="N181" s="51">
        <f>VLOOKUP($A181,'Data Vlaue (Cr)'!$C:$FB,64)</f>
        <v>46</v>
      </c>
      <c r="O181" s="51">
        <f>VLOOKUP($A181,'Data Vlaue (Cr)'!$C:$FB,66)*100</f>
        <v>2.4899999999999998</v>
      </c>
    </row>
    <row r="182" spans="1:15" x14ac:dyDescent="0.25">
      <c r="A182" s="101" t="str">
        <f>'Data Vlaue (Cr)'!C177</f>
        <v>PRESTIGE</v>
      </c>
      <c r="B182" s="50">
        <f>VLOOKUP($A182,'Data Vlaue (Cr)'!$C:$FB,8)</f>
        <v>1626.6</v>
      </c>
      <c r="C182" s="50">
        <f>VLOOKUP($A182,'Data Vlaue (Cr)'!$C:$FB,11)*100</f>
        <v>-0.6</v>
      </c>
      <c r="D182" s="50">
        <f>VLOOKUP($A182,'Data Vlaue (Cr)'!$C:$FB,143)</f>
        <v>444.86</v>
      </c>
      <c r="E182" s="50">
        <f>VLOOKUP($A182,'Data Vlaue (Cr)'!$C:$FB,144)</f>
        <v>663.92</v>
      </c>
      <c r="F182" s="50">
        <f>VLOOKUP($A182,'Data Vlaue (Cr)'!$C:$FB,146)*100</f>
        <v>-32.99</v>
      </c>
      <c r="G182" s="49">
        <f>VLOOKUP($A182,'Data Vlaue (Cr)'!$C:$FB,43)</f>
        <v>144</v>
      </c>
      <c r="H182" s="49">
        <f>VLOOKUP($A182,'Data Vlaue (Cr)'!$C:$FB,44)</f>
        <v>135</v>
      </c>
      <c r="I182" s="49">
        <f>VLOOKUP($A182,'Data Vlaue (Cr)'!$C:$FB,46)*100</f>
        <v>6.25</v>
      </c>
      <c r="J182" s="51">
        <f>VLOOKUP($A182,'Data Vlaue (Cr)'!$C:$FB,59)</f>
        <v>229</v>
      </c>
      <c r="K182" s="51">
        <f>VLOOKUP($A182,'Data Vlaue (Cr)'!$C:$FB,60)</f>
        <v>267</v>
      </c>
      <c r="L182" s="51">
        <f>VLOOKUP($A182,'Data Vlaue (Cr)'!$C:$FB,62)*100</f>
        <v>-14.16</v>
      </c>
      <c r="M182" s="51">
        <f>VLOOKUP($A182,'Data Vlaue (Cr)'!$C:$FB,63)</f>
        <v>64</v>
      </c>
      <c r="N182" s="51">
        <f>VLOOKUP($A182,'Data Vlaue (Cr)'!$C:$FB,64)</f>
        <v>251</v>
      </c>
      <c r="O182" s="51">
        <f>VLOOKUP($A182,'Data Vlaue (Cr)'!$C:$FB,66)*100</f>
        <v>-74.33</v>
      </c>
    </row>
    <row r="183" spans="1:15" x14ac:dyDescent="0.25">
      <c r="A183" s="101" t="str">
        <f>'Data Vlaue (Cr)'!C178</f>
        <v>RBLBANK</v>
      </c>
      <c r="B183" s="50">
        <f>VLOOKUP($A183,'Data Vlaue (Cr)'!$C:$FB,8)</f>
        <v>256.60000000000002</v>
      </c>
      <c r="C183" s="50">
        <f>VLOOKUP($A183,'Data Vlaue (Cr)'!$C:$FB,11)*100</f>
        <v>-1.97</v>
      </c>
      <c r="D183" s="50">
        <f>VLOOKUP($A183,'Data Vlaue (Cr)'!$C:$FB,143)</f>
        <v>40.35</v>
      </c>
      <c r="E183" s="50">
        <f>VLOOKUP($A183,'Data Vlaue (Cr)'!$C:$FB,144)</f>
        <v>39.29</v>
      </c>
      <c r="F183" s="50">
        <f>VLOOKUP($A183,'Data Vlaue (Cr)'!$C:$FB,146)*100</f>
        <v>2.69</v>
      </c>
      <c r="G183" s="49">
        <f>VLOOKUP($A183,'Data Vlaue (Cr)'!$C:$FB,43)</f>
        <v>26</v>
      </c>
      <c r="H183" s="49">
        <f>VLOOKUP($A183,'Data Vlaue (Cr)'!$C:$FB,44)</f>
        <v>27</v>
      </c>
      <c r="I183" s="49">
        <f>VLOOKUP($A183,'Data Vlaue (Cr)'!$C:$FB,46)*100</f>
        <v>-6.5699999999999994</v>
      </c>
      <c r="J183" s="51">
        <f>VLOOKUP($A183,'Data Vlaue (Cr)'!$C:$FB,59)</f>
        <v>11</v>
      </c>
      <c r="K183" s="51">
        <f>VLOOKUP($A183,'Data Vlaue (Cr)'!$C:$FB,60)</f>
        <v>9</v>
      </c>
      <c r="L183" s="51">
        <f>VLOOKUP($A183,'Data Vlaue (Cr)'!$C:$FB,62)*100</f>
        <v>30.19</v>
      </c>
      <c r="M183" s="51">
        <f>VLOOKUP($A183,'Data Vlaue (Cr)'!$C:$FB,63)</f>
        <v>2</v>
      </c>
      <c r="N183" s="51">
        <f>VLOOKUP($A183,'Data Vlaue (Cr)'!$C:$FB,64)</f>
        <v>2</v>
      </c>
      <c r="O183" s="51">
        <f>VLOOKUP($A183,'Data Vlaue (Cr)'!$C:$FB,66)*100</f>
        <v>-10.71</v>
      </c>
    </row>
    <row r="184" spans="1:15" x14ac:dyDescent="0.25">
      <c r="A184" s="101" t="str">
        <f>'Data Vlaue (Cr)'!C179</f>
        <v>RECLTD</v>
      </c>
      <c r="B184" s="50">
        <f>VLOOKUP($A184,'Data Vlaue (Cr)'!$C:$FB,8)</f>
        <v>380.85</v>
      </c>
      <c r="C184" s="50">
        <f>VLOOKUP($A184,'Data Vlaue (Cr)'!$C:$FB,11)*100</f>
        <v>-0.38</v>
      </c>
      <c r="D184" s="50">
        <f>VLOOKUP($A184,'Data Vlaue (Cr)'!$C:$FB,143)</f>
        <v>1200.79</v>
      </c>
      <c r="E184" s="50">
        <f>VLOOKUP($A184,'Data Vlaue (Cr)'!$C:$FB,144)</f>
        <v>1421.34</v>
      </c>
      <c r="F184" s="50">
        <f>VLOOKUP($A184,'Data Vlaue (Cr)'!$C:$FB,146)*100</f>
        <v>-15.52</v>
      </c>
      <c r="G184" s="49">
        <f>VLOOKUP($A184,'Data Vlaue (Cr)'!$C:$FB,43)</f>
        <v>313</v>
      </c>
      <c r="H184" s="49">
        <f>VLOOKUP($A184,'Data Vlaue (Cr)'!$C:$FB,44)</f>
        <v>312</v>
      </c>
      <c r="I184" s="49">
        <f>VLOOKUP($A184,'Data Vlaue (Cr)'!$C:$FB,46)*100</f>
        <v>0.16</v>
      </c>
      <c r="J184" s="51">
        <f>VLOOKUP($A184,'Data Vlaue (Cr)'!$C:$FB,59)</f>
        <v>602</v>
      </c>
      <c r="K184" s="51">
        <f>VLOOKUP($A184,'Data Vlaue (Cr)'!$C:$FB,60)</f>
        <v>797</v>
      </c>
      <c r="L184" s="51">
        <f>VLOOKUP($A184,'Data Vlaue (Cr)'!$C:$FB,62)*100</f>
        <v>-24.4</v>
      </c>
      <c r="M184" s="51">
        <f>VLOOKUP($A184,'Data Vlaue (Cr)'!$C:$FB,63)</f>
        <v>260</v>
      </c>
      <c r="N184" s="51">
        <f>VLOOKUP($A184,'Data Vlaue (Cr)'!$C:$FB,64)</f>
        <v>277</v>
      </c>
      <c r="O184" s="51">
        <f>VLOOKUP($A184,'Data Vlaue (Cr)'!$C:$FB,66)*100</f>
        <v>-6.3</v>
      </c>
    </row>
    <row r="185" spans="1:15" x14ac:dyDescent="0.25">
      <c r="A185" s="101" t="str">
        <f>'Data Vlaue (Cr)'!C180</f>
        <v>RELIANCE</v>
      </c>
      <c r="B185" s="50">
        <f>VLOOKUP($A185,'Data Vlaue (Cr)'!$C:$FB,8)</f>
        <v>1413</v>
      </c>
      <c r="C185" s="50">
        <f>VLOOKUP($A185,'Data Vlaue (Cr)'!$C:$FB,11)*100</f>
        <v>-0.5</v>
      </c>
      <c r="D185" s="50">
        <f>VLOOKUP($A185,'Data Vlaue (Cr)'!$C:$FB,143)</f>
        <v>23285.9</v>
      </c>
      <c r="E185" s="50">
        <f>VLOOKUP($A185,'Data Vlaue (Cr)'!$C:$FB,144)</f>
        <v>45936.05</v>
      </c>
      <c r="F185" s="50">
        <f>VLOOKUP($A185,'Data Vlaue (Cr)'!$C:$FB,146)*100</f>
        <v>-49.309999999999995</v>
      </c>
      <c r="G185" s="49">
        <f>VLOOKUP($A185,'Data Vlaue (Cr)'!$C:$FB,43)</f>
        <v>2168</v>
      </c>
      <c r="H185" s="49">
        <f>VLOOKUP($A185,'Data Vlaue (Cr)'!$C:$FB,44)</f>
        <v>3678</v>
      </c>
      <c r="I185" s="49">
        <f>VLOOKUP($A185,'Data Vlaue (Cr)'!$C:$FB,46)*100</f>
        <v>-41.06</v>
      </c>
      <c r="J185" s="51">
        <f>VLOOKUP($A185,'Data Vlaue (Cr)'!$C:$FB,59)</f>
        <v>13814</v>
      </c>
      <c r="K185" s="51">
        <f>VLOOKUP($A185,'Data Vlaue (Cr)'!$C:$FB,60)</f>
        <v>28209</v>
      </c>
      <c r="L185" s="51">
        <f>VLOOKUP($A185,'Data Vlaue (Cr)'!$C:$FB,62)*100</f>
        <v>-51.03</v>
      </c>
      <c r="M185" s="51">
        <f>VLOOKUP($A185,'Data Vlaue (Cr)'!$C:$FB,63)</f>
        <v>6932</v>
      </c>
      <c r="N185" s="51">
        <f>VLOOKUP($A185,'Data Vlaue (Cr)'!$C:$FB,64)</f>
        <v>13603</v>
      </c>
      <c r="O185" s="51">
        <f>VLOOKUP($A185,'Data Vlaue (Cr)'!$C:$FB,66)*100</f>
        <v>-49.04</v>
      </c>
    </row>
    <row r="186" spans="1:15" x14ac:dyDescent="0.25">
      <c r="A186" s="101" t="str">
        <f>'Data Vlaue (Cr)'!C181</f>
        <v>RVNL</v>
      </c>
      <c r="B186" s="50">
        <f>VLOOKUP($A186,'Data Vlaue (Cr)'!$C:$FB,8)</f>
        <v>330.8</v>
      </c>
      <c r="C186" s="50">
        <f>VLOOKUP($A186,'Data Vlaue (Cr)'!$C:$FB,11)*100</f>
        <v>0.92999999999999994</v>
      </c>
      <c r="D186" s="50">
        <f>VLOOKUP($A186,'Data Vlaue (Cr)'!$C:$FB,143)</f>
        <v>643.58000000000004</v>
      </c>
      <c r="E186" s="50">
        <f>VLOOKUP($A186,'Data Vlaue (Cr)'!$C:$FB,144)</f>
        <v>496.12</v>
      </c>
      <c r="F186" s="50">
        <f>VLOOKUP($A186,'Data Vlaue (Cr)'!$C:$FB,146)*100</f>
        <v>29.720000000000002</v>
      </c>
      <c r="G186" s="49">
        <f>VLOOKUP($A186,'Data Vlaue (Cr)'!$C:$FB,43)</f>
        <v>228</v>
      </c>
      <c r="H186" s="49">
        <f>VLOOKUP($A186,'Data Vlaue (Cr)'!$C:$FB,44)</f>
        <v>164</v>
      </c>
      <c r="I186" s="49">
        <f>VLOOKUP($A186,'Data Vlaue (Cr)'!$C:$FB,46)*100</f>
        <v>38.76</v>
      </c>
      <c r="J186" s="51">
        <f>VLOOKUP($A186,'Data Vlaue (Cr)'!$C:$FB,59)</f>
        <v>285</v>
      </c>
      <c r="K186" s="51">
        <f>VLOOKUP($A186,'Data Vlaue (Cr)'!$C:$FB,60)</f>
        <v>234</v>
      </c>
      <c r="L186" s="51">
        <f>VLOOKUP($A186,'Data Vlaue (Cr)'!$C:$FB,62)*100</f>
        <v>21.85</v>
      </c>
      <c r="M186" s="51">
        <f>VLOOKUP($A186,'Data Vlaue (Cr)'!$C:$FB,63)</f>
        <v>116</v>
      </c>
      <c r="N186" s="51">
        <f>VLOOKUP($A186,'Data Vlaue (Cr)'!$C:$FB,64)</f>
        <v>87</v>
      </c>
      <c r="O186" s="51">
        <f>VLOOKUP($A186,'Data Vlaue (Cr)'!$C:$FB,66)*100</f>
        <v>33.33</v>
      </c>
    </row>
    <row r="187" spans="1:15" x14ac:dyDescent="0.25">
      <c r="A187" s="101" t="str">
        <f>'Data Vlaue (Cr)'!C182</f>
        <v>SAIL</v>
      </c>
      <c r="B187" s="50">
        <f>VLOOKUP($A187,'Data Vlaue (Cr)'!$C:$FB,8)</f>
        <v>124.09</v>
      </c>
      <c r="C187" s="50">
        <f>VLOOKUP($A187,'Data Vlaue (Cr)'!$C:$FB,11)*100</f>
        <v>0.89999999999999991</v>
      </c>
      <c r="D187" s="50">
        <f>VLOOKUP($A187,'Data Vlaue (Cr)'!$C:$FB,143)</f>
        <v>1701.73</v>
      </c>
      <c r="E187" s="50">
        <f>VLOOKUP($A187,'Data Vlaue (Cr)'!$C:$FB,144)</f>
        <v>596.58000000000004</v>
      </c>
      <c r="F187" s="50">
        <f>VLOOKUP($A187,'Data Vlaue (Cr)'!$C:$FB,146)*100</f>
        <v>185.25</v>
      </c>
      <c r="G187" s="49">
        <f>VLOOKUP($A187,'Data Vlaue (Cr)'!$C:$FB,43)</f>
        <v>706</v>
      </c>
      <c r="H187" s="49">
        <f>VLOOKUP($A187,'Data Vlaue (Cr)'!$C:$FB,44)</f>
        <v>226</v>
      </c>
      <c r="I187" s="49">
        <f>VLOOKUP($A187,'Data Vlaue (Cr)'!$C:$FB,46)*100</f>
        <v>212.34000000000003</v>
      </c>
      <c r="J187" s="51">
        <f>VLOOKUP($A187,'Data Vlaue (Cr)'!$C:$FB,59)</f>
        <v>673</v>
      </c>
      <c r="K187" s="51">
        <f>VLOOKUP($A187,'Data Vlaue (Cr)'!$C:$FB,60)</f>
        <v>228</v>
      </c>
      <c r="L187" s="51">
        <f>VLOOKUP($A187,'Data Vlaue (Cr)'!$C:$FB,62)*100</f>
        <v>194.88</v>
      </c>
      <c r="M187" s="51">
        <f>VLOOKUP($A187,'Data Vlaue (Cr)'!$C:$FB,63)</f>
        <v>299</v>
      </c>
      <c r="N187" s="51">
        <f>VLOOKUP($A187,'Data Vlaue (Cr)'!$C:$FB,64)</f>
        <v>137</v>
      </c>
      <c r="O187" s="51">
        <f>VLOOKUP($A187,'Data Vlaue (Cr)'!$C:$FB,66)*100</f>
        <v>117.95</v>
      </c>
    </row>
    <row r="188" spans="1:15" x14ac:dyDescent="0.25">
      <c r="A188" s="101" t="str">
        <f>'Data Vlaue (Cr)'!C183</f>
        <v>SBICARD</v>
      </c>
      <c r="B188" s="50">
        <f>VLOOKUP($A188,'Data Vlaue (Cr)'!$C:$FB,8)</f>
        <v>818.1</v>
      </c>
      <c r="C188" s="50">
        <f>VLOOKUP($A188,'Data Vlaue (Cr)'!$C:$FB,11)*100</f>
        <v>-0.24</v>
      </c>
      <c r="D188" s="50">
        <f>VLOOKUP($A188,'Data Vlaue (Cr)'!$C:$FB,143)</f>
        <v>507.5</v>
      </c>
      <c r="E188" s="50">
        <f>VLOOKUP($A188,'Data Vlaue (Cr)'!$C:$FB,144)</f>
        <v>697.12</v>
      </c>
      <c r="F188" s="50">
        <f>VLOOKUP($A188,'Data Vlaue (Cr)'!$C:$FB,146)*100</f>
        <v>-27.200000000000003</v>
      </c>
      <c r="G188" s="49">
        <f>VLOOKUP($A188,'Data Vlaue (Cr)'!$C:$FB,43)</f>
        <v>135</v>
      </c>
      <c r="H188" s="49">
        <f>VLOOKUP($A188,'Data Vlaue (Cr)'!$C:$FB,44)</f>
        <v>159</v>
      </c>
      <c r="I188" s="49">
        <f>VLOOKUP($A188,'Data Vlaue (Cr)'!$C:$FB,46)*100</f>
        <v>-15.35</v>
      </c>
      <c r="J188" s="51">
        <f>VLOOKUP($A188,'Data Vlaue (Cr)'!$C:$FB,59)</f>
        <v>214</v>
      </c>
      <c r="K188" s="51">
        <f>VLOOKUP($A188,'Data Vlaue (Cr)'!$C:$FB,60)</f>
        <v>367</v>
      </c>
      <c r="L188" s="51">
        <f>VLOOKUP($A188,'Data Vlaue (Cr)'!$C:$FB,62)*100</f>
        <v>-41.58</v>
      </c>
      <c r="M188" s="51">
        <f>VLOOKUP($A188,'Data Vlaue (Cr)'!$C:$FB,63)</f>
        <v>151</v>
      </c>
      <c r="N188" s="51">
        <f>VLOOKUP($A188,'Data Vlaue (Cr)'!$C:$FB,64)</f>
        <v>161</v>
      </c>
      <c r="O188" s="51">
        <f>VLOOKUP($A188,'Data Vlaue (Cr)'!$C:$FB,66)*100</f>
        <v>-6.4</v>
      </c>
    </row>
    <row r="189" spans="1:15" x14ac:dyDescent="0.25">
      <c r="A189" s="101" t="str">
        <f>'Data Vlaue (Cr)'!C223</f>
        <v>ZYDUSLIFE</v>
      </c>
      <c r="B189" s="50">
        <f>VLOOKUP($A189,'Data Vlaue (Cr)'!$C:$FB,8)</f>
        <v>983.3</v>
      </c>
      <c r="C189" s="50">
        <f>VLOOKUP($A189,'Data Vlaue (Cr)'!$C:$FB,11)*100</f>
        <v>-0.62</v>
      </c>
      <c r="D189" s="50">
        <f>VLOOKUP($A189,'Data Vlaue (Cr)'!$C:$FB,143)</f>
        <v>404.91</v>
      </c>
      <c r="E189" s="50">
        <f>VLOOKUP($A189,'Data Vlaue (Cr)'!$C:$FB,144)</f>
        <v>507.98</v>
      </c>
      <c r="F189" s="50">
        <f>VLOOKUP($A189,'Data Vlaue (Cr)'!$C:$FB,146)*100</f>
        <v>-20.29</v>
      </c>
      <c r="G189" s="49">
        <f>VLOOKUP($A189,'Data Vlaue (Cr)'!$C:$FB,43)</f>
        <v>118</v>
      </c>
      <c r="H189" s="49">
        <f>VLOOKUP($A189,'Data Vlaue (Cr)'!$C:$FB,44)</f>
        <v>110</v>
      </c>
      <c r="I189" s="49">
        <f>VLOOKUP($A189,'Data Vlaue (Cr)'!$C:$FB,46)*100</f>
        <v>6.99</v>
      </c>
      <c r="J189" s="51">
        <f>VLOOKUP($A189,'Data Vlaue (Cr)'!$C:$FB,59)</f>
        <v>189</v>
      </c>
      <c r="K189" s="51">
        <f>VLOOKUP($A189,'Data Vlaue (Cr)'!$C:$FB,60)</f>
        <v>282</v>
      </c>
      <c r="L189" s="51">
        <f>VLOOKUP($A189,'Data Vlaue (Cr)'!$C:$FB,62)*100</f>
        <v>-33.11</v>
      </c>
      <c r="M189" s="51">
        <f>VLOOKUP($A189,'Data Vlaue (Cr)'!$C:$FB,63)</f>
        <v>92</v>
      </c>
      <c r="N189" s="51">
        <f>VLOOKUP($A189,'Data Vlaue (Cr)'!$C:$FB,64)</f>
        <v>105</v>
      </c>
      <c r="O189" s="51">
        <f>VLOOKUP($A189,'Data Vlaue (Cr)'!$C:$FB,66)*100</f>
        <v>-12.34</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19310348.56000001</v>
      </c>
      <c r="E212" s="131">
        <f>SUM(E7:E211)</f>
        <v>12042038.770000001</v>
      </c>
      <c r="F212" s="132">
        <f>(D212-E212)/E212</f>
        <v>0.60357800940712358</v>
      </c>
      <c r="G212" s="131">
        <f>SUM(G7:G211)</f>
        <v>89911</v>
      </c>
      <c r="H212" s="131">
        <f>SUM(H7:H211)</f>
        <v>82887</v>
      </c>
      <c r="I212" s="132">
        <f>(G212-H212)/H212</f>
        <v>8.4741877495867868E-2</v>
      </c>
      <c r="J212" s="131">
        <f>SUM(J7:J211)</f>
        <v>10629940</v>
      </c>
      <c r="K212" s="131">
        <f>SUM(K7:K211)</f>
        <v>6626351</v>
      </c>
      <c r="L212" s="132">
        <f>(J212-K212)/K212</f>
        <v>0.60419211116344429</v>
      </c>
      <c r="M212" s="131">
        <f>SUM(M7:M211)</f>
        <v>8610018</v>
      </c>
      <c r="N212" s="131">
        <f>SUM(N7:N211)</f>
        <v>5357585</v>
      </c>
      <c r="O212" s="132">
        <f>(M212-N212)/N212</f>
        <v>0.60707072309632049</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45889</v>
      </c>
      <c r="C6" s="34" t="s">
        <v>328</v>
      </c>
      <c r="D6" s="21">
        <f>B6</f>
        <v>45889</v>
      </c>
      <c r="E6" s="34" t="s">
        <v>322</v>
      </c>
      <c r="F6" s="34" t="s">
        <v>328</v>
      </c>
      <c r="G6" s="21">
        <f>D6</f>
        <v>45889</v>
      </c>
      <c r="H6" s="34" t="s">
        <v>322</v>
      </c>
      <c r="I6" s="34" t="s">
        <v>328</v>
      </c>
      <c r="J6" s="21">
        <f>D6</f>
        <v>45889</v>
      </c>
      <c r="K6" s="34" t="s">
        <v>322</v>
      </c>
      <c r="L6" s="34" t="s">
        <v>328</v>
      </c>
      <c r="M6" s="21">
        <f>D6</f>
        <v>45889</v>
      </c>
      <c r="N6" s="34" t="s">
        <v>322</v>
      </c>
      <c r="O6" s="34" t="s">
        <v>328</v>
      </c>
    </row>
    <row r="7" spans="1:15" x14ac:dyDescent="0.25">
      <c r="A7" s="101" t="str">
        <f>'Data shares'!C2</f>
        <v>360ONE</v>
      </c>
      <c r="B7" s="50">
        <f>VLOOKUP($A7,'Data shares'!$C:$FB,7)</f>
        <v>1102.9000000000001</v>
      </c>
      <c r="C7" s="50">
        <f>VLOOKUP($A7,'Data shares'!$C:$FB,10)*100</f>
        <v>2.2200000000000002</v>
      </c>
      <c r="D7" s="49">
        <f>VLOOKUP($A7,'Data shares'!$C:$FB,66)</f>
        <v>6203500</v>
      </c>
      <c r="E7" s="49">
        <f>VLOOKUP($A7,'Data shares'!$C:$FB,67)</f>
        <v>3503000</v>
      </c>
      <c r="F7" s="50">
        <f>VLOOKUP($A7,'Data shares'!$C:$FB,69)*100</f>
        <v>77.09</v>
      </c>
      <c r="G7" s="49">
        <f>VLOOKUP($A7,'Data shares'!$C:$FB,42)</f>
        <v>1581000</v>
      </c>
      <c r="H7" s="49">
        <f>VLOOKUP($A7,'Data shares'!$C:$FB,43)</f>
        <v>1014000</v>
      </c>
      <c r="I7" s="50">
        <f>VLOOKUP($A7,'Data shares'!$C:$FB,45)*100</f>
        <v>55.92</v>
      </c>
      <c r="J7" s="49">
        <f>VLOOKUP($A7,'Data shares'!$C:$FB,58)</f>
        <v>3457000</v>
      </c>
      <c r="K7" s="49">
        <f>VLOOKUP($A7,'Data shares'!$C:$FB,59)</f>
        <v>2046000</v>
      </c>
      <c r="L7" s="50">
        <f>VLOOKUP($A7,'Data shares'!$C:$FB,61)*100</f>
        <v>68.959999999999994</v>
      </c>
      <c r="M7" s="49">
        <f>VLOOKUP($A7,'Data shares'!$C:$FB,62)</f>
        <v>1165500</v>
      </c>
      <c r="N7" s="49">
        <f>VLOOKUP($A7,'Data shares'!$C:$FB,63)</f>
        <v>443000</v>
      </c>
      <c r="O7" s="140">
        <f>VLOOKUP($A7,'Data shares'!$C:$FB,65)*100</f>
        <v>163.09</v>
      </c>
    </row>
    <row r="8" spans="1:15" x14ac:dyDescent="0.25">
      <c r="A8" s="101" t="str">
        <f>'Data shares'!C3</f>
        <v>ABB</v>
      </c>
      <c r="B8" s="50">
        <f>VLOOKUP($A8,'Data shares'!$C:$FB,7)</f>
        <v>5121.5</v>
      </c>
      <c r="C8" s="50">
        <f>VLOOKUP($A8,'Data shares'!$C:$FB,10)*100</f>
        <v>1.06</v>
      </c>
      <c r="D8" s="49">
        <f>VLOOKUP($A8,'Data shares'!$C:$FB,66)</f>
        <v>4563125</v>
      </c>
      <c r="E8" s="49">
        <f>VLOOKUP($A8,'Data shares'!$C:$FB,67)</f>
        <v>3441750</v>
      </c>
      <c r="F8" s="50">
        <f>VLOOKUP($A8,'Data shares'!$C:$FB,69)*100</f>
        <v>32.58</v>
      </c>
      <c r="G8" s="49">
        <f>VLOOKUP($A8,'Data shares'!$C:$FB,42)</f>
        <v>485500</v>
      </c>
      <c r="H8" s="49">
        <f>VLOOKUP($A8,'Data shares'!$C:$FB,43)</f>
        <v>442625</v>
      </c>
      <c r="I8" s="50">
        <f>VLOOKUP($A8,'Data shares'!$C:$FB,45)*100</f>
        <v>9.69</v>
      </c>
      <c r="J8" s="49">
        <f>VLOOKUP($A8,'Data shares'!$C:$FB,58)</f>
        <v>3151500</v>
      </c>
      <c r="K8" s="49">
        <f>VLOOKUP($A8,'Data shares'!$C:$FB,59)</f>
        <v>2216125</v>
      </c>
      <c r="L8" s="50">
        <f>VLOOKUP($A8,'Data shares'!$C:$FB,61)*100</f>
        <v>42.21</v>
      </c>
      <c r="M8" s="49">
        <f>VLOOKUP($A8,'Data shares'!$C:$FB,62)</f>
        <v>926125</v>
      </c>
      <c r="N8" s="49">
        <f>VLOOKUP($A8,'Data shares'!$C:$FB,63)</f>
        <v>783000</v>
      </c>
      <c r="O8" s="140">
        <f>VLOOKUP($A8,'Data shares'!$C:$FB,65)*100</f>
        <v>18.279999999999998</v>
      </c>
    </row>
    <row r="9" spans="1:15" x14ac:dyDescent="0.25">
      <c r="A9" s="101" t="str">
        <f>'Data shares'!C4</f>
        <v>ABCAPITAL</v>
      </c>
      <c r="B9" s="50">
        <f>VLOOKUP($A9,'Data shares'!$C:$FB,7)</f>
        <v>283.45</v>
      </c>
      <c r="C9" s="50">
        <f>VLOOKUP($A9,'Data shares'!$C:$FB,10)*100</f>
        <v>-1.3599999999999999</v>
      </c>
      <c r="D9" s="49">
        <f>VLOOKUP($A9,'Data shares'!$C:$FB,66)</f>
        <v>42485500</v>
      </c>
      <c r="E9" s="49">
        <f>VLOOKUP($A9,'Data shares'!$C:$FB,67)</f>
        <v>76532800</v>
      </c>
      <c r="F9" s="50">
        <f>VLOOKUP($A9,'Data shares'!$C:$FB,69)*100</f>
        <v>-44.49</v>
      </c>
      <c r="G9" s="49">
        <f>VLOOKUP($A9,'Data shares'!$C:$FB,42)</f>
        <v>8525000</v>
      </c>
      <c r="H9" s="49">
        <f>VLOOKUP($A9,'Data shares'!$C:$FB,43)</f>
        <v>14253800</v>
      </c>
      <c r="I9" s="50">
        <f>VLOOKUP($A9,'Data shares'!$C:$FB,45)*100</f>
        <v>-40.19</v>
      </c>
      <c r="J9" s="49">
        <f>VLOOKUP($A9,'Data shares'!$C:$FB,58)</f>
        <v>22605200</v>
      </c>
      <c r="K9" s="49">
        <f>VLOOKUP($A9,'Data shares'!$C:$FB,59)</f>
        <v>39794700</v>
      </c>
      <c r="L9" s="50">
        <f>VLOOKUP($A9,'Data shares'!$C:$FB,61)*100</f>
        <v>-43.2</v>
      </c>
      <c r="M9" s="49">
        <f>VLOOKUP($A9,'Data shares'!$C:$FB,62)</f>
        <v>11355300</v>
      </c>
      <c r="N9" s="49">
        <f>VLOOKUP($A9,'Data shares'!$C:$FB,63)</f>
        <v>22484300</v>
      </c>
      <c r="O9" s="140">
        <f>VLOOKUP($A9,'Data shares'!$C:$FB,65)*100</f>
        <v>-49.5</v>
      </c>
    </row>
    <row r="10" spans="1:15" x14ac:dyDescent="0.25">
      <c r="A10" s="101" t="str">
        <f>'Data shares'!C5</f>
        <v>ABFRL</v>
      </c>
      <c r="B10" s="50">
        <f>VLOOKUP($A10,'Data shares'!$C:$FB,7)</f>
        <v>76.260000000000005</v>
      </c>
      <c r="C10" s="50">
        <f>VLOOKUP($A10,'Data shares'!$C:$FB,10)*100</f>
        <v>-1.1900000000000002</v>
      </c>
      <c r="D10" s="49">
        <f>VLOOKUP($A10,'Data shares'!$C:$FB,66)</f>
        <v>18967000</v>
      </c>
      <c r="E10" s="49">
        <f>VLOOKUP($A10,'Data shares'!$C:$FB,67)</f>
        <v>34600800</v>
      </c>
      <c r="F10" s="50">
        <f>VLOOKUP($A10,'Data shares'!$C:$FB,69)*100</f>
        <v>-45.18</v>
      </c>
      <c r="G10" s="49">
        <f>VLOOKUP($A10,'Data shares'!$C:$FB,42)</f>
        <v>3335800</v>
      </c>
      <c r="H10" s="49">
        <f>VLOOKUP($A10,'Data shares'!$C:$FB,43)</f>
        <v>7599800</v>
      </c>
      <c r="I10" s="50">
        <f>VLOOKUP($A10,'Data shares'!$C:$FB,45)*100</f>
        <v>-56.110000000000007</v>
      </c>
      <c r="J10" s="49">
        <f>VLOOKUP($A10,'Data shares'!$C:$FB,58)</f>
        <v>13605800</v>
      </c>
      <c r="K10" s="49">
        <f>VLOOKUP($A10,'Data shares'!$C:$FB,59)</f>
        <v>20672600</v>
      </c>
      <c r="L10" s="50">
        <f>VLOOKUP($A10,'Data shares'!$C:$FB,61)*100</f>
        <v>-34.18</v>
      </c>
      <c r="M10" s="49">
        <f>VLOOKUP($A10,'Data shares'!$C:$FB,62)</f>
        <v>2025400</v>
      </c>
      <c r="N10" s="49">
        <f>VLOOKUP($A10,'Data shares'!$C:$FB,63)</f>
        <v>6328400</v>
      </c>
      <c r="O10" s="140">
        <f>VLOOKUP($A10,'Data shares'!$C:$FB,65)*100</f>
        <v>-68</v>
      </c>
    </row>
    <row r="11" spans="1:15" x14ac:dyDescent="0.25">
      <c r="A11" s="101" t="str">
        <f>'Data shares'!C6</f>
        <v>ADANIENSOL</v>
      </c>
      <c r="B11" s="50">
        <f>VLOOKUP($A11,'Data shares'!$C:$FB,7)</f>
        <v>824.2</v>
      </c>
      <c r="C11" s="50">
        <f>VLOOKUP($A11,'Data shares'!$C:$FB,10)*100</f>
        <v>-0.48</v>
      </c>
      <c r="D11" s="49">
        <f>VLOOKUP($A11,'Data shares'!$C:$FB,66)</f>
        <v>3394575</v>
      </c>
      <c r="E11" s="49">
        <f>VLOOKUP($A11,'Data shares'!$C:$FB,67)</f>
        <v>9619425</v>
      </c>
      <c r="F11" s="50">
        <f>VLOOKUP($A11,'Data shares'!$C:$FB,69)*100</f>
        <v>-64.710000000000008</v>
      </c>
      <c r="G11" s="49">
        <f>VLOOKUP($A11,'Data shares'!$C:$FB,42)</f>
        <v>1248750</v>
      </c>
      <c r="H11" s="49">
        <f>VLOOKUP($A11,'Data shares'!$C:$FB,43)</f>
        <v>2172825</v>
      </c>
      <c r="I11" s="50">
        <f>VLOOKUP($A11,'Data shares'!$C:$FB,45)*100</f>
        <v>-42.53</v>
      </c>
      <c r="J11" s="49">
        <f>VLOOKUP($A11,'Data shares'!$C:$FB,58)</f>
        <v>1325025</v>
      </c>
      <c r="K11" s="49">
        <f>VLOOKUP($A11,'Data shares'!$C:$FB,59)</f>
        <v>4601475</v>
      </c>
      <c r="L11" s="50">
        <f>VLOOKUP($A11,'Data shares'!$C:$FB,61)*100</f>
        <v>-71.2</v>
      </c>
      <c r="M11" s="49">
        <f>VLOOKUP($A11,'Data shares'!$C:$FB,62)</f>
        <v>820800</v>
      </c>
      <c r="N11" s="49">
        <f>VLOOKUP($A11,'Data shares'!$C:$FB,63)</f>
        <v>2845125</v>
      </c>
      <c r="O11" s="140">
        <f>VLOOKUP($A11,'Data shares'!$C:$FB,65)*100</f>
        <v>-71.150000000000006</v>
      </c>
    </row>
    <row r="12" spans="1:15" x14ac:dyDescent="0.25">
      <c r="A12" s="101" t="str">
        <f>'Data shares'!C7</f>
        <v>ADANIENT</v>
      </c>
      <c r="B12" s="50">
        <f>VLOOKUP($A12,'Data shares'!$C:$FB,7)</f>
        <v>2387.1</v>
      </c>
      <c r="C12" s="50">
        <f>VLOOKUP($A12,'Data shares'!$C:$FB,10)*100</f>
        <v>-0.05</v>
      </c>
      <c r="D12" s="49">
        <f>VLOOKUP($A12,'Data shares'!$C:$FB,66)</f>
        <v>18330000</v>
      </c>
      <c r="E12" s="49">
        <f>VLOOKUP($A12,'Data shares'!$C:$FB,67)</f>
        <v>25449000</v>
      </c>
      <c r="F12" s="50">
        <f>VLOOKUP($A12,'Data shares'!$C:$FB,69)*100</f>
        <v>-27.97</v>
      </c>
      <c r="G12" s="49">
        <f>VLOOKUP($A12,'Data shares'!$C:$FB,42)</f>
        <v>2409300</v>
      </c>
      <c r="H12" s="49">
        <f>VLOOKUP($A12,'Data shares'!$C:$FB,43)</f>
        <v>2991900</v>
      </c>
      <c r="I12" s="50">
        <f>VLOOKUP($A12,'Data shares'!$C:$FB,45)*100</f>
        <v>-19.470000000000002</v>
      </c>
      <c r="J12" s="49">
        <f>VLOOKUP($A12,'Data shares'!$C:$FB,58)</f>
        <v>10453200</v>
      </c>
      <c r="K12" s="49">
        <f>VLOOKUP($A12,'Data shares'!$C:$FB,59)</f>
        <v>14639400</v>
      </c>
      <c r="L12" s="50">
        <f>VLOOKUP($A12,'Data shares'!$C:$FB,61)*100</f>
        <v>-28.599999999999998</v>
      </c>
      <c r="M12" s="49">
        <f>VLOOKUP($A12,'Data shares'!$C:$FB,62)</f>
        <v>5467500</v>
      </c>
      <c r="N12" s="49">
        <f>VLOOKUP($A12,'Data shares'!$C:$FB,63)</f>
        <v>7817700</v>
      </c>
      <c r="O12" s="140">
        <f>VLOOKUP($A12,'Data shares'!$C:$FB,65)*100</f>
        <v>-30.06</v>
      </c>
    </row>
    <row r="13" spans="1:15" x14ac:dyDescent="0.25">
      <c r="A13" s="101" t="str">
        <f>'Data shares'!C8</f>
        <v>ADANIGREEN</v>
      </c>
      <c r="B13" s="50">
        <f>VLOOKUP($A13,'Data shares'!$C:$FB,7)</f>
        <v>975.95</v>
      </c>
      <c r="C13" s="50">
        <f>VLOOKUP($A13,'Data shares'!$C:$FB,10)*100</f>
        <v>0.26</v>
      </c>
      <c r="D13" s="49">
        <f>VLOOKUP($A13,'Data shares'!$C:$FB,66)</f>
        <v>12352200</v>
      </c>
      <c r="E13" s="49">
        <f>VLOOKUP($A13,'Data shares'!$C:$FB,67)</f>
        <v>18870600</v>
      </c>
      <c r="F13" s="50">
        <f>VLOOKUP($A13,'Data shares'!$C:$FB,69)*100</f>
        <v>-34.54</v>
      </c>
      <c r="G13" s="49">
        <f>VLOOKUP($A13,'Data shares'!$C:$FB,42)</f>
        <v>1999200</v>
      </c>
      <c r="H13" s="49">
        <f>VLOOKUP($A13,'Data shares'!$C:$FB,43)</f>
        <v>3255600</v>
      </c>
      <c r="I13" s="50">
        <f>VLOOKUP($A13,'Data shares'!$C:$FB,45)*100</f>
        <v>-38.590000000000003</v>
      </c>
      <c r="J13" s="49">
        <f>VLOOKUP($A13,'Data shares'!$C:$FB,58)</f>
        <v>6759000</v>
      </c>
      <c r="K13" s="49">
        <f>VLOOKUP($A13,'Data shares'!$C:$FB,59)</f>
        <v>11060400</v>
      </c>
      <c r="L13" s="50">
        <f>VLOOKUP($A13,'Data shares'!$C:$FB,61)*100</f>
        <v>-38.89</v>
      </c>
      <c r="M13" s="49">
        <f>VLOOKUP($A13,'Data shares'!$C:$FB,62)</f>
        <v>3594000</v>
      </c>
      <c r="N13" s="49">
        <f>VLOOKUP($A13,'Data shares'!$C:$FB,63)</f>
        <v>4554600</v>
      </c>
      <c r="O13" s="140">
        <f>VLOOKUP($A13,'Data shares'!$C:$FB,65)*100</f>
        <v>-21.09</v>
      </c>
    </row>
    <row r="14" spans="1:15" x14ac:dyDescent="0.25">
      <c r="A14" s="101" t="str">
        <f>'Data shares'!C9</f>
        <v>ADANIPORTS</v>
      </c>
      <c r="B14" s="50">
        <f>VLOOKUP($A14,'Data shares'!$C:$FB,7)</f>
        <v>1370.6</v>
      </c>
      <c r="C14" s="50">
        <f>VLOOKUP($A14,'Data shares'!$C:$FB,10)*100</f>
        <v>0.09</v>
      </c>
      <c r="D14" s="49">
        <f>VLOOKUP($A14,'Data shares'!$C:$FB,66)</f>
        <v>21157450</v>
      </c>
      <c r="E14" s="49">
        <f>VLOOKUP($A14,'Data shares'!$C:$FB,67)</f>
        <v>52775350</v>
      </c>
      <c r="F14" s="50">
        <f>VLOOKUP($A14,'Data shares'!$C:$FB,69)*100</f>
        <v>-59.91</v>
      </c>
      <c r="G14" s="49">
        <f>VLOOKUP($A14,'Data shares'!$C:$FB,42)</f>
        <v>2684225</v>
      </c>
      <c r="H14" s="49">
        <f>VLOOKUP($A14,'Data shares'!$C:$FB,43)</f>
        <v>5793575</v>
      </c>
      <c r="I14" s="50">
        <f>VLOOKUP($A14,'Data shares'!$C:$FB,45)*100</f>
        <v>-53.669999999999995</v>
      </c>
      <c r="J14" s="49">
        <f>VLOOKUP($A14,'Data shares'!$C:$FB,58)</f>
        <v>11919175</v>
      </c>
      <c r="K14" s="49">
        <f>VLOOKUP($A14,'Data shares'!$C:$FB,59)</f>
        <v>34030900</v>
      </c>
      <c r="L14" s="50">
        <f>VLOOKUP($A14,'Data shares'!$C:$FB,61)*100</f>
        <v>-64.98</v>
      </c>
      <c r="M14" s="49">
        <f>VLOOKUP($A14,'Data shares'!$C:$FB,62)</f>
        <v>6554050</v>
      </c>
      <c r="N14" s="49">
        <f>VLOOKUP($A14,'Data shares'!$C:$FB,63)</f>
        <v>12950875</v>
      </c>
      <c r="O14" s="140">
        <f>VLOOKUP($A14,'Data shares'!$C:$FB,65)*100</f>
        <v>-49.39</v>
      </c>
    </row>
    <row r="15" spans="1:15" x14ac:dyDescent="0.25">
      <c r="A15" s="101" t="str">
        <f>'Data shares'!C10</f>
        <v>ALKEM</v>
      </c>
      <c r="B15" s="50">
        <f>VLOOKUP($A15,'Data shares'!$C:$FB,7)</f>
        <v>5393</v>
      </c>
      <c r="C15" s="50">
        <f>VLOOKUP($A15,'Data shares'!$C:$FB,10)*100</f>
        <v>0.02</v>
      </c>
      <c r="D15" s="49">
        <f>VLOOKUP($A15,'Data shares'!$C:$FB,66)</f>
        <v>1621250</v>
      </c>
      <c r="E15" s="49">
        <f>VLOOKUP($A15,'Data shares'!$C:$FB,67)</f>
        <v>1777750</v>
      </c>
      <c r="F15" s="50">
        <f>VLOOKUP($A15,'Data shares'!$C:$FB,69)*100</f>
        <v>-8.7999999999999989</v>
      </c>
      <c r="G15" s="49">
        <f>VLOOKUP($A15,'Data shares'!$C:$FB,42)</f>
        <v>216750</v>
      </c>
      <c r="H15" s="49">
        <f>VLOOKUP($A15,'Data shares'!$C:$FB,43)</f>
        <v>208000</v>
      </c>
      <c r="I15" s="50">
        <f>VLOOKUP($A15,'Data shares'!$C:$FB,45)*100</f>
        <v>4.21</v>
      </c>
      <c r="J15" s="49">
        <f>VLOOKUP($A15,'Data shares'!$C:$FB,58)</f>
        <v>1084750</v>
      </c>
      <c r="K15" s="49">
        <f>VLOOKUP($A15,'Data shares'!$C:$FB,59)</f>
        <v>1112250</v>
      </c>
      <c r="L15" s="50">
        <f>VLOOKUP($A15,'Data shares'!$C:$FB,61)*100</f>
        <v>-2.4699999999999998</v>
      </c>
      <c r="M15" s="49">
        <f>VLOOKUP($A15,'Data shares'!$C:$FB,62)</f>
        <v>319750</v>
      </c>
      <c r="N15" s="49">
        <f>VLOOKUP($A15,'Data shares'!$C:$FB,63)</f>
        <v>457500</v>
      </c>
      <c r="O15" s="140">
        <f>VLOOKUP($A15,'Data shares'!$C:$FB,65)*100</f>
        <v>-30.11</v>
      </c>
    </row>
    <row r="16" spans="1:15" x14ac:dyDescent="0.25">
      <c r="A16" s="101" t="str">
        <f>'Data shares'!C11</f>
        <v>AMBER</v>
      </c>
      <c r="B16" s="50">
        <f>VLOOKUP($A16,'Data shares'!$C:$FB,7)</f>
        <v>7362</v>
      </c>
      <c r="C16" s="50">
        <f>VLOOKUP($A16,'Data shares'!$C:$FB,10)*100</f>
        <v>-0.09</v>
      </c>
      <c r="D16" s="49">
        <f>VLOOKUP($A16,'Data shares'!$C:$FB,66)</f>
        <v>2134500</v>
      </c>
      <c r="E16" s="49">
        <f>VLOOKUP($A16,'Data shares'!$C:$FB,67)</f>
        <v>1871200</v>
      </c>
      <c r="F16" s="50">
        <f>VLOOKUP($A16,'Data shares'!$C:$FB,69)*100</f>
        <v>14.069999999999999</v>
      </c>
      <c r="G16" s="49">
        <f>VLOOKUP($A16,'Data shares'!$C:$FB,42)</f>
        <v>283600</v>
      </c>
      <c r="H16" s="49">
        <f>VLOOKUP($A16,'Data shares'!$C:$FB,43)</f>
        <v>221700</v>
      </c>
      <c r="I16" s="50">
        <f>VLOOKUP($A16,'Data shares'!$C:$FB,45)*100</f>
        <v>27.92</v>
      </c>
      <c r="J16" s="49">
        <f>VLOOKUP($A16,'Data shares'!$C:$FB,58)</f>
        <v>1167800</v>
      </c>
      <c r="K16" s="49">
        <f>VLOOKUP($A16,'Data shares'!$C:$FB,59)</f>
        <v>902500</v>
      </c>
      <c r="L16" s="50">
        <f>VLOOKUP($A16,'Data shares'!$C:$FB,61)*100</f>
        <v>29.4</v>
      </c>
      <c r="M16" s="49">
        <f>VLOOKUP($A16,'Data shares'!$C:$FB,62)</f>
        <v>683100</v>
      </c>
      <c r="N16" s="49">
        <f>VLOOKUP($A16,'Data shares'!$C:$FB,63)</f>
        <v>747000</v>
      </c>
      <c r="O16" s="140">
        <f>VLOOKUP($A16,'Data shares'!$C:$FB,65)*100</f>
        <v>-8.5500000000000007</v>
      </c>
    </row>
    <row r="17" spans="1:15" x14ac:dyDescent="0.25">
      <c r="A17" s="101" t="str">
        <f>'Data shares'!C12</f>
        <v>AMBUJACEM</v>
      </c>
      <c r="B17" s="50">
        <f>VLOOKUP($A17,'Data shares'!$C:$FB,7)</f>
        <v>591.9</v>
      </c>
      <c r="C17" s="50">
        <f>VLOOKUP($A17,'Data shares'!$C:$FB,10)*100</f>
        <v>-0.08</v>
      </c>
      <c r="D17" s="49">
        <f>VLOOKUP($A17,'Data shares'!$C:$FB,66)</f>
        <v>12563250</v>
      </c>
      <c r="E17" s="49">
        <f>VLOOKUP($A17,'Data shares'!$C:$FB,67)</f>
        <v>14765100</v>
      </c>
      <c r="F17" s="50">
        <f>VLOOKUP($A17,'Data shares'!$C:$FB,69)*100</f>
        <v>-14.91</v>
      </c>
      <c r="G17" s="49">
        <f>VLOOKUP($A17,'Data shares'!$C:$FB,42)</f>
        <v>4106550</v>
      </c>
      <c r="H17" s="49">
        <f>VLOOKUP($A17,'Data shares'!$C:$FB,43)</f>
        <v>2791950</v>
      </c>
      <c r="I17" s="50">
        <f>VLOOKUP($A17,'Data shares'!$C:$FB,45)*100</f>
        <v>47.089999999999996</v>
      </c>
      <c r="J17" s="49">
        <f>VLOOKUP($A17,'Data shares'!$C:$FB,58)</f>
        <v>6006000</v>
      </c>
      <c r="K17" s="49">
        <f>VLOOKUP($A17,'Data shares'!$C:$FB,59)</f>
        <v>8713950</v>
      </c>
      <c r="L17" s="50">
        <f>VLOOKUP($A17,'Data shares'!$C:$FB,61)*100</f>
        <v>-31.080000000000002</v>
      </c>
      <c r="M17" s="49">
        <f>VLOOKUP($A17,'Data shares'!$C:$FB,62)</f>
        <v>2450700</v>
      </c>
      <c r="N17" s="49">
        <f>VLOOKUP($A17,'Data shares'!$C:$FB,63)</f>
        <v>3259200</v>
      </c>
      <c r="O17" s="140">
        <f>VLOOKUP($A17,'Data shares'!$C:$FB,65)*100</f>
        <v>-24.81</v>
      </c>
    </row>
    <row r="18" spans="1:15" x14ac:dyDescent="0.25">
      <c r="A18" s="101" t="str">
        <f>'Data shares'!C13</f>
        <v>ANGELONE</v>
      </c>
      <c r="B18" s="50">
        <f>VLOOKUP($A18,'Data shares'!$C:$FB,7)</f>
        <v>2720.8</v>
      </c>
      <c r="C18" s="50">
        <f>VLOOKUP($A18,'Data shares'!$C:$FB,10)*100</f>
        <v>1.6099999999999999</v>
      </c>
      <c r="D18" s="49">
        <f>VLOOKUP($A18,'Data shares'!$C:$FB,66)</f>
        <v>5643500</v>
      </c>
      <c r="E18" s="49">
        <f>VLOOKUP($A18,'Data shares'!$C:$FB,67)</f>
        <v>4221000</v>
      </c>
      <c r="F18" s="50">
        <f>VLOOKUP($A18,'Data shares'!$C:$FB,69)*100</f>
        <v>33.700000000000003</v>
      </c>
      <c r="G18" s="49">
        <f>VLOOKUP($A18,'Data shares'!$C:$FB,42)</f>
        <v>739250</v>
      </c>
      <c r="H18" s="49">
        <f>VLOOKUP($A18,'Data shares'!$C:$FB,43)</f>
        <v>606500</v>
      </c>
      <c r="I18" s="50">
        <f>VLOOKUP($A18,'Data shares'!$C:$FB,45)*100</f>
        <v>21.89</v>
      </c>
      <c r="J18" s="49">
        <f>VLOOKUP($A18,'Data shares'!$C:$FB,58)</f>
        <v>3145500</v>
      </c>
      <c r="K18" s="49">
        <f>VLOOKUP($A18,'Data shares'!$C:$FB,59)</f>
        <v>2233500</v>
      </c>
      <c r="L18" s="50">
        <f>VLOOKUP($A18,'Data shares'!$C:$FB,61)*100</f>
        <v>40.83</v>
      </c>
      <c r="M18" s="49">
        <f>VLOOKUP($A18,'Data shares'!$C:$FB,62)</f>
        <v>1758750</v>
      </c>
      <c r="N18" s="49">
        <f>VLOOKUP($A18,'Data shares'!$C:$FB,63)</f>
        <v>1381000</v>
      </c>
      <c r="O18" s="140">
        <f>VLOOKUP($A18,'Data shares'!$C:$FB,65)*100</f>
        <v>27.35</v>
      </c>
    </row>
    <row r="19" spans="1:15" x14ac:dyDescent="0.25">
      <c r="A19" s="101" t="str">
        <f>'Data shares'!C14</f>
        <v>APLAPOLLO</v>
      </c>
      <c r="B19" s="50">
        <f>VLOOKUP($A19,'Data shares'!$C:$FB,7)</f>
        <v>1628.3</v>
      </c>
      <c r="C19" s="50">
        <f>VLOOKUP($A19,'Data shares'!$C:$FB,10)*100</f>
        <v>0.12</v>
      </c>
      <c r="D19" s="49">
        <f>VLOOKUP($A19,'Data shares'!$C:$FB,66)</f>
        <v>3995250</v>
      </c>
      <c r="E19" s="49">
        <f>VLOOKUP($A19,'Data shares'!$C:$FB,67)</f>
        <v>2401350</v>
      </c>
      <c r="F19" s="50">
        <f>VLOOKUP($A19,'Data shares'!$C:$FB,69)*100</f>
        <v>66.38</v>
      </c>
      <c r="G19" s="49">
        <f>VLOOKUP($A19,'Data shares'!$C:$FB,42)</f>
        <v>885150</v>
      </c>
      <c r="H19" s="49">
        <f>VLOOKUP($A19,'Data shares'!$C:$FB,43)</f>
        <v>604450</v>
      </c>
      <c r="I19" s="50">
        <f>VLOOKUP($A19,'Data shares'!$C:$FB,45)*100</f>
        <v>46.44</v>
      </c>
      <c r="J19" s="49">
        <f>VLOOKUP($A19,'Data shares'!$C:$FB,58)</f>
        <v>2285850</v>
      </c>
      <c r="K19" s="49">
        <f>VLOOKUP($A19,'Data shares'!$C:$FB,59)</f>
        <v>1306900</v>
      </c>
      <c r="L19" s="50">
        <f>VLOOKUP($A19,'Data shares'!$C:$FB,61)*100</f>
        <v>74.91</v>
      </c>
      <c r="M19" s="49">
        <f>VLOOKUP($A19,'Data shares'!$C:$FB,62)</f>
        <v>824250</v>
      </c>
      <c r="N19" s="49">
        <f>VLOOKUP($A19,'Data shares'!$C:$FB,63)</f>
        <v>490000</v>
      </c>
      <c r="O19" s="140">
        <f>VLOOKUP($A19,'Data shares'!$C:$FB,65)*100</f>
        <v>68.210000000000008</v>
      </c>
    </row>
    <row r="20" spans="1:15" x14ac:dyDescent="0.25">
      <c r="A20" s="101" t="str">
        <f>'Data shares'!C15</f>
        <v>APOLLOHOSP</v>
      </c>
      <c r="B20" s="50">
        <f>VLOOKUP($A20,'Data shares'!$C:$FB,7)</f>
        <v>7883</v>
      </c>
      <c r="C20" s="50">
        <f>VLOOKUP($A20,'Data shares'!$C:$FB,10)*100</f>
        <v>0.76</v>
      </c>
      <c r="D20" s="49">
        <f>VLOOKUP($A20,'Data shares'!$C:$FB,66)</f>
        <v>7286875</v>
      </c>
      <c r="E20" s="49">
        <f>VLOOKUP($A20,'Data shares'!$C:$FB,67)</f>
        <v>4163375</v>
      </c>
      <c r="F20" s="50">
        <f>VLOOKUP($A20,'Data shares'!$C:$FB,69)*100</f>
        <v>75.02</v>
      </c>
      <c r="G20" s="49">
        <f>VLOOKUP($A20,'Data shares'!$C:$FB,42)</f>
        <v>569125</v>
      </c>
      <c r="H20" s="49">
        <f>VLOOKUP($A20,'Data shares'!$C:$FB,43)</f>
        <v>337125</v>
      </c>
      <c r="I20" s="50">
        <f>VLOOKUP($A20,'Data shares'!$C:$FB,45)*100</f>
        <v>68.820000000000007</v>
      </c>
      <c r="J20" s="49">
        <f>VLOOKUP($A20,'Data shares'!$C:$FB,58)</f>
        <v>4109375</v>
      </c>
      <c r="K20" s="49">
        <f>VLOOKUP($A20,'Data shares'!$C:$FB,59)</f>
        <v>1982000</v>
      </c>
      <c r="L20" s="50">
        <f>VLOOKUP($A20,'Data shares'!$C:$FB,61)*100</f>
        <v>107.33</v>
      </c>
      <c r="M20" s="49">
        <f>VLOOKUP($A20,'Data shares'!$C:$FB,62)</f>
        <v>2608375</v>
      </c>
      <c r="N20" s="49">
        <f>VLOOKUP($A20,'Data shares'!$C:$FB,63)</f>
        <v>1844250</v>
      </c>
      <c r="O20" s="140">
        <f>VLOOKUP($A20,'Data shares'!$C:$FB,65)*100</f>
        <v>41.43</v>
      </c>
    </row>
    <row r="21" spans="1:15" x14ac:dyDescent="0.25">
      <c r="A21" s="101" t="str">
        <f>'Data shares'!C16</f>
        <v>ASHOKLEY</v>
      </c>
      <c r="B21" s="50">
        <f>VLOOKUP($A21,'Data shares'!$C:$FB,7)</f>
        <v>133.1</v>
      </c>
      <c r="C21" s="50">
        <f>VLOOKUP($A21,'Data shares'!$C:$FB,10)*100</f>
        <v>-0.13999999999999999</v>
      </c>
      <c r="D21" s="49">
        <f>VLOOKUP($A21,'Data shares'!$C:$FB,66)</f>
        <v>205455000</v>
      </c>
      <c r="E21" s="49">
        <f>VLOOKUP($A21,'Data shares'!$C:$FB,67)</f>
        <v>582050000</v>
      </c>
      <c r="F21" s="50">
        <f>VLOOKUP($A21,'Data shares'!$C:$FB,69)*100</f>
        <v>-64.7</v>
      </c>
      <c r="G21" s="49">
        <f>VLOOKUP($A21,'Data shares'!$C:$FB,42)</f>
        <v>27470000</v>
      </c>
      <c r="H21" s="49">
        <f>VLOOKUP($A21,'Data shares'!$C:$FB,43)</f>
        <v>73150000</v>
      </c>
      <c r="I21" s="50">
        <f>VLOOKUP($A21,'Data shares'!$C:$FB,45)*100</f>
        <v>-62.45</v>
      </c>
      <c r="J21" s="49">
        <f>VLOOKUP($A21,'Data shares'!$C:$FB,58)</f>
        <v>106645000</v>
      </c>
      <c r="K21" s="49">
        <f>VLOOKUP($A21,'Data shares'!$C:$FB,59)</f>
        <v>321465000</v>
      </c>
      <c r="L21" s="50">
        <f>VLOOKUP($A21,'Data shares'!$C:$FB,61)*100</f>
        <v>-66.83</v>
      </c>
      <c r="M21" s="49">
        <f>VLOOKUP($A21,'Data shares'!$C:$FB,62)</f>
        <v>71340000</v>
      </c>
      <c r="N21" s="49">
        <f>VLOOKUP($A21,'Data shares'!$C:$FB,63)</f>
        <v>187435000</v>
      </c>
      <c r="O21" s="140">
        <f>VLOOKUP($A21,'Data shares'!$C:$FB,65)*100</f>
        <v>-61.94</v>
      </c>
    </row>
    <row r="22" spans="1:15" x14ac:dyDescent="0.25">
      <c r="A22" s="101" t="str">
        <f>'Data shares'!C17</f>
        <v>ASIANPAINT</v>
      </c>
      <c r="B22" s="50">
        <f>VLOOKUP($A22,'Data shares'!$C:$FB,7)</f>
        <v>2570.1</v>
      </c>
      <c r="C22" s="50">
        <f>VLOOKUP($A22,'Data shares'!$C:$FB,10)*100</f>
        <v>-0.36</v>
      </c>
      <c r="D22" s="49">
        <f>VLOOKUP($A22,'Data shares'!$C:$FB,66)</f>
        <v>7515250</v>
      </c>
      <c r="E22" s="49">
        <f>VLOOKUP($A22,'Data shares'!$C:$FB,67)</f>
        <v>13390500</v>
      </c>
      <c r="F22" s="50">
        <f>VLOOKUP($A22,'Data shares'!$C:$FB,69)*100</f>
        <v>-43.88</v>
      </c>
      <c r="G22" s="49">
        <f>VLOOKUP($A22,'Data shares'!$C:$FB,42)</f>
        <v>1379750</v>
      </c>
      <c r="H22" s="49">
        <f>VLOOKUP($A22,'Data shares'!$C:$FB,43)</f>
        <v>1866750</v>
      </c>
      <c r="I22" s="50">
        <f>VLOOKUP($A22,'Data shares'!$C:$FB,45)*100</f>
        <v>-26.090000000000003</v>
      </c>
      <c r="J22" s="49">
        <f>VLOOKUP($A22,'Data shares'!$C:$FB,58)</f>
        <v>3844250</v>
      </c>
      <c r="K22" s="49">
        <f>VLOOKUP($A22,'Data shares'!$C:$FB,59)</f>
        <v>7583750</v>
      </c>
      <c r="L22" s="50">
        <f>VLOOKUP($A22,'Data shares'!$C:$FB,61)*100</f>
        <v>-49.309999999999995</v>
      </c>
      <c r="M22" s="49">
        <f>VLOOKUP($A22,'Data shares'!$C:$FB,62)</f>
        <v>2291250</v>
      </c>
      <c r="N22" s="49">
        <f>VLOOKUP($A22,'Data shares'!$C:$FB,63)</f>
        <v>3940000</v>
      </c>
      <c r="O22" s="140">
        <f>VLOOKUP($A22,'Data shares'!$C:$FB,65)*100</f>
        <v>-41.85</v>
      </c>
    </row>
    <row r="23" spans="1:15" x14ac:dyDescent="0.25">
      <c r="A23" s="101" t="str">
        <f>'Data shares'!C18</f>
        <v>ASTRAL</v>
      </c>
      <c r="B23" s="50">
        <f>VLOOKUP($A23,'Data shares'!$C:$FB,7)</f>
        <v>1393.8</v>
      </c>
      <c r="C23" s="50">
        <f>VLOOKUP($A23,'Data shares'!$C:$FB,10)*100</f>
        <v>2.0299999999999998</v>
      </c>
      <c r="D23" s="49">
        <f>VLOOKUP($A23,'Data shares'!$C:$FB,66)</f>
        <v>21093600</v>
      </c>
      <c r="E23" s="49">
        <f>VLOOKUP($A23,'Data shares'!$C:$FB,67)</f>
        <v>20468425</v>
      </c>
      <c r="F23" s="50">
        <f>VLOOKUP($A23,'Data shares'!$C:$FB,69)*100</f>
        <v>3.05</v>
      </c>
      <c r="G23" s="49">
        <f>VLOOKUP($A23,'Data shares'!$C:$FB,42)</f>
        <v>2398700</v>
      </c>
      <c r="H23" s="49">
        <f>VLOOKUP($A23,'Data shares'!$C:$FB,43)</f>
        <v>3235100</v>
      </c>
      <c r="I23" s="50">
        <f>VLOOKUP($A23,'Data shares'!$C:$FB,45)*100</f>
        <v>-25.85</v>
      </c>
      <c r="J23" s="49">
        <f>VLOOKUP($A23,'Data shares'!$C:$FB,58)</f>
        <v>13664600</v>
      </c>
      <c r="K23" s="49">
        <f>VLOOKUP($A23,'Data shares'!$C:$FB,59)</f>
        <v>11623325</v>
      </c>
      <c r="L23" s="50">
        <f>VLOOKUP($A23,'Data shares'!$C:$FB,61)*100</f>
        <v>17.560000000000002</v>
      </c>
      <c r="M23" s="49">
        <f>VLOOKUP($A23,'Data shares'!$C:$FB,62)</f>
        <v>5030300</v>
      </c>
      <c r="N23" s="49">
        <f>VLOOKUP($A23,'Data shares'!$C:$FB,63)</f>
        <v>5610000</v>
      </c>
      <c r="O23" s="140">
        <f>VLOOKUP($A23,'Data shares'!$C:$FB,65)*100</f>
        <v>-10.33</v>
      </c>
    </row>
    <row r="24" spans="1:15" x14ac:dyDescent="0.25">
      <c r="A24" s="101" t="str">
        <f>'Data shares'!C19</f>
        <v>ATGL</v>
      </c>
      <c r="B24" s="50">
        <f>VLOOKUP($A24,'Data shares'!$C:$FB,7)</f>
        <v>630.4</v>
      </c>
      <c r="C24" s="50">
        <f>VLOOKUP($A24,'Data shares'!$C:$FB,10)*100</f>
        <v>0.26</v>
      </c>
      <c r="D24" s="49">
        <f>VLOOKUP($A24,'Data shares'!$C:$FB,66)</f>
        <v>2499875</v>
      </c>
      <c r="E24" s="49">
        <f>VLOOKUP($A24,'Data shares'!$C:$FB,67)</f>
        <v>2614500</v>
      </c>
      <c r="F24" s="50">
        <f>VLOOKUP($A24,'Data shares'!$C:$FB,69)*100</f>
        <v>-4.38</v>
      </c>
      <c r="G24" s="49">
        <f>VLOOKUP($A24,'Data shares'!$C:$FB,42)</f>
        <v>688625</v>
      </c>
      <c r="H24" s="49">
        <f>VLOOKUP($A24,'Data shares'!$C:$FB,43)</f>
        <v>552125</v>
      </c>
      <c r="I24" s="50">
        <f>VLOOKUP($A24,'Data shares'!$C:$FB,45)*100</f>
        <v>24.72</v>
      </c>
      <c r="J24" s="49">
        <f>VLOOKUP($A24,'Data shares'!$C:$FB,58)</f>
        <v>1363250</v>
      </c>
      <c r="K24" s="49">
        <f>VLOOKUP($A24,'Data shares'!$C:$FB,59)</f>
        <v>1605625</v>
      </c>
      <c r="L24" s="50">
        <f>VLOOKUP($A24,'Data shares'!$C:$FB,61)*100</f>
        <v>-15.1</v>
      </c>
      <c r="M24" s="49">
        <f>VLOOKUP($A24,'Data shares'!$C:$FB,62)</f>
        <v>448000</v>
      </c>
      <c r="N24" s="49">
        <f>VLOOKUP($A24,'Data shares'!$C:$FB,63)</f>
        <v>456750</v>
      </c>
      <c r="O24" s="140">
        <f>VLOOKUP($A24,'Data shares'!$C:$FB,65)*100</f>
        <v>-1.92</v>
      </c>
    </row>
    <row r="25" spans="1:15" x14ac:dyDescent="0.25">
      <c r="A25" s="101" t="str">
        <f>'Data shares'!C20</f>
        <v>AUBANK</v>
      </c>
      <c r="B25" s="50">
        <f>VLOOKUP($A25,'Data shares'!$C:$FB,7)</f>
        <v>759.15</v>
      </c>
      <c r="C25" s="50">
        <f>VLOOKUP($A25,'Data shares'!$C:$FB,10)*100</f>
        <v>0.09</v>
      </c>
      <c r="D25" s="49">
        <f>VLOOKUP($A25,'Data shares'!$C:$FB,66)</f>
        <v>17992000</v>
      </c>
      <c r="E25" s="49">
        <f>VLOOKUP($A25,'Data shares'!$C:$FB,67)</f>
        <v>13254000</v>
      </c>
      <c r="F25" s="50">
        <f>VLOOKUP($A25,'Data shares'!$C:$FB,69)*100</f>
        <v>35.75</v>
      </c>
      <c r="G25" s="49">
        <f>VLOOKUP($A25,'Data shares'!$C:$FB,42)</f>
        <v>4522000</v>
      </c>
      <c r="H25" s="49">
        <f>VLOOKUP($A25,'Data shares'!$C:$FB,43)</f>
        <v>4163000</v>
      </c>
      <c r="I25" s="50">
        <f>VLOOKUP($A25,'Data shares'!$C:$FB,45)*100</f>
        <v>8.6199999999999992</v>
      </c>
      <c r="J25" s="49">
        <f>VLOOKUP($A25,'Data shares'!$C:$FB,58)</f>
        <v>8927000</v>
      </c>
      <c r="K25" s="49">
        <f>VLOOKUP($A25,'Data shares'!$C:$FB,59)</f>
        <v>6074000</v>
      </c>
      <c r="L25" s="50">
        <f>VLOOKUP($A25,'Data shares'!$C:$FB,61)*100</f>
        <v>46.97</v>
      </c>
      <c r="M25" s="49">
        <f>VLOOKUP($A25,'Data shares'!$C:$FB,62)</f>
        <v>4543000</v>
      </c>
      <c r="N25" s="49">
        <f>VLOOKUP($A25,'Data shares'!$C:$FB,63)</f>
        <v>3017000</v>
      </c>
      <c r="O25" s="140">
        <f>VLOOKUP($A25,'Data shares'!$C:$FB,65)*100</f>
        <v>50.580000000000005</v>
      </c>
    </row>
    <row r="26" spans="1:15" x14ac:dyDescent="0.25">
      <c r="A26" s="101" t="str">
        <f>'Data shares'!C21</f>
        <v>AUROPHARMA</v>
      </c>
      <c r="B26" s="50">
        <f>VLOOKUP($A26,'Data shares'!$C:$FB,7)</f>
        <v>1046.4000000000001</v>
      </c>
      <c r="C26" s="50">
        <f>VLOOKUP($A26,'Data shares'!$C:$FB,10)*100</f>
        <v>-3.9699999999999998</v>
      </c>
      <c r="D26" s="49">
        <f>VLOOKUP($A26,'Data shares'!$C:$FB,66)</f>
        <v>51344150</v>
      </c>
      <c r="E26" s="49">
        <f>VLOOKUP($A26,'Data shares'!$C:$FB,67)</f>
        <v>7181900</v>
      </c>
      <c r="F26" s="50">
        <f>VLOOKUP($A26,'Data shares'!$C:$FB,69)*100</f>
        <v>614.91</v>
      </c>
      <c r="G26" s="49">
        <f>VLOOKUP($A26,'Data shares'!$C:$FB,42)</f>
        <v>8829700</v>
      </c>
      <c r="H26" s="49">
        <f>VLOOKUP($A26,'Data shares'!$C:$FB,43)</f>
        <v>1373900</v>
      </c>
      <c r="I26" s="50">
        <f>VLOOKUP($A26,'Data shares'!$C:$FB,45)*100</f>
        <v>542.67000000000007</v>
      </c>
      <c r="J26" s="49">
        <f>VLOOKUP($A26,'Data shares'!$C:$FB,58)</f>
        <v>26333450</v>
      </c>
      <c r="K26" s="49">
        <f>VLOOKUP($A26,'Data shares'!$C:$FB,59)</f>
        <v>3184500</v>
      </c>
      <c r="L26" s="50">
        <f>VLOOKUP($A26,'Data shares'!$C:$FB,61)*100</f>
        <v>726.93000000000006</v>
      </c>
      <c r="M26" s="49">
        <f>VLOOKUP($A26,'Data shares'!$C:$FB,62)</f>
        <v>16181000</v>
      </c>
      <c r="N26" s="49">
        <f>VLOOKUP($A26,'Data shares'!$C:$FB,63)</f>
        <v>2623500</v>
      </c>
      <c r="O26" s="140">
        <f>VLOOKUP($A26,'Data shares'!$C:$FB,65)*100</f>
        <v>516.77</v>
      </c>
    </row>
    <row r="27" spans="1:15" x14ac:dyDescent="0.25">
      <c r="A27" s="101" t="str">
        <f>'Data shares'!C22</f>
        <v>AXISBANK</v>
      </c>
      <c r="B27" s="50">
        <f>VLOOKUP($A27,'Data shares'!$C:$FB,7)</f>
        <v>1080.2</v>
      </c>
      <c r="C27" s="50">
        <f>VLOOKUP($A27,'Data shares'!$C:$FB,10)*100</f>
        <v>-0.27999999999999997</v>
      </c>
      <c r="D27" s="49">
        <f>VLOOKUP($A27,'Data shares'!$C:$FB,66)</f>
        <v>30973125</v>
      </c>
      <c r="E27" s="49">
        <f>VLOOKUP($A27,'Data shares'!$C:$FB,67)</f>
        <v>43546250</v>
      </c>
      <c r="F27" s="50">
        <f>VLOOKUP($A27,'Data shares'!$C:$FB,69)*100</f>
        <v>-28.87</v>
      </c>
      <c r="G27" s="49">
        <f>VLOOKUP($A27,'Data shares'!$C:$FB,42)</f>
        <v>8156250</v>
      </c>
      <c r="H27" s="49">
        <f>VLOOKUP($A27,'Data shares'!$C:$FB,43)</f>
        <v>7865625</v>
      </c>
      <c r="I27" s="50">
        <f>VLOOKUP($A27,'Data shares'!$C:$FB,45)*100</f>
        <v>3.6900000000000004</v>
      </c>
      <c r="J27" s="49">
        <f>VLOOKUP($A27,'Data shares'!$C:$FB,58)</f>
        <v>14860625</v>
      </c>
      <c r="K27" s="49">
        <f>VLOOKUP($A27,'Data shares'!$C:$FB,59)</f>
        <v>23281875</v>
      </c>
      <c r="L27" s="50">
        <f>VLOOKUP($A27,'Data shares'!$C:$FB,61)*100</f>
        <v>-36.17</v>
      </c>
      <c r="M27" s="49">
        <f>VLOOKUP($A27,'Data shares'!$C:$FB,62)</f>
        <v>7956250</v>
      </c>
      <c r="N27" s="49">
        <f>VLOOKUP($A27,'Data shares'!$C:$FB,63)</f>
        <v>12398750</v>
      </c>
      <c r="O27" s="140">
        <f>VLOOKUP($A27,'Data shares'!$C:$FB,65)*100</f>
        <v>-35.83</v>
      </c>
    </row>
    <row r="28" spans="1:15" x14ac:dyDescent="0.25">
      <c r="A28" s="101" t="str">
        <f>'Data shares'!C23</f>
        <v>BAJAJ-AUTO</v>
      </c>
      <c r="B28" s="50">
        <f>VLOOKUP($A28,'Data shares'!$C:$FB,7)</f>
        <v>8827.5</v>
      </c>
      <c r="C28" s="50">
        <f>VLOOKUP($A28,'Data shares'!$C:$FB,10)*100</f>
        <v>0.36</v>
      </c>
      <c r="D28" s="49">
        <f>VLOOKUP($A28,'Data shares'!$C:$FB,66)</f>
        <v>7246800</v>
      </c>
      <c r="E28" s="49">
        <f>VLOOKUP($A28,'Data shares'!$C:$FB,67)</f>
        <v>26682150</v>
      </c>
      <c r="F28" s="50">
        <f>VLOOKUP($A28,'Data shares'!$C:$FB,69)*100</f>
        <v>-72.84</v>
      </c>
      <c r="G28" s="49">
        <f>VLOOKUP($A28,'Data shares'!$C:$FB,42)</f>
        <v>641925</v>
      </c>
      <c r="H28" s="49">
        <f>VLOOKUP($A28,'Data shares'!$C:$FB,43)</f>
        <v>1492200</v>
      </c>
      <c r="I28" s="50">
        <f>VLOOKUP($A28,'Data shares'!$C:$FB,45)*100</f>
        <v>-56.98</v>
      </c>
      <c r="J28" s="49">
        <f>VLOOKUP($A28,'Data shares'!$C:$FB,58)</f>
        <v>4350450</v>
      </c>
      <c r="K28" s="49">
        <f>VLOOKUP($A28,'Data shares'!$C:$FB,59)</f>
        <v>17895900</v>
      </c>
      <c r="L28" s="50">
        <f>VLOOKUP($A28,'Data shares'!$C:$FB,61)*100</f>
        <v>-75.69</v>
      </c>
      <c r="M28" s="49">
        <f>VLOOKUP($A28,'Data shares'!$C:$FB,62)</f>
        <v>2254425</v>
      </c>
      <c r="N28" s="49">
        <f>VLOOKUP($A28,'Data shares'!$C:$FB,63)</f>
        <v>7294050</v>
      </c>
      <c r="O28" s="140">
        <f>VLOOKUP($A28,'Data shares'!$C:$FB,65)*100</f>
        <v>-69.089999999999989</v>
      </c>
    </row>
    <row r="29" spans="1:15" x14ac:dyDescent="0.25">
      <c r="A29" s="101" t="str">
        <f>'Data shares'!C24</f>
        <v>BAJAJFINSV</v>
      </c>
      <c r="B29" s="50">
        <f>VLOOKUP($A29,'Data shares'!$C:$FB,7)</f>
        <v>1958.5</v>
      </c>
      <c r="C29" s="50">
        <f>VLOOKUP($A29,'Data shares'!$C:$FB,10)*100</f>
        <v>-0.69</v>
      </c>
      <c r="D29" s="49">
        <f>VLOOKUP($A29,'Data shares'!$C:$FB,66)</f>
        <v>16183000</v>
      </c>
      <c r="E29" s="49">
        <f>VLOOKUP($A29,'Data shares'!$C:$FB,67)</f>
        <v>18298000</v>
      </c>
      <c r="F29" s="50">
        <f>VLOOKUP($A29,'Data shares'!$C:$FB,69)*100</f>
        <v>-11.559999999999999</v>
      </c>
      <c r="G29" s="49">
        <f>VLOOKUP($A29,'Data shares'!$C:$FB,42)</f>
        <v>2146000</v>
      </c>
      <c r="H29" s="49">
        <f>VLOOKUP($A29,'Data shares'!$C:$FB,43)</f>
        <v>2175000</v>
      </c>
      <c r="I29" s="50">
        <f>VLOOKUP($A29,'Data shares'!$C:$FB,45)*100</f>
        <v>-1.3299999999999998</v>
      </c>
      <c r="J29" s="49">
        <f>VLOOKUP($A29,'Data shares'!$C:$FB,58)</f>
        <v>9455500</v>
      </c>
      <c r="K29" s="49">
        <f>VLOOKUP($A29,'Data shares'!$C:$FB,59)</f>
        <v>9867500</v>
      </c>
      <c r="L29" s="50">
        <f>VLOOKUP($A29,'Data shares'!$C:$FB,61)*100</f>
        <v>-4.18</v>
      </c>
      <c r="M29" s="49">
        <f>VLOOKUP($A29,'Data shares'!$C:$FB,62)</f>
        <v>4581500</v>
      </c>
      <c r="N29" s="49">
        <f>VLOOKUP($A29,'Data shares'!$C:$FB,63)</f>
        <v>6255500</v>
      </c>
      <c r="O29" s="140">
        <f>VLOOKUP($A29,'Data shares'!$C:$FB,65)*100</f>
        <v>-26.76</v>
      </c>
    </row>
    <row r="30" spans="1:15" x14ac:dyDescent="0.25">
      <c r="A30" s="101" t="str">
        <f>'Data shares'!C25</f>
        <v>BAJFINANCE</v>
      </c>
      <c r="B30" s="50">
        <f>VLOOKUP($A30,'Data shares'!$C:$FB,7)</f>
        <v>887.8</v>
      </c>
      <c r="C30" s="50">
        <f>VLOOKUP($A30,'Data shares'!$C:$FB,10)*100</f>
        <v>-1.6099999999999999</v>
      </c>
      <c r="D30" s="49">
        <f>VLOOKUP($A30,'Data shares'!$C:$FB,66)</f>
        <v>61887000</v>
      </c>
      <c r="E30" s="49">
        <f>VLOOKUP($A30,'Data shares'!$C:$FB,67)</f>
        <v>69669750</v>
      </c>
      <c r="F30" s="50">
        <f>VLOOKUP($A30,'Data shares'!$C:$FB,69)*100</f>
        <v>-11.17</v>
      </c>
      <c r="G30" s="49">
        <f>VLOOKUP($A30,'Data shares'!$C:$FB,42)</f>
        <v>11535000</v>
      </c>
      <c r="H30" s="49">
        <f>VLOOKUP($A30,'Data shares'!$C:$FB,43)</f>
        <v>10503750</v>
      </c>
      <c r="I30" s="50">
        <f>VLOOKUP($A30,'Data shares'!$C:$FB,45)*100</f>
        <v>9.82</v>
      </c>
      <c r="J30" s="49">
        <f>VLOOKUP($A30,'Data shares'!$C:$FB,58)</f>
        <v>32496750</v>
      </c>
      <c r="K30" s="49">
        <f>VLOOKUP($A30,'Data shares'!$C:$FB,59)</f>
        <v>38074500</v>
      </c>
      <c r="L30" s="50">
        <f>VLOOKUP($A30,'Data shares'!$C:$FB,61)*100</f>
        <v>-14.649999999999999</v>
      </c>
      <c r="M30" s="49">
        <f>VLOOKUP($A30,'Data shares'!$C:$FB,62)</f>
        <v>17855250</v>
      </c>
      <c r="N30" s="49">
        <f>VLOOKUP($A30,'Data shares'!$C:$FB,63)</f>
        <v>21091500</v>
      </c>
      <c r="O30" s="140">
        <f>VLOOKUP($A30,'Data shares'!$C:$FB,65)*100</f>
        <v>-15.340000000000002</v>
      </c>
    </row>
    <row r="31" spans="1:15" x14ac:dyDescent="0.25">
      <c r="A31" s="101" t="str">
        <f>'Data shares'!C26</f>
        <v>BANDHANBNK</v>
      </c>
      <c r="B31" s="50">
        <f>VLOOKUP($A31,'Data shares'!$C:$FB,7)</f>
        <v>174.28</v>
      </c>
      <c r="C31" s="50">
        <f>VLOOKUP($A31,'Data shares'!$C:$FB,10)*100</f>
        <v>0.16</v>
      </c>
      <c r="D31" s="49">
        <f>VLOOKUP($A31,'Data shares'!$C:$FB,66)</f>
        <v>48276000</v>
      </c>
      <c r="E31" s="49">
        <f>VLOOKUP($A31,'Data shares'!$C:$FB,67)</f>
        <v>99331200</v>
      </c>
      <c r="F31" s="50">
        <f>VLOOKUP($A31,'Data shares'!$C:$FB,69)*100</f>
        <v>-51.4</v>
      </c>
      <c r="G31" s="49">
        <f>VLOOKUP($A31,'Data shares'!$C:$FB,42)</f>
        <v>14076000</v>
      </c>
      <c r="H31" s="49">
        <f>VLOOKUP($A31,'Data shares'!$C:$FB,43)</f>
        <v>23914800</v>
      </c>
      <c r="I31" s="50">
        <f>VLOOKUP($A31,'Data shares'!$C:$FB,45)*100</f>
        <v>-41.14</v>
      </c>
      <c r="J31" s="49">
        <f>VLOOKUP($A31,'Data shares'!$C:$FB,58)</f>
        <v>19810800</v>
      </c>
      <c r="K31" s="49">
        <f>VLOOKUP($A31,'Data shares'!$C:$FB,59)</f>
        <v>46130400</v>
      </c>
      <c r="L31" s="50">
        <f>VLOOKUP($A31,'Data shares'!$C:$FB,61)*100</f>
        <v>-57.05</v>
      </c>
      <c r="M31" s="49">
        <f>VLOOKUP($A31,'Data shares'!$C:$FB,62)</f>
        <v>14389200</v>
      </c>
      <c r="N31" s="49">
        <f>VLOOKUP($A31,'Data shares'!$C:$FB,63)</f>
        <v>29286000</v>
      </c>
      <c r="O31" s="140">
        <f>VLOOKUP($A31,'Data shares'!$C:$FB,65)*100</f>
        <v>-50.870000000000005</v>
      </c>
    </row>
    <row r="32" spans="1:15" x14ac:dyDescent="0.25">
      <c r="A32" s="101" t="str">
        <f>'Data shares'!C27</f>
        <v>BANKBARODA</v>
      </c>
      <c r="B32" s="50">
        <f>VLOOKUP($A32,'Data shares'!$C:$FB,7)</f>
        <v>244.88</v>
      </c>
      <c r="C32" s="50">
        <f>VLOOKUP($A32,'Data shares'!$C:$FB,10)*100</f>
        <v>-0.88</v>
      </c>
      <c r="D32" s="49">
        <f>VLOOKUP($A32,'Data shares'!$C:$FB,66)</f>
        <v>110471400</v>
      </c>
      <c r="E32" s="49">
        <f>VLOOKUP($A32,'Data shares'!$C:$FB,67)</f>
        <v>101134800</v>
      </c>
      <c r="F32" s="50">
        <f>VLOOKUP($A32,'Data shares'!$C:$FB,69)*100</f>
        <v>9.2299999999999986</v>
      </c>
      <c r="G32" s="49">
        <f>VLOOKUP($A32,'Data shares'!$C:$FB,42)</f>
        <v>33426900</v>
      </c>
      <c r="H32" s="49">
        <f>VLOOKUP($A32,'Data shares'!$C:$FB,43)</f>
        <v>22443525</v>
      </c>
      <c r="I32" s="50">
        <f>VLOOKUP($A32,'Data shares'!$C:$FB,45)*100</f>
        <v>48.94</v>
      </c>
      <c r="J32" s="49">
        <f>VLOOKUP($A32,'Data shares'!$C:$FB,58)</f>
        <v>47940750</v>
      </c>
      <c r="K32" s="49">
        <f>VLOOKUP($A32,'Data shares'!$C:$FB,59)</f>
        <v>50655150</v>
      </c>
      <c r="L32" s="50">
        <f>VLOOKUP($A32,'Data shares'!$C:$FB,61)*100</f>
        <v>-5.36</v>
      </c>
      <c r="M32" s="49">
        <f>VLOOKUP($A32,'Data shares'!$C:$FB,62)</f>
        <v>29103750</v>
      </c>
      <c r="N32" s="49">
        <f>VLOOKUP($A32,'Data shares'!$C:$FB,63)</f>
        <v>28036125</v>
      </c>
      <c r="O32" s="140">
        <f>VLOOKUP($A32,'Data shares'!$C:$FB,65)*100</f>
        <v>3.81</v>
      </c>
    </row>
    <row r="33" spans="1:15" x14ac:dyDescent="0.25">
      <c r="A33" s="101" t="str">
        <f>'Data shares'!C28</f>
        <v>BANKINDIA</v>
      </c>
      <c r="B33" s="50">
        <f>VLOOKUP($A33,'Data shares'!$C:$FB,7)</f>
        <v>116.33</v>
      </c>
      <c r="C33" s="50">
        <f>VLOOKUP($A33,'Data shares'!$C:$FB,10)*100</f>
        <v>-0.13999999999999999</v>
      </c>
      <c r="D33" s="49">
        <f>VLOOKUP($A33,'Data shares'!$C:$FB,66)</f>
        <v>19463600</v>
      </c>
      <c r="E33" s="49">
        <f>VLOOKUP($A33,'Data shares'!$C:$FB,67)</f>
        <v>36977200</v>
      </c>
      <c r="F33" s="50">
        <f>VLOOKUP($A33,'Data shares'!$C:$FB,69)*100</f>
        <v>-47.36</v>
      </c>
      <c r="G33" s="49">
        <f>VLOOKUP($A33,'Data shares'!$C:$FB,42)</f>
        <v>7311200</v>
      </c>
      <c r="H33" s="49">
        <f>VLOOKUP($A33,'Data shares'!$C:$FB,43)</f>
        <v>10909600</v>
      </c>
      <c r="I33" s="50">
        <f>VLOOKUP($A33,'Data shares'!$C:$FB,45)*100</f>
        <v>-32.979999999999997</v>
      </c>
      <c r="J33" s="49">
        <f>VLOOKUP($A33,'Data shares'!$C:$FB,58)</f>
        <v>5876000</v>
      </c>
      <c r="K33" s="49">
        <f>VLOOKUP($A33,'Data shares'!$C:$FB,59)</f>
        <v>16718000</v>
      </c>
      <c r="L33" s="50">
        <f>VLOOKUP($A33,'Data shares'!$C:$FB,61)*100</f>
        <v>-64.849999999999994</v>
      </c>
      <c r="M33" s="49">
        <f>VLOOKUP($A33,'Data shares'!$C:$FB,62)</f>
        <v>6276400</v>
      </c>
      <c r="N33" s="49">
        <f>VLOOKUP($A33,'Data shares'!$C:$FB,63)</f>
        <v>9349600</v>
      </c>
      <c r="O33" s="140">
        <f>VLOOKUP($A33,'Data shares'!$C:$FB,65)*100</f>
        <v>-32.869999999999997</v>
      </c>
    </row>
    <row r="34" spans="1:15" x14ac:dyDescent="0.25">
      <c r="A34" s="101" t="str">
        <f>'Data shares'!C29</f>
        <v>BANKNIFTY</v>
      </c>
      <c r="B34" s="50">
        <f>VLOOKUP($A34,'Data shares'!$C:$FB,7)</f>
        <v>55698.5</v>
      </c>
      <c r="C34" s="50">
        <f>VLOOKUP($A34,'Data shares'!$C:$FB,10)*100</f>
        <v>-0.3</v>
      </c>
      <c r="D34" s="49">
        <f>VLOOKUP($A34,'Data shares'!$C:$FB,66)</f>
        <v>122722005</v>
      </c>
      <c r="E34" s="49">
        <f>VLOOKUP($A34,'Data shares'!$C:$FB,67)</f>
        <v>117140730</v>
      </c>
      <c r="F34" s="50">
        <f>VLOOKUP($A34,'Data shares'!$C:$FB,69)*100</f>
        <v>4.7600000000000007</v>
      </c>
      <c r="G34" s="49">
        <f>VLOOKUP($A34,'Data shares'!$C:$FB,42)</f>
        <v>671300</v>
      </c>
      <c r="H34" s="49">
        <f>VLOOKUP($A34,'Data shares'!$C:$FB,43)</f>
        <v>739655</v>
      </c>
      <c r="I34" s="50">
        <f>VLOOKUP($A34,'Data shares'!$C:$FB,45)*100</f>
        <v>-9.24</v>
      </c>
      <c r="J34" s="49">
        <f>VLOOKUP($A34,'Data shares'!$C:$FB,58)</f>
        <v>64150625</v>
      </c>
      <c r="K34" s="49">
        <f>VLOOKUP($A34,'Data shares'!$C:$FB,59)</f>
        <v>64120980</v>
      </c>
      <c r="L34" s="50">
        <f>VLOOKUP($A34,'Data shares'!$C:$FB,61)*100</f>
        <v>0.05</v>
      </c>
      <c r="M34" s="49">
        <f>VLOOKUP($A34,'Data shares'!$C:$FB,62)</f>
        <v>57900080</v>
      </c>
      <c r="N34" s="49">
        <f>VLOOKUP($A34,'Data shares'!$C:$FB,63)</f>
        <v>52280095</v>
      </c>
      <c r="O34" s="140">
        <f>VLOOKUP($A34,'Data shares'!$C:$FB,65)*100</f>
        <v>10.75</v>
      </c>
    </row>
    <row r="35" spans="1:15" x14ac:dyDescent="0.25">
      <c r="A35" s="101" t="str">
        <f>'Data shares'!C30</f>
        <v>BDL</v>
      </c>
      <c r="B35" s="50">
        <f>VLOOKUP($A35,'Data shares'!$C:$FB,7)</f>
        <v>1529.5</v>
      </c>
      <c r="C35" s="50">
        <f>VLOOKUP($A35,'Data shares'!$C:$FB,10)*100</f>
        <v>-1.27</v>
      </c>
      <c r="D35" s="49">
        <f>VLOOKUP($A35,'Data shares'!$C:$FB,66)</f>
        <v>7680075</v>
      </c>
      <c r="E35" s="49">
        <f>VLOOKUP($A35,'Data shares'!$C:$FB,67)</f>
        <v>10367500</v>
      </c>
      <c r="F35" s="50">
        <f>VLOOKUP($A35,'Data shares'!$C:$FB,69)*100</f>
        <v>-25.919999999999998</v>
      </c>
      <c r="G35" s="49">
        <f>VLOOKUP($A35,'Data shares'!$C:$FB,42)</f>
        <v>1311700</v>
      </c>
      <c r="H35" s="49">
        <f>VLOOKUP($A35,'Data shares'!$C:$FB,43)</f>
        <v>1752400</v>
      </c>
      <c r="I35" s="50">
        <f>VLOOKUP($A35,'Data shares'!$C:$FB,45)*100</f>
        <v>-25.15</v>
      </c>
      <c r="J35" s="49">
        <f>VLOOKUP($A35,'Data shares'!$C:$FB,58)</f>
        <v>4122300</v>
      </c>
      <c r="K35" s="49">
        <f>VLOOKUP($A35,'Data shares'!$C:$FB,59)</f>
        <v>4065100</v>
      </c>
      <c r="L35" s="50">
        <f>VLOOKUP($A35,'Data shares'!$C:$FB,61)*100</f>
        <v>1.41</v>
      </c>
      <c r="M35" s="49">
        <f>VLOOKUP($A35,'Data shares'!$C:$FB,62)</f>
        <v>2246075</v>
      </c>
      <c r="N35" s="49">
        <f>VLOOKUP($A35,'Data shares'!$C:$FB,63)</f>
        <v>4550000</v>
      </c>
      <c r="O35" s="140">
        <f>VLOOKUP($A35,'Data shares'!$C:$FB,65)*100</f>
        <v>-50.639999999999993</v>
      </c>
    </row>
    <row r="36" spans="1:15" x14ac:dyDescent="0.25">
      <c r="A36" s="101" t="str">
        <f>'Data shares'!C31</f>
        <v>BEL</v>
      </c>
      <c r="B36" s="50">
        <f>VLOOKUP($A36,'Data shares'!$C:$FB,7)</f>
        <v>371.85</v>
      </c>
      <c r="C36" s="50">
        <f>VLOOKUP($A36,'Data shares'!$C:$FB,10)*100</f>
        <v>-2.16</v>
      </c>
      <c r="D36" s="49">
        <f>VLOOKUP($A36,'Data shares'!$C:$FB,66)</f>
        <v>278647350</v>
      </c>
      <c r="E36" s="49">
        <f>VLOOKUP($A36,'Data shares'!$C:$FB,67)</f>
        <v>158753550</v>
      </c>
      <c r="F36" s="50">
        <f>VLOOKUP($A36,'Data shares'!$C:$FB,69)*100</f>
        <v>75.52</v>
      </c>
      <c r="G36" s="49">
        <f>VLOOKUP($A36,'Data shares'!$C:$FB,42)</f>
        <v>40213500</v>
      </c>
      <c r="H36" s="49">
        <f>VLOOKUP($A36,'Data shares'!$C:$FB,43)</f>
        <v>24108150</v>
      </c>
      <c r="I36" s="50">
        <f>VLOOKUP($A36,'Data shares'!$C:$FB,45)*100</f>
        <v>66.8</v>
      </c>
      <c r="J36" s="49">
        <f>VLOOKUP($A36,'Data shares'!$C:$FB,58)</f>
        <v>156661650</v>
      </c>
      <c r="K36" s="49">
        <f>VLOOKUP($A36,'Data shares'!$C:$FB,59)</f>
        <v>87771450</v>
      </c>
      <c r="L36" s="50">
        <f>VLOOKUP($A36,'Data shares'!$C:$FB,61)*100</f>
        <v>78.490000000000009</v>
      </c>
      <c r="M36" s="49">
        <f>VLOOKUP($A36,'Data shares'!$C:$FB,62)</f>
        <v>81772200</v>
      </c>
      <c r="N36" s="49">
        <f>VLOOKUP($A36,'Data shares'!$C:$FB,63)</f>
        <v>46873950</v>
      </c>
      <c r="O36" s="140">
        <f>VLOOKUP($A36,'Data shares'!$C:$FB,65)*100</f>
        <v>74.45</v>
      </c>
    </row>
    <row r="37" spans="1:15" x14ac:dyDescent="0.25">
      <c r="A37" s="101" t="str">
        <f>'Data shares'!C32</f>
        <v>BHARATFORG</v>
      </c>
      <c r="B37" s="50">
        <f>VLOOKUP($A37,'Data shares'!$C:$FB,7)</f>
        <v>1158.9000000000001</v>
      </c>
      <c r="C37" s="50">
        <f>VLOOKUP($A37,'Data shares'!$C:$FB,10)*100</f>
        <v>-2.4899999999999998</v>
      </c>
      <c r="D37" s="49">
        <f>VLOOKUP($A37,'Data shares'!$C:$FB,66)</f>
        <v>9552500</v>
      </c>
      <c r="E37" s="49">
        <f>VLOOKUP($A37,'Data shares'!$C:$FB,67)</f>
        <v>5779000</v>
      </c>
      <c r="F37" s="50">
        <f>VLOOKUP($A37,'Data shares'!$C:$FB,69)*100</f>
        <v>65.3</v>
      </c>
      <c r="G37" s="49">
        <f>VLOOKUP($A37,'Data shares'!$C:$FB,42)</f>
        <v>2870500</v>
      </c>
      <c r="H37" s="49">
        <f>VLOOKUP($A37,'Data shares'!$C:$FB,43)</f>
        <v>1471500</v>
      </c>
      <c r="I37" s="50">
        <f>VLOOKUP($A37,'Data shares'!$C:$FB,45)*100</f>
        <v>95.07</v>
      </c>
      <c r="J37" s="49">
        <f>VLOOKUP($A37,'Data shares'!$C:$FB,58)</f>
        <v>4108000</v>
      </c>
      <c r="K37" s="49">
        <f>VLOOKUP($A37,'Data shares'!$C:$FB,59)</f>
        <v>2908000</v>
      </c>
      <c r="L37" s="50">
        <f>VLOOKUP($A37,'Data shares'!$C:$FB,61)*100</f>
        <v>41.27</v>
      </c>
      <c r="M37" s="49">
        <f>VLOOKUP($A37,'Data shares'!$C:$FB,62)</f>
        <v>2574000</v>
      </c>
      <c r="N37" s="49">
        <f>VLOOKUP($A37,'Data shares'!$C:$FB,63)</f>
        <v>1399500</v>
      </c>
      <c r="O37" s="140">
        <f>VLOOKUP($A37,'Data shares'!$C:$FB,65)*100</f>
        <v>83.919999999999987</v>
      </c>
    </row>
    <row r="38" spans="1:15" x14ac:dyDescent="0.25">
      <c r="A38" s="101" t="str">
        <f>'Data shares'!C33</f>
        <v>BHARTIARTL</v>
      </c>
      <c r="B38" s="50">
        <f>VLOOKUP($A38,'Data shares'!$C:$FB,7)</f>
        <v>1928.4</v>
      </c>
      <c r="C38" s="50">
        <f>VLOOKUP($A38,'Data shares'!$C:$FB,10)*100</f>
        <v>0.98</v>
      </c>
      <c r="D38" s="49">
        <f>VLOOKUP($A38,'Data shares'!$C:$FB,66)</f>
        <v>77347100</v>
      </c>
      <c r="E38" s="49">
        <f>VLOOKUP($A38,'Data shares'!$C:$FB,67)</f>
        <v>81435900</v>
      </c>
      <c r="F38" s="50">
        <f>VLOOKUP($A38,'Data shares'!$C:$FB,69)*100</f>
        <v>-5.0200000000000005</v>
      </c>
      <c r="G38" s="49">
        <f>VLOOKUP($A38,'Data shares'!$C:$FB,42)</f>
        <v>7050425</v>
      </c>
      <c r="H38" s="49">
        <f>VLOOKUP($A38,'Data shares'!$C:$FB,43)</f>
        <v>5806400</v>
      </c>
      <c r="I38" s="50">
        <f>VLOOKUP($A38,'Data shares'!$C:$FB,45)*100</f>
        <v>21.43</v>
      </c>
      <c r="J38" s="49">
        <f>VLOOKUP($A38,'Data shares'!$C:$FB,58)</f>
        <v>51123775</v>
      </c>
      <c r="K38" s="49">
        <f>VLOOKUP($A38,'Data shares'!$C:$FB,59)</f>
        <v>54304850</v>
      </c>
      <c r="L38" s="50">
        <f>VLOOKUP($A38,'Data shares'!$C:$FB,61)*100</f>
        <v>-5.86</v>
      </c>
      <c r="M38" s="49">
        <f>VLOOKUP($A38,'Data shares'!$C:$FB,62)</f>
        <v>19172900</v>
      </c>
      <c r="N38" s="49">
        <f>VLOOKUP($A38,'Data shares'!$C:$FB,63)</f>
        <v>21324650</v>
      </c>
      <c r="O38" s="140">
        <f>VLOOKUP($A38,'Data shares'!$C:$FB,65)*100</f>
        <v>-10.09</v>
      </c>
    </row>
    <row r="39" spans="1:15" x14ac:dyDescent="0.25">
      <c r="A39" s="101" t="str">
        <f>'Data shares'!C34</f>
        <v>BHEL</v>
      </c>
      <c r="B39" s="50">
        <f>VLOOKUP($A39,'Data shares'!$C:$FB,7)</f>
        <v>220.67</v>
      </c>
      <c r="C39" s="50">
        <f>VLOOKUP($A39,'Data shares'!$C:$FB,10)*100</f>
        <v>0.44</v>
      </c>
      <c r="D39" s="49">
        <f>VLOOKUP($A39,'Data shares'!$C:$FB,66)</f>
        <v>44593500</v>
      </c>
      <c r="E39" s="49">
        <f>VLOOKUP($A39,'Data shares'!$C:$FB,67)</f>
        <v>64449000</v>
      </c>
      <c r="F39" s="50">
        <f>VLOOKUP($A39,'Data shares'!$C:$FB,69)*100</f>
        <v>-30.81</v>
      </c>
      <c r="G39" s="49">
        <f>VLOOKUP($A39,'Data shares'!$C:$FB,42)</f>
        <v>8541750</v>
      </c>
      <c r="H39" s="49">
        <f>VLOOKUP($A39,'Data shares'!$C:$FB,43)</f>
        <v>12888750</v>
      </c>
      <c r="I39" s="50">
        <f>VLOOKUP($A39,'Data shares'!$C:$FB,45)*100</f>
        <v>-33.729999999999997</v>
      </c>
      <c r="J39" s="49">
        <f>VLOOKUP($A39,'Data shares'!$C:$FB,58)</f>
        <v>23837625</v>
      </c>
      <c r="K39" s="49">
        <f>VLOOKUP($A39,'Data shares'!$C:$FB,59)</f>
        <v>36471750</v>
      </c>
      <c r="L39" s="50">
        <f>VLOOKUP($A39,'Data shares'!$C:$FB,61)*100</f>
        <v>-34.64</v>
      </c>
      <c r="M39" s="49">
        <f>VLOOKUP($A39,'Data shares'!$C:$FB,62)</f>
        <v>12214125</v>
      </c>
      <c r="N39" s="49">
        <f>VLOOKUP($A39,'Data shares'!$C:$FB,63)</f>
        <v>15088500</v>
      </c>
      <c r="O39" s="140">
        <f>VLOOKUP($A39,'Data shares'!$C:$FB,65)*100</f>
        <v>-19.05</v>
      </c>
    </row>
    <row r="40" spans="1:15" x14ac:dyDescent="0.25">
      <c r="A40" s="101" t="str">
        <f>'Data shares'!C35</f>
        <v>BIOCON</v>
      </c>
      <c r="B40" s="50">
        <f>VLOOKUP($A40,'Data shares'!$C:$FB,7)</f>
        <v>359.45</v>
      </c>
      <c r="C40" s="50">
        <f>VLOOKUP($A40,'Data shares'!$C:$FB,10)*100</f>
        <v>-1.21</v>
      </c>
      <c r="D40" s="49">
        <f>VLOOKUP($A40,'Data shares'!$C:$FB,66)</f>
        <v>22905000</v>
      </c>
      <c r="E40" s="49">
        <f>VLOOKUP($A40,'Data shares'!$C:$FB,67)</f>
        <v>19807500</v>
      </c>
      <c r="F40" s="50">
        <f>VLOOKUP($A40,'Data shares'!$C:$FB,69)*100</f>
        <v>15.64</v>
      </c>
      <c r="G40" s="49">
        <f>VLOOKUP($A40,'Data shares'!$C:$FB,42)</f>
        <v>4657500</v>
      </c>
      <c r="H40" s="49">
        <f>VLOOKUP($A40,'Data shares'!$C:$FB,43)</f>
        <v>4075000</v>
      </c>
      <c r="I40" s="50">
        <f>VLOOKUP($A40,'Data shares'!$C:$FB,45)*100</f>
        <v>14.29</v>
      </c>
      <c r="J40" s="49">
        <f>VLOOKUP($A40,'Data shares'!$C:$FB,58)</f>
        <v>10975000</v>
      </c>
      <c r="K40" s="49">
        <f>VLOOKUP($A40,'Data shares'!$C:$FB,59)</f>
        <v>9467500</v>
      </c>
      <c r="L40" s="50">
        <f>VLOOKUP($A40,'Data shares'!$C:$FB,61)*100</f>
        <v>15.920000000000002</v>
      </c>
      <c r="M40" s="49">
        <f>VLOOKUP($A40,'Data shares'!$C:$FB,62)</f>
        <v>7272500</v>
      </c>
      <c r="N40" s="49">
        <f>VLOOKUP($A40,'Data shares'!$C:$FB,63)</f>
        <v>6265000</v>
      </c>
      <c r="O40" s="140">
        <f>VLOOKUP($A40,'Data shares'!$C:$FB,65)*100</f>
        <v>16.079999999999998</v>
      </c>
    </row>
    <row r="41" spans="1:15" x14ac:dyDescent="0.25">
      <c r="A41" s="101" t="str">
        <f>'Data shares'!C36</f>
        <v>BLUESTARCO</v>
      </c>
      <c r="B41" s="50">
        <f>VLOOKUP($A41,'Data shares'!$C:$FB,7)</f>
        <v>1927.4</v>
      </c>
      <c r="C41" s="50">
        <f>VLOOKUP($A41,'Data shares'!$C:$FB,10)*100</f>
        <v>-6.9999999999999993E-2</v>
      </c>
      <c r="D41" s="49">
        <f>VLOOKUP($A41,'Data shares'!$C:$FB,66)</f>
        <v>5537675</v>
      </c>
      <c r="E41" s="49">
        <f>VLOOKUP($A41,'Data shares'!$C:$FB,67)</f>
        <v>2140775</v>
      </c>
      <c r="F41" s="50">
        <f>VLOOKUP($A41,'Data shares'!$C:$FB,69)*100</f>
        <v>158.68</v>
      </c>
      <c r="G41" s="49">
        <f>VLOOKUP($A41,'Data shares'!$C:$FB,42)</f>
        <v>737100</v>
      </c>
      <c r="H41" s="49">
        <f>VLOOKUP($A41,'Data shares'!$C:$FB,43)</f>
        <v>529100</v>
      </c>
      <c r="I41" s="50">
        <f>VLOOKUP($A41,'Data shares'!$C:$FB,45)*100</f>
        <v>39.31</v>
      </c>
      <c r="J41" s="49">
        <f>VLOOKUP($A41,'Data shares'!$C:$FB,58)</f>
        <v>3899675</v>
      </c>
      <c r="K41" s="49">
        <f>VLOOKUP($A41,'Data shares'!$C:$FB,59)</f>
        <v>968825</v>
      </c>
      <c r="L41" s="50">
        <f>VLOOKUP($A41,'Data shares'!$C:$FB,61)*100</f>
        <v>302.52</v>
      </c>
      <c r="M41" s="49">
        <f>VLOOKUP($A41,'Data shares'!$C:$FB,62)</f>
        <v>900900</v>
      </c>
      <c r="N41" s="49">
        <f>VLOOKUP($A41,'Data shares'!$C:$FB,63)</f>
        <v>642850</v>
      </c>
      <c r="O41" s="140">
        <f>VLOOKUP($A41,'Data shares'!$C:$FB,65)*100</f>
        <v>40.14</v>
      </c>
    </row>
    <row r="42" spans="1:15" x14ac:dyDescent="0.25">
      <c r="A42" s="101" t="str">
        <f>'Data shares'!C37</f>
        <v>BOSCHLTD</v>
      </c>
      <c r="B42" s="50">
        <f>VLOOKUP($A42,'Data shares'!$C:$FB,7)</f>
        <v>39935</v>
      </c>
      <c r="C42" s="50">
        <f>VLOOKUP($A42,'Data shares'!$C:$FB,10)*100</f>
        <v>0.19</v>
      </c>
      <c r="D42" s="49">
        <f>VLOOKUP($A42,'Data shares'!$C:$FB,66)</f>
        <v>509325</v>
      </c>
      <c r="E42" s="49">
        <f>VLOOKUP($A42,'Data shares'!$C:$FB,67)</f>
        <v>851075</v>
      </c>
      <c r="F42" s="50">
        <f>VLOOKUP($A42,'Data shares'!$C:$FB,69)*100</f>
        <v>-40.160000000000004</v>
      </c>
      <c r="G42" s="49">
        <f>VLOOKUP($A42,'Data shares'!$C:$FB,42)</f>
        <v>46325</v>
      </c>
      <c r="H42" s="49">
        <f>VLOOKUP($A42,'Data shares'!$C:$FB,43)</f>
        <v>59100</v>
      </c>
      <c r="I42" s="50">
        <f>VLOOKUP($A42,'Data shares'!$C:$FB,45)*100</f>
        <v>-21.62</v>
      </c>
      <c r="J42" s="49">
        <f>VLOOKUP($A42,'Data shares'!$C:$FB,58)</f>
        <v>327200</v>
      </c>
      <c r="K42" s="49">
        <f>VLOOKUP($A42,'Data shares'!$C:$FB,59)</f>
        <v>607250</v>
      </c>
      <c r="L42" s="50">
        <f>VLOOKUP($A42,'Data shares'!$C:$FB,61)*100</f>
        <v>-46.12</v>
      </c>
      <c r="M42" s="49">
        <f>VLOOKUP($A42,'Data shares'!$C:$FB,62)</f>
        <v>135800</v>
      </c>
      <c r="N42" s="49">
        <f>VLOOKUP($A42,'Data shares'!$C:$FB,63)</f>
        <v>184725</v>
      </c>
      <c r="O42" s="140">
        <f>VLOOKUP($A42,'Data shares'!$C:$FB,65)*100</f>
        <v>-26.490000000000002</v>
      </c>
    </row>
    <row r="43" spans="1:15" x14ac:dyDescent="0.25">
      <c r="A43" s="101" t="str">
        <f>'Data shares'!C38</f>
        <v>BPCL</v>
      </c>
      <c r="B43" s="50">
        <f>VLOOKUP($A43,'Data shares'!$C:$FB,7)</f>
        <v>319.95</v>
      </c>
      <c r="C43" s="50">
        <f>VLOOKUP($A43,'Data shares'!$C:$FB,10)*100</f>
        <v>-0.47000000000000003</v>
      </c>
      <c r="D43" s="49">
        <f>VLOOKUP($A43,'Data shares'!$C:$FB,66)</f>
        <v>25696725</v>
      </c>
      <c r="E43" s="49">
        <f>VLOOKUP($A43,'Data shares'!$C:$FB,67)</f>
        <v>56716075</v>
      </c>
      <c r="F43" s="50">
        <f>VLOOKUP($A43,'Data shares'!$C:$FB,69)*100</f>
        <v>-54.690000000000005</v>
      </c>
      <c r="G43" s="49">
        <f>VLOOKUP($A43,'Data shares'!$C:$FB,42)</f>
        <v>4289700</v>
      </c>
      <c r="H43" s="49">
        <f>VLOOKUP($A43,'Data shares'!$C:$FB,43)</f>
        <v>8618900</v>
      </c>
      <c r="I43" s="50">
        <f>VLOOKUP($A43,'Data shares'!$C:$FB,45)*100</f>
        <v>-50.23</v>
      </c>
      <c r="J43" s="49">
        <f>VLOOKUP($A43,'Data shares'!$C:$FB,58)</f>
        <v>13570225</v>
      </c>
      <c r="K43" s="49">
        <f>VLOOKUP($A43,'Data shares'!$C:$FB,59)</f>
        <v>32202375</v>
      </c>
      <c r="L43" s="50">
        <f>VLOOKUP($A43,'Data shares'!$C:$FB,61)*100</f>
        <v>-57.86</v>
      </c>
      <c r="M43" s="49">
        <f>VLOOKUP($A43,'Data shares'!$C:$FB,62)</f>
        <v>7836800</v>
      </c>
      <c r="N43" s="49">
        <f>VLOOKUP($A43,'Data shares'!$C:$FB,63)</f>
        <v>15894800</v>
      </c>
      <c r="O43" s="140">
        <f>VLOOKUP($A43,'Data shares'!$C:$FB,65)*100</f>
        <v>-50.7</v>
      </c>
    </row>
    <row r="44" spans="1:15" x14ac:dyDescent="0.25">
      <c r="A44" s="101" t="str">
        <f>'Data shares'!C39</f>
        <v>BRITANNIA</v>
      </c>
      <c r="B44" s="50">
        <f>VLOOKUP($A44,'Data shares'!$C:$FB,7)</f>
        <v>5701</v>
      </c>
      <c r="C44" s="50">
        <f>VLOOKUP($A44,'Data shares'!$C:$FB,10)*100</f>
        <v>3.6700000000000004</v>
      </c>
      <c r="D44" s="49">
        <f>VLOOKUP($A44,'Data shares'!$C:$FB,66)</f>
        <v>12294625</v>
      </c>
      <c r="E44" s="49">
        <f>VLOOKUP($A44,'Data shares'!$C:$FB,67)</f>
        <v>2517000</v>
      </c>
      <c r="F44" s="50">
        <f>VLOOKUP($A44,'Data shares'!$C:$FB,69)*100</f>
        <v>388.46</v>
      </c>
      <c r="G44" s="49">
        <f>VLOOKUP($A44,'Data shares'!$C:$FB,42)</f>
        <v>737500</v>
      </c>
      <c r="H44" s="49">
        <f>VLOOKUP($A44,'Data shares'!$C:$FB,43)</f>
        <v>292625</v>
      </c>
      <c r="I44" s="50">
        <f>VLOOKUP($A44,'Data shares'!$C:$FB,45)*100</f>
        <v>152.03</v>
      </c>
      <c r="J44" s="49">
        <f>VLOOKUP($A44,'Data shares'!$C:$FB,58)</f>
        <v>8773500</v>
      </c>
      <c r="K44" s="49">
        <f>VLOOKUP($A44,'Data shares'!$C:$FB,59)</f>
        <v>1552625</v>
      </c>
      <c r="L44" s="50">
        <f>VLOOKUP($A44,'Data shares'!$C:$FB,61)*100</f>
        <v>465.08000000000004</v>
      </c>
      <c r="M44" s="49">
        <f>VLOOKUP($A44,'Data shares'!$C:$FB,62)</f>
        <v>2783625</v>
      </c>
      <c r="N44" s="49">
        <f>VLOOKUP($A44,'Data shares'!$C:$FB,63)</f>
        <v>671750</v>
      </c>
      <c r="O44" s="140">
        <f>VLOOKUP($A44,'Data shares'!$C:$FB,65)*100</f>
        <v>314.38</v>
      </c>
    </row>
    <row r="45" spans="1:15" x14ac:dyDescent="0.25">
      <c r="A45" s="101" t="str">
        <f>'Data shares'!C40</f>
        <v>BSE</v>
      </c>
      <c r="B45" s="50">
        <f>VLOOKUP($A45,'Data shares'!$C:$FB,7)</f>
        <v>2523</v>
      </c>
      <c r="C45" s="50">
        <f>VLOOKUP($A45,'Data shares'!$C:$FB,10)*100</f>
        <v>1.26</v>
      </c>
      <c r="D45" s="49">
        <f>VLOOKUP($A45,'Data shares'!$C:$FB,66)</f>
        <v>29932500</v>
      </c>
      <c r="E45" s="49">
        <f>VLOOKUP($A45,'Data shares'!$C:$FB,67)</f>
        <v>40183125</v>
      </c>
      <c r="F45" s="50">
        <f>VLOOKUP($A45,'Data shares'!$C:$FB,69)*100</f>
        <v>-25.509999999999998</v>
      </c>
      <c r="G45" s="49">
        <f>VLOOKUP($A45,'Data shares'!$C:$FB,42)</f>
        <v>3110250</v>
      </c>
      <c r="H45" s="49">
        <f>VLOOKUP($A45,'Data shares'!$C:$FB,43)</f>
        <v>4107000</v>
      </c>
      <c r="I45" s="50">
        <f>VLOOKUP($A45,'Data shares'!$C:$FB,45)*100</f>
        <v>-24.27</v>
      </c>
      <c r="J45" s="49">
        <f>VLOOKUP($A45,'Data shares'!$C:$FB,58)</f>
        <v>15848625</v>
      </c>
      <c r="K45" s="49">
        <f>VLOOKUP($A45,'Data shares'!$C:$FB,59)</f>
        <v>19522875</v>
      </c>
      <c r="L45" s="50">
        <f>VLOOKUP($A45,'Data shares'!$C:$FB,61)*100</f>
        <v>-18.82</v>
      </c>
      <c r="M45" s="49">
        <f>VLOOKUP($A45,'Data shares'!$C:$FB,62)</f>
        <v>10973625</v>
      </c>
      <c r="N45" s="49">
        <f>VLOOKUP($A45,'Data shares'!$C:$FB,63)</f>
        <v>16553250</v>
      </c>
      <c r="O45" s="140">
        <f>VLOOKUP($A45,'Data shares'!$C:$FB,65)*100</f>
        <v>-33.71</v>
      </c>
    </row>
    <row r="46" spans="1:15" x14ac:dyDescent="0.25">
      <c r="A46" s="101" t="str">
        <f>'Data shares'!C41</f>
        <v>CAMS</v>
      </c>
      <c r="B46" s="50">
        <f>VLOOKUP($A46,'Data shares'!$C:$FB,7)</f>
        <v>3841.8</v>
      </c>
      <c r="C46" s="50">
        <f>VLOOKUP($A46,'Data shares'!$C:$FB,10)*100</f>
        <v>0.16</v>
      </c>
      <c r="D46" s="49">
        <f>VLOOKUP($A46,'Data shares'!$C:$FB,66)</f>
        <v>2148300</v>
      </c>
      <c r="E46" s="49">
        <f>VLOOKUP($A46,'Data shares'!$C:$FB,67)</f>
        <v>2086200</v>
      </c>
      <c r="F46" s="50">
        <f>VLOOKUP($A46,'Data shares'!$C:$FB,69)*100</f>
        <v>2.98</v>
      </c>
      <c r="G46" s="49">
        <f>VLOOKUP($A46,'Data shares'!$C:$FB,42)</f>
        <v>294450</v>
      </c>
      <c r="H46" s="49">
        <f>VLOOKUP($A46,'Data shares'!$C:$FB,43)</f>
        <v>530100</v>
      </c>
      <c r="I46" s="50">
        <f>VLOOKUP($A46,'Data shares'!$C:$FB,45)*100</f>
        <v>-44.45</v>
      </c>
      <c r="J46" s="49">
        <f>VLOOKUP($A46,'Data shares'!$C:$FB,58)</f>
        <v>1336950</v>
      </c>
      <c r="K46" s="49">
        <f>VLOOKUP($A46,'Data shares'!$C:$FB,59)</f>
        <v>958200</v>
      </c>
      <c r="L46" s="50">
        <f>VLOOKUP($A46,'Data shares'!$C:$FB,61)*100</f>
        <v>39.53</v>
      </c>
      <c r="M46" s="49">
        <f>VLOOKUP($A46,'Data shares'!$C:$FB,62)</f>
        <v>516900</v>
      </c>
      <c r="N46" s="49">
        <f>VLOOKUP($A46,'Data shares'!$C:$FB,63)</f>
        <v>597900</v>
      </c>
      <c r="O46" s="140">
        <f>VLOOKUP($A46,'Data shares'!$C:$FB,65)*100</f>
        <v>-13.55</v>
      </c>
    </row>
    <row r="47" spans="1:15" x14ac:dyDescent="0.25">
      <c r="A47" s="101" t="str">
        <f>'Data shares'!C42</f>
        <v>CANBK</v>
      </c>
      <c r="B47" s="50">
        <f>VLOOKUP($A47,'Data shares'!$C:$FB,7)</f>
        <v>112.28</v>
      </c>
      <c r="C47" s="50">
        <f>VLOOKUP($A47,'Data shares'!$C:$FB,10)*100</f>
        <v>0.54999999999999993</v>
      </c>
      <c r="D47" s="49">
        <f>VLOOKUP($A47,'Data shares'!$C:$FB,66)</f>
        <v>141459750</v>
      </c>
      <c r="E47" s="49">
        <f>VLOOKUP($A47,'Data shares'!$C:$FB,67)</f>
        <v>230850000</v>
      </c>
      <c r="F47" s="50">
        <f>VLOOKUP($A47,'Data shares'!$C:$FB,69)*100</f>
        <v>-38.72</v>
      </c>
      <c r="G47" s="49">
        <f>VLOOKUP($A47,'Data shares'!$C:$FB,42)</f>
        <v>31455000</v>
      </c>
      <c r="H47" s="49">
        <f>VLOOKUP($A47,'Data shares'!$C:$FB,43)</f>
        <v>43969500</v>
      </c>
      <c r="I47" s="50">
        <f>VLOOKUP($A47,'Data shares'!$C:$FB,45)*100</f>
        <v>-28.46</v>
      </c>
      <c r="J47" s="49">
        <f>VLOOKUP($A47,'Data shares'!$C:$FB,58)</f>
        <v>65117250</v>
      </c>
      <c r="K47" s="49">
        <f>VLOOKUP($A47,'Data shares'!$C:$FB,59)</f>
        <v>119691000</v>
      </c>
      <c r="L47" s="50">
        <f>VLOOKUP($A47,'Data shares'!$C:$FB,61)*100</f>
        <v>-45.6</v>
      </c>
      <c r="M47" s="49">
        <f>VLOOKUP($A47,'Data shares'!$C:$FB,62)</f>
        <v>44887500</v>
      </c>
      <c r="N47" s="49">
        <f>VLOOKUP($A47,'Data shares'!$C:$FB,63)</f>
        <v>67189500</v>
      </c>
      <c r="O47" s="140">
        <f>VLOOKUP($A47,'Data shares'!$C:$FB,65)*100</f>
        <v>-33.19</v>
      </c>
    </row>
    <row r="48" spans="1:15" x14ac:dyDescent="0.25">
      <c r="A48" s="101" t="str">
        <f>'Data shares'!C43</f>
        <v>CDSL</v>
      </c>
      <c r="B48" s="50">
        <f>VLOOKUP($A48,'Data shares'!$C:$FB,7)</f>
        <v>1583.6</v>
      </c>
      <c r="C48" s="50">
        <f>VLOOKUP($A48,'Data shares'!$C:$FB,10)*100</f>
        <v>0.12</v>
      </c>
      <c r="D48" s="49">
        <f>VLOOKUP($A48,'Data shares'!$C:$FB,66)</f>
        <v>12055500</v>
      </c>
      <c r="E48" s="49">
        <f>VLOOKUP($A48,'Data shares'!$C:$FB,67)</f>
        <v>10923575</v>
      </c>
      <c r="F48" s="50">
        <f>VLOOKUP($A48,'Data shares'!$C:$FB,69)*100</f>
        <v>10.36</v>
      </c>
      <c r="G48" s="49">
        <f>VLOOKUP($A48,'Data shares'!$C:$FB,42)</f>
        <v>1605975</v>
      </c>
      <c r="H48" s="49">
        <f>VLOOKUP($A48,'Data shares'!$C:$FB,43)</f>
        <v>1246400</v>
      </c>
      <c r="I48" s="50">
        <f>VLOOKUP($A48,'Data shares'!$C:$FB,45)*100</f>
        <v>28.849999999999998</v>
      </c>
      <c r="J48" s="49">
        <f>VLOOKUP($A48,'Data shares'!$C:$FB,58)</f>
        <v>7086525</v>
      </c>
      <c r="K48" s="49">
        <f>VLOOKUP($A48,'Data shares'!$C:$FB,59)</f>
        <v>6022050</v>
      </c>
      <c r="L48" s="50">
        <f>VLOOKUP($A48,'Data shares'!$C:$FB,61)*100</f>
        <v>17.68</v>
      </c>
      <c r="M48" s="49">
        <f>VLOOKUP($A48,'Data shares'!$C:$FB,62)</f>
        <v>3363000</v>
      </c>
      <c r="N48" s="49">
        <f>VLOOKUP($A48,'Data shares'!$C:$FB,63)</f>
        <v>3655125</v>
      </c>
      <c r="O48" s="140">
        <f>VLOOKUP($A48,'Data shares'!$C:$FB,65)*100</f>
        <v>-7.99</v>
      </c>
    </row>
    <row r="49" spans="1:15" x14ac:dyDescent="0.25">
      <c r="A49" s="101" t="str">
        <f>'Data shares'!C44</f>
        <v>CESC</v>
      </c>
      <c r="B49" s="50">
        <f>VLOOKUP($A49,'Data shares'!$C:$FB,7)</f>
        <v>163.43</v>
      </c>
      <c r="C49" s="50">
        <f>VLOOKUP($A49,'Data shares'!$C:$FB,10)*100</f>
        <v>-0.73</v>
      </c>
      <c r="D49" s="49">
        <f>VLOOKUP($A49,'Data shares'!$C:$FB,66)</f>
        <v>7130375</v>
      </c>
      <c r="E49" s="49">
        <f>VLOOKUP($A49,'Data shares'!$C:$FB,67)</f>
        <v>7529125</v>
      </c>
      <c r="F49" s="50">
        <f>VLOOKUP($A49,'Data shares'!$C:$FB,69)*100</f>
        <v>-5.3</v>
      </c>
      <c r="G49" s="49">
        <f>VLOOKUP($A49,'Data shares'!$C:$FB,42)</f>
        <v>1330375</v>
      </c>
      <c r="H49" s="49">
        <f>VLOOKUP($A49,'Data shares'!$C:$FB,43)</f>
        <v>1903125</v>
      </c>
      <c r="I49" s="50">
        <f>VLOOKUP($A49,'Data shares'!$C:$FB,45)*100</f>
        <v>-30.099999999999998</v>
      </c>
      <c r="J49" s="49">
        <f>VLOOKUP($A49,'Data shares'!$C:$FB,58)</f>
        <v>4661750</v>
      </c>
      <c r="K49" s="49">
        <f>VLOOKUP($A49,'Data shares'!$C:$FB,59)</f>
        <v>4505875</v>
      </c>
      <c r="L49" s="50">
        <f>VLOOKUP($A49,'Data shares'!$C:$FB,61)*100</f>
        <v>3.46</v>
      </c>
      <c r="M49" s="49">
        <f>VLOOKUP($A49,'Data shares'!$C:$FB,62)</f>
        <v>1138250</v>
      </c>
      <c r="N49" s="49">
        <f>VLOOKUP($A49,'Data shares'!$C:$FB,63)</f>
        <v>1120125</v>
      </c>
      <c r="O49" s="140">
        <f>VLOOKUP($A49,'Data shares'!$C:$FB,65)*100</f>
        <v>1.6199999999999999</v>
      </c>
    </row>
    <row r="50" spans="1:15" x14ac:dyDescent="0.25">
      <c r="A50" s="101" t="str">
        <f>'Data shares'!C45</f>
        <v>CGPOWER</v>
      </c>
      <c r="B50" s="50">
        <f>VLOOKUP($A50,'Data shares'!$C:$FB,7)</f>
        <v>674.25</v>
      </c>
      <c r="C50" s="50">
        <f>VLOOKUP($A50,'Data shares'!$C:$FB,10)*100</f>
        <v>-0.38</v>
      </c>
      <c r="D50" s="49">
        <f>VLOOKUP($A50,'Data shares'!$C:$FB,66)</f>
        <v>5383900</v>
      </c>
      <c r="E50" s="49">
        <f>VLOOKUP($A50,'Data shares'!$C:$FB,67)</f>
        <v>6687800</v>
      </c>
      <c r="F50" s="50">
        <f>VLOOKUP($A50,'Data shares'!$C:$FB,69)*100</f>
        <v>-19.5</v>
      </c>
      <c r="G50" s="49">
        <f>VLOOKUP($A50,'Data shares'!$C:$FB,42)</f>
        <v>1542750</v>
      </c>
      <c r="H50" s="49">
        <f>VLOOKUP($A50,'Data shares'!$C:$FB,43)</f>
        <v>1467950</v>
      </c>
      <c r="I50" s="50">
        <f>VLOOKUP($A50,'Data shares'!$C:$FB,45)*100</f>
        <v>5.0999999999999996</v>
      </c>
      <c r="J50" s="49">
        <f>VLOOKUP($A50,'Data shares'!$C:$FB,58)</f>
        <v>3137350</v>
      </c>
      <c r="K50" s="49">
        <f>VLOOKUP($A50,'Data shares'!$C:$FB,59)</f>
        <v>4165850</v>
      </c>
      <c r="L50" s="50">
        <f>VLOOKUP($A50,'Data shares'!$C:$FB,61)*100</f>
        <v>-24.69</v>
      </c>
      <c r="M50" s="49">
        <f>VLOOKUP($A50,'Data shares'!$C:$FB,62)</f>
        <v>703800</v>
      </c>
      <c r="N50" s="49">
        <f>VLOOKUP($A50,'Data shares'!$C:$FB,63)</f>
        <v>1054000</v>
      </c>
      <c r="O50" s="140">
        <f>VLOOKUP($A50,'Data shares'!$C:$FB,65)*100</f>
        <v>-33.229999999999997</v>
      </c>
    </row>
    <row r="51" spans="1:15" x14ac:dyDescent="0.25">
      <c r="A51" s="101" t="str">
        <f>'Data shares'!C46</f>
        <v>CHOLAFIN</v>
      </c>
      <c r="B51" s="50">
        <f>VLOOKUP($A51,'Data shares'!$C:$FB,7)</f>
        <v>1522.9</v>
      </c>
      <c r="C51" s="50">
        <f>VLOOKUP($A51,'Data shares'!$C:$FB,10)*100</f>
        <v>-0.33</v>
      </c>
      <c r="D51" s="49">
        <f>VLOOKUP($A51,'Data shares'!$C:$FB,66)</f>
        <v>8523125</v>
      </c>
      <c r="E51" s="49">
        <f>VLOOKUP($A51,'Data shares'!$C:$FB,67)</f>
        <v>7770625</v>
      </c>
      <c r="F51" s="50">
        <f>VLOOKUP($A51,'Data shares'!$C:$FB,69)*100</f>
        <v>9.68</v>
      </c>
      <c r="G51" s="49">
        <f>VLOOKUP($A51,'Data shares'!$C:$FB,42)</f>
        <v>1821875</v>
      </c>
      <c r="H51" s="49">
        <f>VLOOKUP($A51,'Data shares'!$C:$FB,43)</f>
        <v>1644375</v>
      </c>
      <c r="I51" s="50">
        <f>VLOOKUP($A51,'Data shares'!$C:$FB,45)*100</f>
        <v>10.79</v>
      </c>
      <c r="J51" s="49">
        <f>VLOOKUP($A51,'Data shares'!$C:$FB,58)</f>
        <v>3806250</v>
      </c>
      <c r="K51" s="49">
        <f>VLOOKUP($A51,'Data shares'!$C:$FB,59)</f>
        <v>3275000</v>
      </c>
      <c r="L51" s="50">
        <f>VLOOKUP($A51,'Data shares'!$C:$FB,61)*100</f>
        <v>16.220000000000002</v>
      </c>
      <c r="M51" s="49">
        <f>VLOOKUP($A51,'Data shares'!$C:$FB,62)</f>
        <v>2895000</v>
      </c>
      <c r="N51" s="49">
        <f>VLOOKUP($A51,'Data shares'!$C:$FB,63)</f>
        <v>2851250</v>
      </c>
      <c r="O51" s="140">
        <f>VLOOKUP($A51,'Data shares'!$C:$FB,65)*100</f>
        <v>1.53</v>
      </c>
    </row>
    <row r="52" spans="1:15" x14ac:dyDescent="0.25">
      <c r="A52" s="101" t="str">
        <f>'Data shares'!C47</f>
        <v>CIPLA</v>
      </c>
      <c r="B52" s="50">
        <f>VLOOKUP($A52,'Data shares'!$C:$FB,7)</f>
        <v>1546.1</v>
      </c>
      <c r="C52" s="50">
        <f>VLOOKUP($A52,'Data shares'!$C:$FB,10)*100</f>
        <v>-0.18</v>
      </c>
      <c r="D52" s="49">
        <f>VLOOKUP($A52,'Data shares'!$C:$FB,66)</f>
        <v>8809875</v>
      </c>
      <c r="E52" s="49">
        <f>VLOOKUP($A52,'Data shares'!$C:$FB,67)</f>
        <v>5965500</v>
      </c>
      <c r="F52" s="50">
        <f>VLOOKUP($A52,'Data shares'!$C:$FB,69)*100</f>
        <v>47.68</v>
      </c>
      <c r="G52" s="49">
        <f>VLOOKUP($A52,'Data shares'!$C:$FB,42)</f>
        <v>1030875</v>
      </c>
      <c r="H52" s="49">
        <f>VLOOKUP($A52,'Data shares'!$C:$FB,43)</f>
        <v>853500</v>
      </c>
      <c r="I52" s="50">
        <f>VLOOKUP($A52,'Data shares'!$C:$FB,45)*100</f>
        <v>20.78</v>
      </c>
      <c r="J52" s="49">
        <f>VLOOKUP($A52,'Data shares'!$C:$FB,58)</f>
        <v>4141500</v>
      </c>
      <c r="K52" s="49">
        <f>VLOOKUP($A52,'Data shares'!$C:$FB,59)</f>
        <v>2633250</v>
      </c>
      <c r="L52" s="50">
        <f>VLOOKUP($A52,'Data shares'!$C:$FB,61)*100</f>
        <v>57.28</v>
      </c>
      <c r="M52" s="49">
        <f>VLOOKUP($A52,'Data shares'!$C:$FB,62)</f>
        <v>3637500</v>
      </c>
      <c r="N52" s="49">
        <f>VLOOKUP($A52,'Data shares'!$C:$FB,63)</f>
        <v>2478750</v>
      </c>
      <c r="O52" s="140">
        <f>VLOOKUP($A52,'Data shares'!$C:$FB,65)*100</f>
        <v>46.75</v>
      </c>
    </row>
    <row r="53" spans="1:15" x14ac:dyDescent="0.25">
      <c r="A53" s="101" t="str">
        <f>'Data shares'!C48</f>
        <v>COALINDIA</v>
      </c>
      <c r="B53" s="50">
        <f>VLOOKUP($A53,'Data shares'!$C:$FB,7)</f>
        <v>384.7</v>
      </c>
      <c r="C53" s="50">
        <f>VLOOKUP($A53,'Data shares'!$C:$FB,10)*100</f>
        <v>-0.16999999999999998</v>
      </c>
      <c r="D53" s="49">
        <f>VLOOKUP($A53,'Data shares'!$C:$FB,66)</f>
        <v>33552900</v>
      </c>
      <c r="E53" s="49">
        <f>VLOOKUP($A53,'Data shares'!$C:$FB,67)</f>
        <v>55534950</v>
      </c>
      <c r="F53" s="50">
        <f>VLOOKUP($A53,'Data shares'!$C:$FB,69)*100</f>
        <v>-39.58</v>
      </c>
      <c r="G53" s="49">
        <f>VLOOKUP($A53,'Data shares'!$C:$FB,42)</f>
        <v>6286950</v>
      </c>
      <c r="H53" s="49">
        <f>VLOOKUP($A53,'Data shares'!$C:$FB,43)</f>
        <v>7068600</v>
      </c>
      <c r="I53" s="50">
        <f>VLOOKUP($A53,'Data shares'!$C:$FB,45)*100</f>
        <v>-11.06</v>
      </c>
      <c r="J53" s="49">
        <f>VLOOKUP($A53,'Data shares'!$C:$FB,58)</f>
        <v>18590850</v>
      </c>
      <c r="K53" s="49">
        <f>VLOOKUP($A53,'Data shares'!$C:$FB,59)</f>
        <v>28701000</v>
      </c>
      <c r="L53" s="50">
        <f>VLOOKUP($A53,'Data shares'!$C:$FB,61)*100</f>
        <v>-35.229999999999997</v>
      </c>
      <c r="M53" s="49">
        <f>VLOOKUP($A53,'Data shares'!$C:$FB,62)</f>
        <v>8675100</v>
      </c>
      <c r="N53" s="49">
        <f>VLOOKUP($A53,'Data shares'!$C:$FB,63)</f>
        <v>19765350</v>
      </c>
      <c r="O53" s="140">
        <f>VLOOKUP($A53,'Data shares'!$C:$FB,65)*100</f>
        <v>-56.110000000000007</v>
      </c>
    </row>
    <row r="54" spans="1:15" x14ac:dyDescent="0.25">
      <c r="A54" s="101" t="str">
        <f>'Data shares'!C49</f>
        <v>COFORGE</v>
      </c>
      <c r="B54" s="50">
        <f>VLOOKUP($A54,'Data shares'!$C:$FB,7)</f>
        <v>1708.4</v>
      </c>
      <c r="C54" s="50">
        <f>VLOOKUP($A54,'Data shares'!$C:$FB,10)*100</f>
        <v>3.37</v>
      </c>
      <c r="D54" s="49">
        <f>VLOOKUP($A54,'Data shares'!$C:$FB,66)</f>
        <v>31860750</v>
      </c>
      <c r="E54" s="49">
        <f>VLOOKUP($A54,'Data shares'!$C:$FB,67)</f>
        <v>7516875</v>
      </c>
      <c r="F54" s="50">
        <f>VLOOKUP($A54,'Data shares'!$C:$FB,69)*100</f>
        <v>323.86</v>
      </c>
      <c r="G54" s="49">
        <f>VLOOKUP($A54,'Data shares'!$C:$FB,42)</f>
        <v>3828375</v>
      </c>
      <c r="H54" s="49">
        <f>VLOOKUP($A54,'Data shares'!$C:$FB,43)</f>
        <v>1306875</v>
      </c>
      <c r="I54" s="50">
        <f>VLOOKUP($A54,'Data shares'!$C:$FB,45)*100</f>
        <v>192.94</v>
      </c>
      <c r="J54" s="49">
        <f>VLOOKUP($A54,'Data shares'!$C:$FB,58)</f>
        <v>20428125</v>
      </c>
      <c r="K54" s="49">
        <f>VLOOKUP($A54,'Data shares'!$C:$FB,59)</f>
        <v>3624375</v>
      </c>
      <c r="L54" s="50">
        <f>VLOOKUP($A54,'Data shares'!$C:$FB,61)*100</f>
        <v>463.63000000000005</v>
      </c>
      <c r="M54" s="49">
        <f>VLOOKUP($A54,'Data shares'!$C:$FB,62)</f>
        <v>7604250</v>
      </c>
      <c r="N54" s="49">
        <f>VLOOKUP($A54,'Data shares'!$C:$FB,63)</f>
        <v>2585625</v>
      </c>
      <c r="O54" s="140">
        <f>VLOOKUP($A54,'Data shares'!$C:$FB,65)*100</f>
        <v>194.1</v>
      </c>
    </row>
    <row r="55" spans="1:15" x14ac:dyDescent="0.25">
      <c r="A55" s="101" t="str">
        <f>'Data shares'!C50</f>
        <v>COLPAL</v>
      </c>
      <c r="B55" s="50">
        <f>VLOOKUP($A55,'Data shares'!$C:$FB,7)</f>
        <v>2356.5</v>
      </c>
      <c r="C55" s="50">
        <f>VLOOKUP($A55,'Data shares'!$C:$FB,10)*100</f>
        <v>3.65</v>
      </c>
      <c r="D55" s="49">
        <f>VLOOKUP($A55,'Data shares'!$C:$FB,66)</f>
        <v>20655675</v>
      </c>
      <c r="E55" s="49">
        <f>VLOOKUP($A55,'Data shares'!$C:$FB,67)</f>
        <v>6718500</v>
      </c>
      <c r="F55" s="50">
        <f>VLOOKUP($A55,'Data shares'!$C:$FB,69)*100</f>
        <v>207.43999999999997</v>
      </c>
      <c r="G55" s="49">
        <f>VLOOKUP($A55,'Data shares'!$C:$FB,42)</f>
        <v>2700000</v>
      </c>
      <c r="H55" s="49">
        <f>VLOOKUP($A55,'Data shares'!$C:$FB,43)</f>
        <v>1105875</v>
      </c>
      <c r="I55" s="50">
        <f>VLOOKUP($A55,'Data shares'!$C:$FB,45)*100</f>
        <v>144.15</v>
      </c>
      <c r="J55" s="49">
        <f>VLOOKUP($A55,'Data shares'!$C:$FB,58)</f>
        <v>13941675</v>
      </c>
      <c r="K55" s="49">
        <f>VLOOKUP($A55,'Data shares'!$C:$FB,59)</f>
        <v>4187475</v>
      </c>
      <c r="L55" s="50">
        <f>VLOOKUP($A55,'Data shares'!$C:$FB,61)*100</f>
        <v>232.94000000000003</v>
      </c>
      <c r="M55" s="49">
        <f>VLOOKUP($A55,'Data shares'!$C:$FB,62)</f>
        <v>4014000</v>
      </c>
      <c r="N55" s="49">
        <f>VLOOKUP($A55,'Data shares'!$C:$FB,63)</f>
        <v>1425150</v>
      </c>
      <c r="O55" s="140">
        <f>VLOOKUP($A55,'Data shares'!$C:$FB,65)*100</f>
        <v>181.65</v>
      </c>
    </row>
    <row r="56" spans="1:15" x14ac:dyDescent="0.25">
      <c r="A56" s="101" t="str">
        <f>'Data shares'!C51</f>
        <v>CONCOR</v>
      </c>
      <c r="B56" s="50">
        <f>VLOOKUP($A56,'Data shares'!$C:$FB,7)</f>
        <v>557.5</v>
      </c>
      <c r="C56" s="50">
        <f>VLOOKUP($A56,'Data shares'!$C:$FB,10)*100</f>
        <v>0.44999999999999996</v>
      </c>
      <c r="D56" s="49">
        <f>VLOOKUP($A56,'Data shares'!$C:$FB,66)</f>
        <v>15078750</v>
      </c>
      <c r="E56" s="49">
        <f>VLOOKUP($A56,'Data shares'!$C:$FB,67)</f>
        <v>24018750</v>
      </c>
      <c r="F56" s="50">
        <f>VLOOKUP($A56,'Data shares'!$C:$FB,69)*100</f>
        <v>-37.22</v>
      </c>
      <c r="G56" s="49">
        <f>VLOOKUP($A56,'Data shares'!$C:$FB,42)</f>
        <v>2998750</v>
      </c>
      <c r="H56" s="49">
        <f>VLOOKUP($A56,'Data shares'!$C:$FB,43)</f>
        <v>4780000</v>
      </c>
      <c r="I56" s="50">
        <f>VLOOKUP($A56,'Data shares'!$C:$FB,45)*100</f>
        <v>-37.26</v>
      </c>
      <c r="J56" s="49">
        <f>VLOOKUP($A56,'Data shares'!$C:$FB,58)</f>
        <v>7825000</v>
      </c>
      <c r="K56" s="49">
        <f>VLOOKUP($A56,'Data shares'!$C:$FB,59)</f>
        <v>14916250</v>
      </c>
      <c r="L56" s="50">
        <f>VLOOKUP($A56,'Data shares'!$C:$FB,61)*100</f>
        <v>-47.54</v>
      </c>
      <c r="M56" s="49">
        <f>VLOOKUP($A56,'Data shares'!$C:$FB,62)</f>
        <v>4255000</v>
      </c>
      <c r="N56" s="49">
        <f>VLOOKUP($A56,'Data shares'!$C:$FB,63)</f>
        <v>4322500</v>
      </c>
      <c r="O56" s="140">
        <f>VLOOKUP($A56,'Data shares'!$C:$FB,65)*100</f>
        <v>-1.5599999999999998</v>
      </c>
    </row>
    <row r="57" spans="1:15" x14ac:dyDescent="0.25">
      <c r="A57" s="101" t="str">
        <f>'Data shares'!C52</f>
        <v>CROMPTON</v>
      </c>
      <c r="B57" s="50">
        <f>VLOOKUP($A57,'Data shares'!$C:$FB,7)</f>
        <v>328.35</v>
      </c>
      <c r="C57" s="50">
        <f>VLOOKUP($A57,'Data shares'!$C:$FB,10)*100</f>
        <v>-0.35000000000000003</v>
      </c>
      <c r="D57" s="49">
        <f>VLOOKUP($A57,'Data shares'!$C:$FB,66)</f>
        <v>9509400</v>
      </c>
      <c r="E57" s="49">
        <f>VLOOKUP($A57,'Data shares'!$C:$FB,67)</f>
        <v>12889800</v>
      </c>
      <c r="F57" s="50">
        <f>VLOOKUP($A57,'Data shares'!$C:$FB,69)*100</f>
        <v>-26.229999999999997</v>
      </c>
      <c r="G57" s="49">
        <f>VLOOKUP($A57,'Data shares'!$C:$FB,42)</f>
        <v>4150800</v>
      </c>
      <c r="H57" s="49">
        <f>VLOOKUP($A57,'Data shares'!$C:$FB,43)</f>
        <v>3816000</v>
      </c>
      <c r="I57" s="50">
        <f>VLOOKUP($A57,'Data shares'!$C:$FB,45)*100</f>
        <v>8.77</v>
      </c>
      <c r="J57" s="49">
        <f>VLOOKUP($A57,'Data shares'!$C:$FB,58)</f>
        <v>3972600</v>
      </c>
      <c r="K57" s="49">
        <f>VLOOKUP($A57,'Data shares'!$C:$FB,59)</f>
        <v>6631200</v>
      </c>
      <c r="L57" s="50">
        <f>VLOOKUP($A57,'Data shares'!$C:$FB,61)*100</f>
        <v>-40.089999999999996</v>
      </c>
      <c r="M57" s="49">
        <f>VLOOKUP($A57,'Data shares'!$C:$FB,62)</f>
        <v>1386000</v>
      </c>
      <c r="N57" s="49">
        <f>VLOOKUP($A57,'Data shares'!$C:$FB,63)</f>
        <v>2442600</v>
      </c>
      <c r="O57" s="140">
        <f>VLOOKUP($A57,'Data shares'!$C:$FB,65)*100</f>
        <v>-43.26</v>
      </c>
    </row>
    <row r="58" spans="1:15" x14ac:dyDescent="0.25">
      <c r="A58" s="101" t="str">
        <f>'Data shares'!C53</f>
        <v>CUMMINSIND</v>
      </c>
      <c r="B58" s="50">
        <f>VLOOKUP($A58,'Data shares'!$C:$FB,7)</f>
        <v>3818.4</v>
      </c>
      <c r="C58" s="50">
        <f>VLOOKUP($A58,'Data shares'!$C:$FB,10)*100</f>
        <v>1.77</v>
      </c>
      <c r="D58" s="49">
        <f>VLOOKUP($A58,'Data shares'!$C:$FB,66)</f>
        <v>3531800</v>
      </c>
      <c r="E58" s="49">
        <f>VLOOKUP($A58,'Data shares'!$C:$FB,67)</f>
        <v>1883200</v>
      </c>
      <c r="F58" s="50">
        <f>VLOOKUP($A58,'Data shares'!$C:$FB,69)*100</f>
        <v>87.539999999999992</v>
      </c>
      <c r="G58" s="49">
        <f>VLOOKUP($A58,'Data shares'!$C:$FB,42)</f>
        <v>637200</v>
      </c>
      <c r="H58" s="49">
        <f>VLOOKUP($A58,'Data shares'!$C:$FB,43)</f>
        <v>411800</v>
      </c>
      <c r="I58" s="50">
        <f>VLOOKUP($A58,'Data shares'!$C:$FB,45)*100</f>
        <v>54.74</v>
      </c>
      <c r="J58" s="49">
        <f>VLOOKUP($A58,'Data shares'!$C:$FB,58)</f>
        <v>2160400</v>
      </c>
      <c r="K58" s="49">
        <f>VLOOKUP($A58,'Data shares'!$C:$FB,59)</f>
        <v>879600</v>
      </c>
      <c r="L58" s="50">
        <f>VLOOKUP($A58,'Data shares'!$C:$FB,61)*100</f>
        <v>145.60999999999999</v>
      </c>
      <c r="M58" s="49">
        <f>VLOOKUP($A58,'Data shares'!$C:$FB,62)</f>
        <v>734200</v>
      </c>
      <c r="N58" s="49">
        <f>VLOOKUP($A58,'Data shares'!$C:$FB,63)</f>
        <v>591800</v>
      </c>
      <c r="O58" s="140">
        <f>VLOOKUP($A58,'Data shares'!$C:$FB,65)*100</f>
        <v>24.060000000000002</v>
      </c>
    </row>
    <row r="59" spans="1:15" x14ac:dyDescent="0.25">
      <c r="A59" s="101" t="str">
        <f>'Data shares'!C54</f>
        <v>CYIENT</v>
      </c>
      <c r="B59" s="50">
        <f>VLOOKUP($A59,'Data shares'!$C:$FB,7)</f>
        <v>1230.5999999999999</v>
      </c>
      <c r="C59" s="50">
        <f>VLOOKUP($A59,'Data shares'!$C:$FB,10)*100</f>
        <v>1.77</v>
      </c>
      <c r="D59" s="49">
        <f>VLOOKUP($A59,'Data shares'!$C:$FB,66)</f>
        <v>6389450</v>
      </c>
      <c r="E59" s="49">
        <f>VLOOKUP($A59,'Data shares'!$C:$FB,67)</f>
        <v>2024700</v>
      </c>
      <c r="F59" s="50">
        <f>VLOOKUP($A59,'Data shares'!$C:$FB,69)*100</f>
        <v>215.58</v>
      </c>
      <c r="G59" s="49">
        <f>VLOOKUP($A59,'Data shares'!$C:$FB,42)</f>
        <v>714850</v>
      </c>
      <c r="H59" s="49">
        <f>VLOOKUP($A59,'Data shares'!$C:$FB,43)</f>
        <v>377400</v>
      </c>
      <c r="I59" s="50">
        <f>VLOOKUP($A59,'Data shares'!$C:$FB,45)*100</f>
        <v>89.41</v>
      </c>
      <c r="J59" s="49">
        <f>VLOOKUP($A59,'Data shares'!$C:$FB,58)</f>
        <v>4851800</v>
      </c>
      <c r="K59" s="49">
        <f>VLOOKUP($A59,'Data shares'!$C:$FB,59)</f>
        <v>1358300</v>
      </c>
      <c r="L59" s="50">
        <f>VLOOKUP($A59,'Data shares'!$C:$FB,61)*100</f>
        <v>257.2</v>
      </c>
      <c r="M59" s="49">
        <f>VLOOKUP($A59,'Data shares'!$C:$FB,62)</f>
        <v>822800</v>
      </c>
      <c r="N59" s="49">
        <f>VLOOKUP($A59,'Data shares'!$C:$FB,63)</f>
        <v>289000</v>
      </c>
      <c r="O59" s="140">
        <f>VLOOKUP($A59,'Data shares'!$C:$FB,65)*100</f>
        <v>184.71</v>
      </c>
    </row>
    <row r="60" spans="1:15" x14ac:dyDescent="0.25">
      <c r="A60" s="101" t="str">
        <f>'Data shares'!C55</f>
        <v>DABUR</v>
      </c>
      <c r="B60" s="50">
        <f>VLOOKUP($A60,'Data shares'!$C:$FB,7)</f>
        <v>535</v>
      </c>
      <c r="C60" s="50">
        <f>VLOOKUP($A60,'Data shares'!$C:$FB,10)*100</f>
        <v>2.48</v>
      </c>
      <c r="D60" s="49">
        <f>VLOOKUP($A60,'Data shares'!$C:$FB,66)</f>
        <v>71911250</v>
      </c>
      <c r="E60" s="49">
        <f>VLOOKUP($A60,'Data shares'!$C:$FB,67)</f>
        <v>16668750</v>
      </c>
      <c r="F60" s="50">
        <f>VLOOKUP($A60,'Data shares'!$C:$FB,69)*100</f>
        <v>331.40999999999997</v>
      </c>
      <c r="G60" s="49">
        <f>VLOOKUP($A60,'Data shares'!$C:$FB,42)</f>
        <v>12710000</v>
      </c>
      <c r="H60" s="49">
        <f>VLOOKUP($A60,'Data shares'!$C:$FB,43)</f>
        <v>2975000</v>
      </c>
      <c r="I60" s="50">
        <f>VLOOKUP($A60,'Data shares'!$C:$FB,45)*100</f>
        <v>327.23</v>
      </c>
      <c r="J60" s="49">
        <f>VLOOKUP($A60,'Data shares'!$C:$FB,58)</f>
        <v>46090000</v>
      </c>
      <c r="K60" s="49">
        <f>VLOOKUP($A60,'Data shares'!$C:$FB,59)</f>
        <v>9532500</v>
      </c>
      <c r="L60" s="50">
        <f>VLOOKUP($A60,'Data shares'!$C:$FB,61)*100</f>
        <v>383.5</v>
      </c>
      <c r="M60" s="49">
        <f>VLOOKUP($A60,'Data shares'!$C:$FB,62)</f>
        <v>13111250</v>
      </c>
      <c r="N60" s="49">
        <f>VLOOKUP($A60,'Data shares'!$C:$FB,63)</f>
        <v>4161250</v>
      </c>
      <c r="O60" s="140">
        <f>VLOOKUP($A60,'Data shares'!$C:$FB,65)*100</f>
        <v>215.07999999999998</v>
      </c>
    </row>
    <row r="61" spans="1:15" x14ac:dyDescent="0.25">
      <c r="A61" s="101" t="str">
        <f>'Data shares'!C56</f>
        <v>DALBHARAT</v>
      </c>
      <c r="B61" s="50">
        <f>VLOOKUP($A61,'Data shares'!$C:$FB,7)</f>
        <v>2344.4</v>
      </c>
      <c r="C61" s="50">
        <f>VLOOKUP($A61,'Data shares'!$C:$FB,10)*100</f>
        <v>-0.09</v>
      </c>
      <c r="D61" s="49">
        <f>VLOOKUP($A61,'Data shares'!$C:$FB,66)</f>
        <v>573950</v>
      </c>
      <c r="E61" s="49">
        <f>VLOOKUP($A61,'Data shares'!$C:$FB,67)</f>
        <v>1040325</v>
      </c>
      <c r="F61" s="50">
        <f>VLOOKUP($A61,'Data shares'!$C:$FB,69)*100</f>
        <v>-44.83</v>
      </c>
      <c r="G61" s="49">
        <f>VLOOKUP($A61,'Data shares'!$C:$FB,42)</f>
        <v>197600</v>
      </c>
      <c r="H61" s="49">
        <f>VLOOKUP($A61,'Data shares'!$C:$FB,43)</f>
        <v>343200</v>
      </c>
      <c r="I61" s="50">
        <f>VLOOKUP($A61,'Data shares'!$C:$FB,45)*100</f>
        <v>-42.42</v>
      </c>
      <c r="J61" s="49">
        <f>VLOOKUP($A61,'Data shares'!$C:$FB,58)</f>
        <v>253175</v>
      </c>
      <c r="K61" s="49">
        <f>VLOOKUP($A61,'Data shares'!$C:$FB,59)</f>
        <v>516425</v>
      </c>
      <c r="L61" s="50">
        <f>VLOOKUP($A61,'Data shares'!$C:$FB,61)*100</f>
        <v>-50.980000000000004</v>
      </c>
      <c r="M61" s="49">
        <f>VLOOKUP($A61,'Data shares'!$C:$FB,62)</f>
        <v>123175</v>
      </c>
      <c r="N61" s="49">
        <f>VLOOKUP($A61,'Data shares'!$C:$FB,63)</f>
        <v>180700</v>
      </c>
      <c r="O61" s="140">
        <f>VLOOKUP($A61,'Data shares'!$C:$FB,65)*100</f>
        <v>-31.830000000000002</v>
      </c>
    </row>
    <row r="62" spans="1:15" x14ac:dyDescent="0.25">
      <c r="A62" s="101" t="str">
        <f>'Data shares'!C57</f>
        <v>DELHIVERY</v>
      </c>
      <c r="B62" s="50">
        <f>VLOOKUP($A62,'Data shares'!$C:$FB,7)</f>
        <v>471.1</v>
      </c>
      <c r="C62" s="50">
        <f>VLOOKUP($A62,'Data shares'!$C:$FB,10)*100</f>
        <v>-0.13</v>
      </c>
      <c r="D62" s="49">
        <f>VLOOKUP($A62,'Data shares'!$C:$FB,66)</f>
        <v>29882075</v>
      </c>
      <c r="E62" s="49">
        <f>VLOOKUP($A62,'Data shares'!$C:$FB,67)</f>
        <v>35729425</v>
      </c>
      <c r="F62" s="50">
        <f>VLOOKUP($A62,'Data shares'!$C:$FB,69)*100</f>
        <v>-16.37</v>
      </c>
      <c r="G62" s="49">
        <f>VLOOKUP($A62,'Data shares'!$C:$FB,42)</f>
        <v>3919675</v>
      </c>
      <c r="H62" s="49">
        <f>VLOOKUP($A62,'Data shares'!$C:$FB,43)</f>
        <v>4699875</v>
      </c>
      <c r="I62" s="50">
        <f>VLOOKUP($A62,'Data shares'!$C:$FB,45)*100</f>
        <v>-16.600000000000001</v>
      </c>
      <c r="J62" s="49">
        <f>VLOOKUP($A62,'Data shares'!$C:$FB,58)</f>
        <v>17079325</v>
      </c>
      <c r="K62" s="49">
        <f>VLOOKUP($A62,'Data shares'!$C:$FB,59)</f>
        <v>23957950</v>
      </c>
      <c r="L62" s="50">
        <f>VLOOKUP($A62,'Data shares'!$C:$FB,61)*100</f>
        <v>-28.71</v>
      </c>
      <c r="M62" s="49">
        <f>VLOOKUP($A62,'Data shares'!$C:$FB,62)</f>
        <v>8883075</v>
      </c>
      <c r="N62" s="49">
        <f>VLOOKUP($A62,'Data shares'!$C:$FB,63)</f>
        <v>7071600</v>
      </c>
      <c r="O62" s="140">
        <f>VLOOKUP($A62,'Data shares'!$C:$FB,65)*100</f>
        <v>25.619999999999997</v>
      </c>
    </row>
    <row r="63" spans="1:15" x14ac:dyDescent="0.25">
      <c r="A63" s="101" t="str">
        <f>'Data shares'!C58</f>
        <v>DIVISLAB</v>
      </c>
      <c r="B63" s="50">
        <f>VLOOKUP($A63,'Data shares'!$C:$FB,7)</f>
        <v>6005</v>
      </c>
      <c r="C63" s="50">
        <f>VLOOKUP($A63,'Data shares'!$C:$FB,10)*100</f>
        <v>-1.23</v>
      </c>
      <c r="D63" s="49">
        <f>VLOOKUP($A63,'Data shares'!$C:$FB,66)</f>
        <v>5244400</v>
      </c>
      <c r="E63" s="49">
        <f>VLOOKUP($A63,'Data shares'!$C:$FB,67)</f>
        <v>1967300</v>
      </c>
      <c r="F63" s="50">
        <f>VLOOKUP($A63,'Data shares'!$C:$FB,69)*100</f>
        <v>166.57999999999998</v>
      </c>
      <c r="G63" s="49">
        <f>VLOOKUP($A63,'Data shares'!$C:$FB,42)</f>
        <v>533600</v>
      </c>
      <c r="H63" s="49">
        <f>VLOOKUP($A63,'Data shares'!$C:$FB,43)</f>
        <v>245900</v>
      </c>
      <c r="I63" s="50">
        <f>VLOOKUP($A63,'Data shares'!$C:$FB,45)*100</f>
        <v>117</v>
      </c>
      <c r="J63" s="49">
        <f>VLOOKUP($A63,'Data shares'!$C:$FB,58)</f>
        <v>2632100</v>
      </c>
      <c r="K63" s="49">
        <f>VLOOKUP($A63,'Data shares'!$C:$FB,59)</f>
        <v>1216500</v>
      </c>
      <c r="L63" s="50">
        <f>VLOOKUP($A63,'Data shares'!$C:$FB,61)*100</f>
        <v>116.36999999999999</v>
      </c>
      <c r="M63" s="49">
        <f>VLOOKUP($A63,'Data shares'!$C:$FB,62)</f>
        <v>2078700</v>
      </c>
      <c r="N63" s="49">
        <f>VLOOKUP($A63,'Data shares'!$C:$FB,63)</f>
        <v>504900</v>
      </c>
      <c r="O63" s="140">
        <f>VLOOKUP($A63,'Data shares'!$C:$FB,65)*100</f>
        <v>311.71000000000004</v>
      </c>
    </row>
    <row r="64" spans="1:15" x14ac:dyDescent="0.25">
      <c r="A64" s="101" t="str">
        <f>'Data shares'!C59</f>
        <v>DIXON</v>
      </c>
      <c r="B64" s="50">
        <f>VLOOKUP($A64,'Data shares'!$C:$FB,7)</f>
        <v>16876</v>
      </c>
      <c r="C64" s="50">
        <f>VLOOKUP($A64,'Data shares'!$C:$FB,10)*100</f>
        <v>-0.16999999999999998</v>
      </c>
      <c r="D64" s="49">
        <f>VLOOKUP($A64,'Data shares'!$C:$FB,66)</f>
        <v>4548150</v>
      </c>
      <c r="E64" s="49">
        <f>VLOOKUP($A64,'Data shares'!$C:$FB,67)</f>
        <v>3604300</v>
      </c>
      <c r="F64" s="50">
        <f>VLOOKUP($A64,'Data shares'!$C:$FB,69)*100</f>
        <v>26.19</v>
      </c>
      <c r="G64" s="49">
        <f>VLOOKUP($A64,'Data shares'!$C:$FB,42)</f>
        <v>326400</v>
      </c>
      <c r="H64" s="49">
        <f>VLOOKUP($A64,'Data shares'!$C:$FB,43)</f>
        <v>359550</v>
      </c>
      <c r="I64" s="50">
        <f>VLOOKUP($A64,'Data shares'!$C:$FB,45)*100</f>
        <v>-9.2200000000000006</v>
      </c>
      <c r="J64" s="49">
        <f>VLOOKUP($A64,'Data shares'!$C:$FB,58)</f>
        <v>2924450</v>
      </c>
      <c r="K64" s="49">
        <f>VLOOKUP($A64,'Data shares'!$C:$FB,59)</f>
        <v>2085750</v>
      </c>
      <c r="L64" s="50">
        <f>VLOOKUP($A64,'Data shares'!$C:$FB,61)*100</f>
        <v>40.21</v>
      </c>
      <c r="M64" s="49">
        <f>VLOOKUP($A64,'Data shares'!$C:$FB,62)</f>
        <v>1297300</v>
      </c>
      <c r="N64" s="49">
        <f>VLOOKUP($A64,'Data shares'!$C:$FB,63)</f>
        <v>1159000</v>
      </c>
      <c r="O64" s="140">
        <f>VLOOKUP($A64,'Data shares'!$C:$FB,65)*100</f>
        <v>11.93</v>
      </c>
    </row>
    <row r="65" spans="1:15" x14ac:dyDescent="0.25">
      <c r="A65" s="101" t="str">
        <f>'Data shares'!C60</f>
        <v>DLF</v>
      </c>
      <c r="B65" s="50">
        <f>VLOOKUP($A65,'Data shares'!$C:$FB,7)</f>
        <v>770.5</v>
      </c>
      <c r="C65" s="50">
        <f>VLOOKUP($A65,'Data shares'!$C:$FB,10)*100</f>
        <v>-0.72</v>
      </c>
      <c r="D65" s="49">
        <f>VLOOKUP($A65,'Data shares'!$C:$FB,66)</f>
        <v>32170050</v>
      </c>
      <c r="E65" s="49">
        <f>VLOOKUP($A65,'Data shares'!$C:$FB,67)</f>
        <v>34602975</v>
      </c>
      <c r="F65" s="50">
        <f>VLOOKUP($A65,'Data shares'!$C:$FB,69)*100</f>
        <v>-7.03</v>
      </c>
      <c r="G65" s="49">
        <f>VLOOKUP($A65,'Data shares'!$C:$FB,42)</f>
        <v>6042300</v>
      </c>
      <c r="H65" s="49">
        <f>VLOOKUP($A65,'Data shares'!$C:$FB,43)</f>
        <v>5694150</v>
      </c>
      <c r="I65" s="50">
        <f>VLOOKUP($A65,'Data shares'!$C:$FB,45)*100</f>
        <v>6.11</v>
      </c>
      <c r="J65" s="49">
        <f>VLOOKUP($A65,'Data shares'!$C:$FB,58)</f>
        <v>18052650</v>
      </c>
      <c r="K65" s="49">
        <f>VLOOKUP($A65,'Data shares'!$C:$FB,59)</f>
        <v>20798250</v>
      </c>
      <c r="L65" s="50">
        <f>VLOOKUP($A65,'Data shares'!$C:$FB,61)*100</f>
        <v>-13.200000000000001</v>
      </c>
      <c r="M65" s="49">
        <f>VLOOKUP($A65,'Data shares'!$C:$FB,62)</f>
        <v>8075100</v>
      </c>
      <c r="N65" s="49">
        <f>VLOOKUP($A65,'Data shares'!$C:$FB,63)</f>
        <v>8110575</v>
      </c>
      <c r="O65" s="140">
        <f>VLOOKUP($A65,'Data shares'!$C:$FB,65)*100</f>
        <v>-0.44</v>
      </c>
    </row>
    <row r="66" spans="1:15" x14ac:dyDescent="0.25">
      <c r="A66" s="101" t="str">
        <f>'Data shares'!C61</f>
        <v>DMART</v>
      </c>
      <c r="B66" s="50">
        <f>VLOOKUP($A66,'Data shares'!$C:$FB,7)</f>
        <v>4737.8999999999996</v>
      </c>
      <c r="C66" s="50">
        <f>VLOOKUP($A66,'Data shares'!$C:$FB,10)*100</f>
        <v>1.82</v>
      </c>
      <c r="D66" s="49">
        <f>VLOOKUP($A66,'Data shares'!$C:$FB,66)</f>
        <v>15328950</v>
      </c>
      <c r="E66" s="49">
        <f>VLOOKUP($A66,'Data shares'!$C:$FB,67)</f>
        <v>17349900</v>
      </c>
      <c r="F66" s="50">
        <f>VLOOKUP($A66,'Data shares'!$C:$FB,69)*100</f>
        <v>-11.65</v>
      </c>
      <c r="G66" s="49">
        <f>VLOOKUP($A66,'Data shares'!$C:$FB,42)</f>
        <v>1277850</v>
      </c>
      <c r="H66" s="49">
        <f>VLOOKUP($A66,'Data shares'!$C:$FB,43)</f>
        <v>1533150</v>
      </c>
      <c r="I66" s="50">
        <f>VLOOKUP($A66,'Data shares'!$C:$FB,45)*100</f>
        <v>-16.650000000000002</v>
      </c>
      <c r="J66" s="49">
        <f>VLOOKUP($A66,'Data shares'!$C:$FB,58)</f>
        <v>10421850</v>
      </c>
      <c r="K66" s="49">
        <f>VLOOKUP($A66,'Data shares'!$C:$FB,59)</f>
        <v>11843400</v>
      </c>
      <c r="L66" s="50">
        <f>VLOOKUP($A66,'Data shares'!$C:$FB,61)*100</f>
        <v>-12</v>
      </c>
      <c r="M66" s="49">
        <f>VLOOKUP($A66,'Data shares'!$C:$FB,62)</f>
        <v>3629250</v>
      </c>
      <c r="N66" s="49">
        <f>VLOOKUP($A66,'Data shares'!$C:$FB,63)</f>
        <v>3973350</v>
      </c>
      <c r="O66" s="140">
        <f>VLOOKUP($A66,'Data shares'!$C:$FB,65)*100</f>
        <v>-8.66</v>
      </c>
    </row>
    <row r="67" spans="1:15" x14ac:dyDescent="0.25">
      <c r="A67" s="101" t="str">
        <f>'Data shares'!C62</f>
        <v>DRREDDY</v>
      </c>
      <c r="B67" s="50">
        <f>VLOOKUP($A67,'Data shares'!$C:$FB,7)</f>
        <v>1245.4000000000001</v>
      </c>
      <c r="C67" s="50">
        <f>VLOOKUP($A67,'Data shares'!$C:$FB,10)*100</f>
        <v>0.1</v>
      </c>
      <c r="D67" s="49">
        <f>VLOOKUP($A67,'Data shares'!$C:$FB,66)</f>
        <v>8012500</v>
      </c>
      <c r="E67" s="49">
        <f>VLOOKUP($A67,'Data shares'!$C:$FB,67)</f>
        <v>8975000</v>
      </c>
      <c r="F67" s="50">
        <f>VLOOKUP($A67,'Data shares'!$C:$FB,69)*100</f>
        <v>-10.72</v>
      </c>
      <c r="G67" s="49">
        <f>VLOOKUP($A67,'Data shares'!$C:$FB,42)</f>
        <v>1796250</v>
      </c>
      <c r="H67" s="49">
        <f>VLOOKUP($A67,'Data shares'!$C:$FB,43)</f>
        <v>1836250</v>
      </c>
      <c r="I67" s="50">
        <f>VLOOKUP($A67,'Data shares'!$C:$FB,45)*100</f>
        <v>-2.1800000000000002</v>
      </c>
      <c r="J67" s="49">
        <f>VLOOKUP($A67,'Data shares'!$C:$FB,58)</f>
        <v>3733750</v>
      </c>
      <c r="K67" s="49">
        <f>VLOOKUP($A67,'Data shares'!$C:$FB,59)</f>
        <v>3850625</v>
      </c>
      <c r="L67" s="50">
        <f>VLOOKUP($A67,'Data shares'!$C:$FB,61)*100</f>
        <v>-3.04</v>
      </c>
      <c r="M67" s="49">
        <f>VLOOKUP($A67,'Data shares'!$C:$FB,62)</f>
        <v>2482500</v>
      </c>
      <c r="N67" s="49">
        <f>VLOOKUP($A67,'Data shares'!$C:$FB,63)</f>
        <v>3288125</v>
      </c>
      <c r="O67" s="140">
        <f>VLOOKUP($A67,'Data shares'!$C:$FB,65)*100</f>
        <v>-24.5</v>
      </c>
    </row>
    <row r="68" spans="1:15" x14ac:dyDescent="0.25">
      <c r="A68" s="101" t="str">
        <f>'Data shares'!C63</f>
        <v>EICHERMOT</v>
      </c>
      <c r="B68" s="50">
        <f>VLOOKUP($A68,'Data shares'!$C:$FB,7)</f>
        <v>5937.5</v>
      </c>
      <c r="C68" s="50">
        <f>VLOOKUP($A68,'Data shares'!$C:$FB,10)*100</f>
        <v>-0.02</v>
      </c>
      <c r="D68" s="49">
        <f>VLOOKUP($A68,'Data shares'!$C:$FB,66)</f>
        <v>4087125</v>
      </c>
      <c r="E68" s="49">
        <f>VLOOKUP($A68,'Data shares'!$C:$FB,67)</f>
        <v>9088275</v>
      </c>
      <c r="F68" s="50">
        <f>VLOOKUP($A68,'Data shares'!$C:$FB,69)*100</f>
        <v>-55.03</v>
      </c>
      <c r="G68" s="49">
        <f>VLOOKUP($A68,'Data shares'!$C:$FB,42)</f>
        <v>438375</v>
      </c>
      <c r="H68" s="49">
        <f>VLOOKUP($A68,'Data shares'!$C:$FB,43)</f>
        <v>904575</v>
      </c>
      <c r="I68" s="50">
        <f>VLOOKUP($A68,'Data shares'!$C:$FB,45)*100</f>
        <v>-51.54</v>
      </c>
      <c r="J68" s="49">
        <f>VLOOKUP($A68,'Data shares'!$C:$FB,58)</f>
        <v>2272200</v>
      </c>
      <c r="K68" s="49">
        <f>VLOOKUP($A68,'Data shares'!$C:$FB,59)</f>
        <v>5518100</v>
      </c>
      <c r="L68" s="50">
        <f>VLOOKUP($A68,'Data shares'!$C:$FB,61)*100</f>
        <v>-58.819999999999993</v>
      </c>
      <c r="M68" s="49">
        <f>VLOOKUP($A68,'Data shares'!$C:$FB,62)</f>
        <v>1376550</v>
      </c>
      <c r="N68" s="49">
        <f>VLOOKUP($A68,'Data shares'!$C:$FB,63)</f>
        <v>2665600</v>
      </c>
      <c r="O68" s="140">
        <f>VLOOKUP($A68,'Data shares'!$C:$FB,65)*100</f>
        <v>-48.36</v>
      </c>
    </row>
    <row r="69" spans="1:15" x14ac:dyDescent="0.25">
      <c r="A69" s="101" t="str">
        <f>'Data shares'!C64</f>
        <v>ETERNAL</v>
      </c>
      <c r="B69" s="50">
        <f>VLOOKUP($A69,'Data shares'!$C:$FB,7)</f>
        <v>326.55</v>
      </c>
      <c r="C69" s="50">
        <f>VLOOKUP($A69,'Data shares'!$C:$FB,10)*100</f>
        <v>1.59</v>
      </c>
      <c r="D69" s="49">
        <f>VLOOKUP($A69,'Data shares'!$C:$FB,66)</f>
        <v>466710650</v>
      </c>
      <c r="E69" s="49">
        <f>VLOOKUP($A69,'Data shares'!$C:$FB,67)</f>
        <v>278186300</v>
      </c>
      <c r="F69" s="50">
        <f>VLOOKUP($A69,'Data shares'!$C:$FB,69)*100</f>
        <v>67.77</v>
      </c>
      <c r="G69" s="49">
        <f>VLOOKUP($A69,'Data shares'!$C:$FB,42)</f>
        <v>67060950</v>
      </c>
      <c r="H69" s="49">
        <f>VLOOKUP($A69,'Data shares'!$C:$FB,43)</f>
        <v>49474850</v>
      </c>
      <c r="I69" s="50">
        <f>VLOOKUP($A69,'Data shares'!$C:$FB,45)*100</f>
        <v>35.549999999999997</v>
      </c>
      <c r="J69" s="49">
        <f>VLOOKUP($A69,'Data shares'!$C:$FB,58)</f>
        <v>272824625</v>
      </c>
      <c r="K69" s="49">
        <f>VLOOKUP($A69,'Data shares'!$C:$FB,59)</f>
        <v>147699475</v>
      </c>
      <c r="L69" s="50">
        <f>VLOOKUP($A69,'Data shares'!$C:$FB,61)*100</f>
        <v>84.72</v>
      </c>
      <c r="M69" s="49">
        <f>VLOOKUP($A69,'Data shares'!$C:$FB,62)</f>
        <v>126825075</v>
      </c>
      <c r="N69" s="49">
        <f>VLOOKUP($A69,'Data shares'!$C:$FB,63)</f>
        <v>81011975</v>
      </c>
      <c r="O69" s="140">
        <f>VLOOKUP($A69,'Data shares'!$C:$FB,65)*100</f>
        <v>56.55</v>
      </c>
    </row>
    <row r="70" spans="1:15" x14ac:dyDescent="0.25">
      <c r="A70" s="101" t="str">
        <f>'Data shares'!C65</f>
        <v>EXIDEIND</v>
      </c>
      <c r="B70" s="50">
        <f>VLOOKUP($A70,'Data shares'!$C:$FB,7)</f>
        <v>396.3</v>
      </c>
      <c r="C70" s="50">
        <f>VLOOKUP($A70,'Data shares'!$C:$FB,10)*100</f>
        <v>0.89</v>
      </c>
      <c r="D70" s="49">
        <f>VLOOKUP($A70,'Data shares'!$C:$FB,66)</f>
        <v>69919200</v>
      </c>
      <c r="E70" s="49">
        <f>VLOOKUP($A70,'Data shares'!$C:$FB,67)</f>
        <v>135090000</v>
      </c>
      <c r="F70" s="50">
        <f>VLOOKUP($A70,'Data shares'!$C:$FB,69)*100</f>
        <v>-48.24</v>
      </c>
      <c r="G70" s="49">
        <f>VLOOKUP($A70,'Data shares'!$C:$FB,42)</f>
        <v>10758600</v>
      </c>
      <c r="H70" s="49">
        <f>VLOOKUP($A70,'Data shares'!$C:$FB,43)</f>
        <v>31001400</v>
      </c>
      <c r="I70" s="50">
        <f>VLOOKUP($A70,'Data shares'!$C:$FB,45)*100</f>
        <v>-65.3</v>
      </c>
      <c r="J70" s="49">
        <f>VLOOKUP($A70,'Data shares'!$C:$FB,58)</f>
        <v>47242800</v>
      </c>
      <c r="K70" s="49">
        <f>VLOOKUP($A70,'Data shares'!$C:$FB,59)</f>
        <v>78130800</v>
      </c>
      <c r="L70" s="50">
        <f>VLOOKUP($A70,'Data shares'!$C:$FB,61)*100</f>
        <v>-39.53</v>
      </c>
      <c r="M70" s="49">
        <f>VLOOKUP($A70,'Data shares'!$C:$FB,62)</f>
        <v>11917800</v>
      </c>
      <c r="N70" s="49">
        <f>VLOOKUP($A70,'Data shares'!$C:$FB,63)</f>
        <v>25957800</v>
      </c>
      <c r="O70" s="140">
        <f>VLOOKUP($A70,'Data shares'!$C:$FB,65)*100</f>
        <v>-54.09</v>
      </c>
    </row>
    <row r="71" spans="1:15" x14ac:dyDescent="0.25">
      <c r="A71" s="101" t="str">
        <f>'Data shares'!C66</f>
        <v>FEDERALBNK</v>
      </c>
      <c r="B71" s="50">
        <f>VLOOKUP($A71,'Data shares'!$C:$FB,7)</f>
        <v>199.71</v>
      </c>
      <c r="C71" s="50">
        <f>VLOOKUP($A71,'Data shares'!$C:$FB,10)*100</f>
        <v>-0.16999999999999998</v>
      </c>
      <c r="D71" s="49">
        <f>VLOOKUP($A71,'Data shares'!$C:$FB,66)</f>
        <v>86345000</v>
      </c>
      <c r="E71" s="49">
        <f>VLOOKUP($A71,'Data shares'!$C:$FB,67)</f>
        <v>102605000</v>
      </c>
      <c r="F71" s="50">
        <f>VLOOKUP($A71,'Data shares'!$C:$FB,69)*100</f>
        <v>-15.85</v>
      </c>
      <c r="G71" s="49">
        <f>VLOOKUP($A71,'Data shares'!$C:$FB,42)</f>
        <v>12690000</v>
      </c>
      <c r="H71" s="49">
        <f>VLOOKUP($A71,'Data shares'!$C:$FB,43)</f>
        <v>20855000</v>
      </c>
      <c r="I71" s="50">
        <f>VLOOKUP($A71,'Data shares'!$C:$FB,45)*100</f>
        <v>-39.15</v>
      </c>
      <c r="J71" s="49">
        <f>VLOOKUP($A71,'Data shares'!$C:$FB,58)</f>
        <v>46890000</v>
      </c>
      <c r="K71" s="49">
        <f>VLOOKUP($A71,'Data shares'!$C:$FB,59)</f>
        <v>52720000</v>
      </c>
      <c r="L71" s="50">
        <f>VLOOKUP($A71,'Data shares'!$C:$FB,61)*100</f>
        <v>-11.06</v>
      </c>
      <c r="M71" s="49">
        <f>VLOOKUP($A71,'Data shares'!$C:$FB,62)</f>
        <v>26765000</v>
      </c>
      <c r="N71" s="49">
        <f>VLOOKUP($A71,'Data shares'!$C:$FB,63)</f>
        <v>29030000</v>
      </c>
      <c r="O71" s="140">
        <f>VLOOKUP($A71,'Data shares'!$C:$FB,65)*100</f>
        <v>-7.8</v>
      </c>
    </row>
    <row r="72" spans="1:15" x14ac:dyDescent="0.25">
      <c r="A72" s="101" t="str">
        <f>'Data shares'!C67</f>
        <v>FINNIFTY</v>
      </c>
      <c r="B72" s="50">
        <f>VLOOKUP($A72,'Data shares'!$C:$FB,7)</f>
        <v>26487.8</v>
      </c>
      <c r="C72" s="50">
        <f>VLOOKUP($A72,'Data shares'!$C:$FB,10)*100</f>
        <v>-0.38999999999999996</v>
      </c>
      <c r="D72" s="49">
        <f>VLOOKUP($A72,'Data shares'!$C:$FB,66)</f>
        <v>8503105</v>
      </c>
      <c r="E72" s="49">
        <f>VLOOKUP($A72,'Data shares'!$C:$FB,67)</f>
        <v>7756190</v>
      </c>
      <c r="F72" s="50">
        <f>VLOOKUP($A72,'Data shares'!$C:$FB,69)*100</f>
        <v>9.629999999999999</v>
      </c>
      <c r="G72" s="49">
        <f>VLOOKUP($A72,'Data shares'!$C:$FB,42)</f>
        <v>22100</v>
      </c>
      <c r="H72" s="49">
        <f>VLOOKUP($A72,'Data shares'!$C:$FB,43)</f>
        <v>16055</v>
      </c>
      <c r="I72" s="50">
        <f>VLOOKUP($A72,'Data shares'!$C:$FB,45)*100</f>
        <v>37.65</v>
      </c>
      <c r="J72" s="49">
        <f>VLOOKUP($A72,'Data shares'!$C:$FB,58)</f>
        <v>4614740</v>
      </c>
      <c r="K72" s="49">
        <f>VLOOKUP($A72,'Data shares'!$C:$FB,59)</f>
        <v>4064970</v>
      </c>
      <c r="L72" s="50">
        <f>VLOOKUP($A72,'Data shares'!$C:$FB,61)*100</f>
        <v>13.52</v>
      </c>
      <c r="M72" s="49">
        <f>VLOOKUP($A72,'Data shares'!$C:$FB,62)</f>
        <v>3866265</v>
      </c>
      <c r="N72" s="49">
        <f>VLOOKUP($A72,'Data shares'!$C:$FB,63)</f>
        <v>3675165</v>
      </c>
      <c r="O72" s="140">
        <f>VLOOKUP($A72,'Data shares'!$C:$FB,65)*100</f>
        <v>5.2</v>
      </c>
    </row>
    <row r="73" spans="1:15" x14ac:dyDescent="0.25">
      <c r="A73" s="101" t="str">
        <f>'Data shares'!C68</f>
        <v>FORTIS</v>
      </c>
      <c r="B73" s="50">
        <f>VLOOKUP($A73,'Data shares'!$C:$FB,7)</f>
        <v>963.95</v>
      </c>
      <c r="C73" s="50">
        <f>VLOOKUP($A73,'Data shares'!$C:$FB,10)*100</f>
        <v>1.59</v>
      </c>
      <c r="D73" s="49">
        <f>VLOOKUP($A73,'Data shares'!$C:$FB,66)</f>
        <v>15486825</v>
      </c>
      <c r="E73" s="49">
        <f>VLOOKUP($A73,'Data shares'!$C:$FB,67)</f>
        <v>8075500</v>
      </c>
      <c r="F73" s="50">
        <f>VLOOKUP($A73,'Data shares'!$C:$FB,69)*100</f>
        <v>91.78</v>
      </c>
      <c r="G73" s="49">
        <f>VLOOKUP($A73,'Data shares'!$C:$FB,42)</f>
        <v>2449000</v>
      </c>
      <c r="H73" s="49">
        <f>VLOOKUP($A73,'Data shares'!$C:$FB,43)</f>
        <v>1363225</v>
      </c>
      <c r="I73" s="50">
        <f>VLOOKUP($A73,'Data shares'!$C:$FB,45)*100</f>
        <v>79.650000000000006</v>
      </c>
      <c r="J73" s="49">
        <f>VLOOKUP($A73,'Data shares'!$C:$FB,58)</f>
        <v>9367425</v>
      </c>
      <c r="K73" s="49">
        <f>VLOOKUP($A73,'Data shares'!$C:$FB,59)</f>
        <v>4053250</v>
      </c>
      <c r="L73" s="50">
        <f>VLOOKUP($A73,'Data shares'!$C:$FB,61)*100</f>
        <v>131.10999999999999</v>
      </c>
      <c r="M73" s="49">
        <f>VLOOKUP($A73,'Data shares'!$C:$FB,62)</f>
        <v>3670400</v>
      </c>
      <c r="N73" s="49">
        <f>VLOOKUP($A73,'Data shares'!$C:$FB,63)</f>
        <v>2659025</v>
      </c>
      <c r="O73" s="140">
        <f>VLOOKUP($A73,'Data shares'!$C:$FB,65)*100</f>
        <v>38.04</v>
      </c>
    </row>
    <row r="74" spans="1:15" x14ac:dyDescent="0.25">
      <c r="A74" s="101" t="str">
        <f>'Data shares'!C69</f>
        <v>GAIL</v>
      </c>
      <c r="B74" s="50">
        <f>VLOOKUP($A74,'Data shares'!$C:$FB,7)</f>
        <v>178.12</v>
      </c>
      <c r="C74" s="50">
        <f>VLOOKUP($A74,'Data shares'!$C:$FB,10)*100</f>
        <v>1.8499999999999999</v>
      </c>
      <c r="D74" s="49">
        <f>VLOOKUP($A74,'Data shares'!$C:$FB,66)</f>
        <v>120821400</v>
      </c>
      <c r="E74" s="49">
        <f>VLOOKUP($A74,'Data shares'!$C:$FB,67)</f>
        <v>68726700</v>
      </c>
      <c r="F74" s="50">
        <f>VLOOKUP($A74,'Data shares'!$C:$FB,69)*100</f>
        <v>75.8</v>
      </c>
      <c r="G74" s="49">
        <f>VLOOKUP($A74,'Data shares'!$C:$FB,42)</f>
        <v>20273400</v>
      </c>
      <c r="H74" s="49">
        <f>VLOOKUP($A74,'Data shares'!$C:$FB,43)</f>
        <v>13050450</v>
      </c>
      <c r="I74" s="50">
        <f>VLOOKUP($A74,'Data shares'!$C:$FB,45)*100</f>
        <v>55.35</v>
      </c>
      <c r="J74" s="49">
        <f>VLOOKUP($A74,'Data shares'!$C:$FB,58)</f>
        <v>72670500</v>
      </c>
      <c r="K74" s="49">
        <f>VLOOKUP($A74,'Data shares'!$C:$FB,59)</f>
        <v>39233250</v>
      </c>
      <c r="L74" s="50">
        <f>VLOOKUP($A74,'Data shares'!$C:$FB,61)*100</f>
        <v>85.22999999999999</v>
      </c>
      <c r="M74" s="49">
        <f>VLOOKUP($A74,'Data shares'!$C:$FB,62)</f>
        <v>27877500</v>
      </c>
      <c r="N74" s="49">
        <f>VLOOKUP($A74,'Data shares'!$C:$FB,63)</f>
        <v>16443000</v>
      </c>
      <c r="O74" s="140">
        <f>VLOOKUP($A74,'Data shares'!$C:$FB,65)*100</f>
        <v>69.540000000000006</v>
      </c>
    </row>
    <row r="75" spans="1:15" x14ac:dyDescent="0.25">
      <c r="A75" s="101" t="str">
        <f>'Data shares'!C70</f>
        <v>GLENMARK</v>
      </c>
      <c r="B75" s="50">
        <f>VLOOKUP($A75,'Data shares'!$C:$FB,7)</f>
        <v>1924</v>
      </c>
      <c r="C75" s="50">
        <f>VLOOKUP($A75,'Data shares'!$C:$FB,10)*100</f>
        <v>-1.1199999999999999</v>
      </c>
      <c r="D75" s="49">
        <f>VLOOKUP($A75,'Data shares'!$C:$FB,66)</f>
        <v>6885000</v>
      </c>
      <c r="E75" s="49">
        <f>VLOOKUP($A75,'Data shares'!$C:$FB,67)</f>
        <v>16516500</v>
      </c>
      <c r="F75" s="50">
        <f>VLOOKUP($A75,'Data shares'!$C:$FB,69)*100</f>
        <v>-58.309999999999995</v>
      </c>
      <c r="G75" s="49">
        <f>VLOOKUP($A75,'Data shares'!$C:$FB,42)</f>
        <v>1087500</v>
      </c>
      <c r="H75" s="49">
        <f>VLOOKUP($A75,'Data shares'!$C:$FB,43)</f>
        <v>2448000</v>
      </c>
      <c r="I75" s="50">
        <f>VLOOKUP($A75,'Data shares'!$C:$FB,45)*100</f>
        <v>-55.58</v>
      </c>
      <c r="J75" s="49">
        <f>VLOOKUP($A75,'Data shares'!$C:$FB,58)</f>
        <v>3829875</v>
      </c>
      <c r="K75" s="49">
        <f>VLOOKUP($A75,'Data shares'!$C:$FB,59)</f>
        <v>7696125</v>
      </c>
      <c r="L75" s="50">
        <f>VLOOKUP($A75,'Data shares'!$C:$FB,61)*100</f>
        <v>-50.239999999999995</v>
      </c>
      <c r="M75" s="49">
        <f>VLOOKUP($A75,'Data shares'!$C:$FB,62)</f>
        <v>1967625</v>
      </c>
      <c r="N75" s="49">
        <f>VLOOKUP($A75,'Data shares'!$C:$FB,63)</f>
        <v>6372375</v>
      </c>
      <c r="O75" s="140">
        <f>VLOOKUP($A75,'Data shares'!$C:$FB,65)*100</f>
        <v>-69.12</v>
      </c>
    </row>
    <row r="76" spans="1:15" x14ac:dyDescent="0.25">
      <c r="A76" s="101" t="str">
        <f>'Data shares'!C71</f>
        <v>GMRAIRPORT</v>
      </c>
      <c r="B76" s="50">
        <f>VLOOKUP($A76,'Data shares'!$C:$FB,7)</f>
        <v>91.01</v>
      </c>
      <c r="C76" s="50">
        <f>VLOOKUP($A76,'Data shares'!$C:$FB,10)*100</f>
        <v>0.63</v>
      </c>
      <c r="D76" s="49">
        <f>VLOOKUP($A76,'Data shares'!$C:$FB,66)</f>
        <v>97908075</v>
      </c>
      <c r="E76" s="49">
        <f>VLOOKUP($A76,'Data shares'!$C:$FB,67)</f>
        <v>58471425</v>
      </c>
      <c r="F76" s="50">
        <f>VLOOKUP($A76,'Data shares'!$C:$FB,69)*100</f>
        <v>67.45</v>
      </c>
      <c r="G76" s="49">
        <f>VLOOKUP($A76,'Data shares'!$C:$FB,42)</f>
        <v>23296500</v>
      </c>
      <c r="H76" s="49">
        <f>VLOOKUP($A76,'Data shares'!$C:$FB,43)</f>
        <v>15903000</v>
      </c>
      <c r="I76" s="50">
        <f>VLOOKUP($A76,'Data shares'!$C:$FB,45)*100</f>
        <v>46.489999999999995</v>
      </c>
      <c r="J76" s="49">
        <f>VLOOKUP($A76,'Data shares'!$C:$FB,58)</f>
        <v>55088550</v>
      </c>
      <c r="K76" s="49">
        <f>VLOOKUP($A76,'Data shares'!$C:$FB,59)</f>
        <v>25863300</v>
      </c>
      <c r="L76" s="50">
        <f>VLOOKUP($A76,'Data shares'!$C:$FB,61)*100</f>
        <v>112.99999999999999</v>
      </c>
      <c r="M76" s="49">
        <f>VLOOKUP($A76,'Data shares'!$C:$FB,62)</f>
        <v>19523025</v>
      </c>
      <c r="N76" s="49">
        <f>VLOOKUP($A76,'Data shares'!$C:$FB,63)</f>
        <v>16705125</v>
      </c>
      <c r="O76" s="140">
        <f>VLOOKUP($A76,'Data shares'!$C:$FB,65)*100</f>
        <v>16.869999999999997</v>
      </c>
    </row>
    <row r="77" spans="1:15" x14ac:dyDescent="0.25">
      <c r="A77" s="101" t="str">
        <f>'Data shares'!C72</f>
        <v>GODREJCP</v>
      </c>
      <c r="B77" s="50">
        <f>VLOOKUP($A77,'Data shares'!$C:$FB,7)</f>
        <v>1246.9000000000001</v>
      </c>
      <c r="C77" s="50">
        <f>VLOOKUP($A77,'Data shares'!$C:$FB,10)*100</f>
        <v>2.31</v>
      </c>
      <c r="D77" s="49">
        <f>VLOOKUP($A77,'Data shares'!$C:$FB,66)</f>
        <v>15117500</v>
      </c>
      <c r="E77" s="49">
        <f>VLOOKUP($A77,'Data shares'!$C:$FB,67)</f>
        <v>4194000</v>
      </c>
      <c r="F77" s="50">
        <f>VLOOKUP($A77,'Data shares'!$C:$FB,69)*100</f>
        <v>260.45999999999998</v>
      </c>
      <c r="G77" s="49">
        <f>VLOOKUP($A77,'Data shares'!$C:$FB,42)</f>
        <v>2354500</v>
      </c>
      <c r="H77" s="49">
        <f>VLOOKUP($A77,'Data shares'!$C:$FB,43)</f>
        <v>1411000</v>
      </c>
      <c r="I77" s="50">
        <f>VLOOKUP($A77,'Data shares'!$C:$FB,45)*100</f>
        <v>66.86999999999999</v>
      </c>
      <c r="J77" s="49">
        <f>VLOOKUP($A77,'Data shares'!$C:$FB,58)</f>
        <v>10459500</v>
      </c>
      <c r="K77" s="49">
        <f>VLOOKUP($A77,'Data shares'!$C:$FB,59)</f>
        <v>2112500</v>
      </c>
      <c r="L77" s="50">
        <f>VLOOKUP($A77,'Data shares'!$C:$FB,61)*100</f>
        <v>395.12</v>
      </c>
      <c r="M77" s="49">
        <f>VLOOKUP($A77,'Data shares'!$C:$FB,62)</f>
        <v>2303500</v>
      </c>
      <c r="N77" s="49">
        <f>VLOOKUP($A77,'Data shares'!$C:$FB,63)</f>
        <v>670500</v>
      </c>
      <c r="O77" s="140">
        <f>VLOOKUP($A77,'Data shares'!$C:$FB,65)*100</f>
        <v>243.55</v>
      </c>
    </row>
    <row r="78" spans="1:15" x14ac:dyDescent="0.25">
      <c r="A78" s="101" t="str">
        <f>'Data shares'!C73</f>
        <v>GODREJPROP</v>
      </c>
      <c r="B78" s="50">
        <f>VLOOKUP($A78,'Data shares'!$C:$FB,7)</f>
        <v>2041.8</v>
      </c>
      <c r="C78" s="50">
        <f>VLOOKUP($A78,'Data shares'!$C:$FB,10)*100</f>
        <v>1.58</v>
      </c>
      <c r="D78" s="49">
        <f>VLOOKUP($A78,'Data shares'!$C:$FB,66)</f>
        <v>6559300</v>
      </c>
      <c r="E78" s="49">
        <f>VLOOKUP($A78,'Data shares'!$C:$FB,67)</f>
        <v>5631725</v>
      </c>
      <c r="F78" s="50">
        <f>VLOOKUP($A78,'Data shares'!$C:$FB,69)*100</f>
        <v>16.470000000000002</v>
      </c>
      <c r="G78" s="49">
        <f>VLOOKUP($A78,'Data shares'!$C:$FB,42)</f>
        <v>933350</v>
      </c>
      <c r="H78" s="49">
        <f>VLOOKUP($A78,'Data shares'!$C:$FB,43)</f>
        <v>1151700</v>
      </c>
      <c r="I78" s="50">
        <f>VLOOKUP($A78,'Data shares'!$C:$FB,45)*100</f>
        <v>-18.96</v>
      </c>
      <c r="J78" s="49">
        <f>VLOOKUP($A78,'Data shares'!$C:$FB,58)</f>
        <v>4024625</v>
      </c>
      <c r="K78" s="49">
        <f>VLOOKUP($A78,'Data shares'!$C:$FB,59)</f>
        <v>3108875</v>
      </c>
      <c r="L78" s="50">
        <f>VLOOKUP($A78,'Data shares'!$C:$FB,61)*100</f>
        <v>29.459999999999997</v>
      </c>
      <c r="M78" s="49">
        <f>VLOOKUP($A78,'Data shares'!$C:$FB,62)</f>
        <v>1601325</v>
      </c>
      <c r="N78" s="49">
        <f>VLOOKUP($A78,'Data shares'!$C:$FB,63)</f>
        <v>1371150</v>
      </c>
      <c r="O78" s="140">
        <f>VLOOKUP($A78,'Data shares'!$C:$FB,65)*100</f>
        <v>16.79</v>
      </c>
    </row>
    <row r="79" spans="1:15" x14ac:dyDescent="0.25">
      <c r="A79" s="101" t="str">
        <f>'Data shares'!C74</f>
        <v>GRANULES</v>
      </c>
      <c r="B79" s="50">
        <f>VLOOKUP($A79,'Data shares'!$C:$FB,7)</f>
        <v>461.35</v>
      </c>
      <c r="C79" s="50">
        <f>VLOOKUP($A79,'Data shares'!$C:$FB,10)*100</f>
        <v>0.72</v>
      </c>
      <c r="D79" s="49">
        <f>VLOOKUP($A79,'Data shares'!$C:$FB,66)</f>
        <v>5058950</v>
      </c>
      <c r="E79" s="49">
        <f>VLOOKUP($A79,'Data shares'!$C:$FB,67)</f>
        <v>3623825</v>
      </c>
      <c r="F79" s="50">
        <f>VLOOKUP($A79,'Data shares'!$C:$FB,69)*100</f>
        <v>39.6</v>
      </c>
      <c r="G79" s="49">
        <f>VLOOKUP($A79,'Data shares'!$C:$FB,42)</f>
        <v>998675</v>
      </c>
      <c r="H79" s="49">
        <f>VLOOKUP($A79,'Data shares'!$C:$FB,43)</f>
        <v>933100</v>
      </c>
      <c r="I79" s="50">
        <f>VLOOKUP($A79,'Data shares'!$C:$FB,45)*100</f>
        <v>7.03</v>
      </c>
      <c r="J79" s="49">
        <f>VLOOKUP($A79,'Data shares'!$C:$FB,58)</f>
        <v>2871325</v>
      </c>
      <c r="K79" s="49">
        <f>VLOOKUP($A79,'Data shares'!$C:$FB,59)</f>
        <v>1743650</v>
      </c>
      <c r="L79" s="50">
        <f>VLOOKUP($A79,'Data shares'!$C:$FB,61)*100</f>
        <v>64.67</v>
      </c>
      <c r="M79" s="49">
        <f>VLOOKUP($A79,'Data shares'!$C:$FB,62)</f>
        <v>1188950</v>
      </c>
      <c r="N79" s="49">
        <f>VLOOKUP($A79,'Data shares'!$C:$FB,63)</f>
        <v>947075</v>
      </c>
      <c r="O79" s="140">
        <f>VLOOKUP($A79,'Data shares'!$C:$FB,65)*100</f>
        <v>25.540000000000003</v>
      </c>
    </row>
    <row r="80" spans="1:15" x14ac:dyDescent="0.25">
      <c r="A80" s="101" t="str">
        <f>'Data shares'!C75</f>
        <v>GRASIM</v>
      </c>
      <c r="B80" s="50">
        <f>VLOOKUP($A80,'Data shares'!$C:$FB,7)</f>
        <v>2864.9</v>
      </c>
      <c r="C80" s="50">
        <f>VLOOKUP($A80,'Data shares'!$C:$FB,10)*100</f>
        <v>1.29</v>
      </c>
      <c r="D80" s="49">
        <f>VLOOKUP($A80,'Data shares'!$C:$FB,66)</f>
        <v>13162750</v>
      </c>
      <c r="E80" s="49">
        <f>VLOOKUP($A80,'Data shares'!$C:$FB,67)</f>
        <v>6237500</v>
      </c>
      <c r="F80" s="50">
        <f>VLOOKUP($A80,'Data shares'!$C:$FB,69)*100</f>
        <v>111.03</v>
      </c>
      <c r="G80" s="49">
        <f>VLOOKUP($A80,'Data shares'!$C:$FB,42)</f>
        <v>1644500</v>
      </c>
      <c r="H80" s="49">
        <f>VLOOKUP($A80,'Data shares'!$C:$FB,43)</f>
        <v>644000</v>
      </c>
      <c r="I80" s="50">
        <f>VLOOKUP($A80,'Data shares'!$C:$FB,45)*100</f>
        <v>155.36000000000001</v>
      </c>
      <c r="J80" s="49">
        <f>VLOOKUP($A80,'Data shares'!$C:$FB,58)</f>
        <v>8787500</v>
      </c>
      <c r="K80" s="49">
        <f>VLOOKUP($A80,'Data shares'!$C:$FB,59)</f>
        <v>3542750</v>
      </c>
      <c r="L80" s="50">
        <f>VLOOKUP($A80,'Data shares'!$C:$FB,61)*100</f>
        <v>148.04</v>
      </c>
      <c r="M80" s="49">
        <f>VLOOKUP($A80,'Data shares'!$C:$FB,62)</f>
        <v>2730750</v>
      </c>
      <c r="N80" s="49">
        <f>VLOOKUP($A80,'Data shares'!$C:$FB,63)</f>
        <v>2050750</v>
      </c>
      <c r="O80" s="140">
        <f>VLOOKUP($A80,'Data shares'!$C:$FB,65)*100</f>
        <v>33.160000000000004</v>
      </c>
    </row>
    <row r="81" spans="1:15" x14ac:dyDescent="0.25">
      <c r="A81" s="101" t="str">
        <f>'Data shares'!C76</f>
        <v>HAL</v>
      </c>
      <c r="B81" s="50">
        <f>VLOOKUP($A81,'Data shares'!$C:$FB,7)</f>
        <v>4468.3999999999996</v>
      </c>
      <c r="C81" s="50">
        <f>VLOOKUP($A81,'Data shares'!$C:$FB,10)*100</f>
        <v>0.35000000000000003</v>
      </c>
      <c r="D81" s="49">
        <f>VLOOKUP($A81,'Data shares'!$C:$FB,66)</f>
        <v>58891050</v>
      </c>
      <c r="E81" s="49">
        <f>VLOOKUP($A81,'Data shares'!$C:$FB,67)</f>
        <v>17786250</v>
      </c>
      <c r="F81" s="50">
        <f>VLOOKUP($A81,'Data shares'!$C:$FB,69)*100</f>
        <v>231.1</v>
      </c>
      <c r="G81" s="49">
        <f>VLOOKUP($A81,'Data shares'!$C:$FB,42)</f>
        <v>5211150</v>
      </c>
      <c r="H81" s="49">
        <f>VLOOKUP($A81,'Data shares'!$C:$FB,43)</f>
        <v>1885200</v>
      </c>
      <c r="I81" s="50">
        <f>VLOOKUP($A81,'Data shares'!$C:$FB,45)*100</f>
        <v>176.42</v>
      </c>
      <c r="J81" s="49">
        <f>VLOOKUP($A81,'Data shares'!$C:$FB,58)</f>
        <v>38977200</v>
      </c>
      <c r="K81" s="49">
        <f>VLOOKUP($A81,'Data shares'!$C:$FB,59)</f>
        <v>10759800</v>
      </c>
      <c r="L81" s="50">
        <f>VLOOKUP($A81,'Data shares'!$C:$FB,61)*100</f>
        <v>262.25</v>
      </c>
      <c r="M81" s="49">
        <f>VLOOKUP($A81,'Data shares'!$C:$FB,62)</f>
        <v>14702700</v>
      </c>
      <c r="N81" s="49">
        <f>VLOOKUP($A81,'Data shares'!$C:$FB,63)</f>
        <v>5141250</v>
      </c>
      <c r="O81" s="140">
        <f>VLOOKUP($A81,'Data shares'!$C:$FB,65)*100</f>
        <v>185.98</v>
      </c>
    </row>
    <row r="82" spans="1:15" x14ac:dyDescent="0.25">
      <c r="A82" s="101" t="str">
        <f>'Data shares'!C77</f>
        <v>HAVELLS</v>
      </c>
      <c r="B82" s="50">
        <f>VLOOKUP($A82,'Data shares'!$C:$FB,7)</f>
        <v>1567.9</v>
      </c>
      <c r="C82" s="50">
        <f>VLOOKUP($A82,'Data shares'!$C:$FB,10)*100</f>
        <v>-0.13</v>
      </c>
      <c r="D82" s="49">
        <f>VLOOKUP($A82,'Data shares'!$C:$FB,66)</f>
        <v>5471500</v>
      </c>
      <c r="E82" s="49">
        <f>VLOOKUP($A82,'Data shares'!$C:$FB,67)</f>
        <v>8201000</v>
      </c>
      <c r="F82" s="50">
        <f>VLOOKUP($A82,'Data shares'!$C:$FB,69)*100</f>
        <v>-33.28</v>
      </c>
      <c r="G82" s="49">
        <f>VLOOKUP($A82,'Data shares'!$C:$FB,42)</f>
        <v>1396500</v>
      </c>
      <c r="H82" s="49">
        <f>VLOOKUP($A82,'Data shares'!$C:$FB,43)</f>
        <v>1920500</v>
      </c>
      <c r="I82" s="50">
        <f>VLOOKUP($A82,'Data shares'!$C:$FB,45)*100</f>
        <v>-27.279999999999998</v>
      </c>
      <c r="J82" s="49">
        <f>VLOOKUP($A82,'Data shares'!$C:$FB,58)</f>
        <v>2219000</v>
      </c>
      <c r="K82" s="49">
        <f>VLOOKUP($A82,'Data shares'!$C:$FB,59)</f>
        <v>3316500</v>
      </c>
      <c r="L82" s="50">
        <f>VLOOKUP($A82,'Data shares'!$C:$FB,61)*100</f>
        <v>-33.090000000000003</v>
      </c>
      <c r="M82" s="49">
        <f>VLOOKUP($A82,'Data shares'!$C:$FB,62)</f>
        <v>1856000</v>
      </c>
      <c r="N82" s="49">
        <f>VLOOKUP($A82,'Data shares'!$C:$FB,63)</f>
        <v>2964000</v>
      </c>
      <c r="O82" s="140">
        <f>VLOOKUP($A82,'Data shares'!$C:$FB,65)*100</f>
        <v>-37.380000000000003</v>
      </c>
    </row>
    <row r="83" spans="1:15" x14ac:dyDescent="0.25">
      <c r="A83" s="101" t="str">
        <f>'Data shares'!C78</f>
        <v>HCLTECH</v>
      </c>
      <c r="B83" s="50">
        <f>VLOOKUP($A83,'Data shares'!$C:$FB,7)</f>
        <v>1496</v>
      </c>
      <c r="C83" s="50">
        <f>VLOOKUP($A83,'Data shares'!$C:$FB,10)*100</f>
        <v>1.35</v>
      </c>
      <c r="D83" s="49">
        <f>VLOOKUP($A83,'Data shares'!$C:$FB,66)</f>
        <v>51157050</v>
      </c>
      <c r="E83" s="49">
        <f>VLOOKUP($A83,'Data shares'!$C:$FB,67)</f>
        <v>16363200</v>
      </c>
      <c r="F83" s="50">
        <f>VLOOKUP($A83,'Data shares'!$C:$FB,69)*100</f>
        <v>212.63</v>
      </c>
      <c r="G83" s="49">
        <f>VLOOKUP($A83,'Data shares'!$C:$FB,42)</f>
        <v>10364550</v>
      </c>
      <c r="H83" s="49">
        <f>VLOOKUP($A83,'Data shares'!$C:$FB,43)</f>
        <v>2678900</v>
      </c>
      <c r="I83" s="50">
        <f>VLOOKUP($A83,'Data shares'!$C:$FB,45)*100</f>
        <v>286.90000000000003</v>
      </c>
      <c r="J83" s="49">
        <f>VLOOKUP($A83,'Data shares'!$C:$FB,58)</f>
        <v>30116450</v>
      </c>
      <c r="K83" s="49">
        <f>VLOOKUP($A83,'Data shares'!$C:$FB,59)</f>
        <v>9271850</v>
      </c>
      <c r="L83" s="50">
        <f>VLOOKUP($A83,'Data shares'!$C:$FB,61)*100</f>
        <v>224.82000000000002</v>
      </c>
      <c r="M83" s="49">
        <f>VLOOKUP($A83,'Data shares'!$C:$FB,62)</f>
        <v>10676050</v>
      </c>
      <c r="N83" s="49">
        <f>VLOOKUP($A83,'Data shares'!$C:$FB,63)</f>
        <v>4412450</v>
      </c>
      <c r="O83" s="140">
        <f>VLOOKUP($A83,'Data shares'!$C:$FB,65)*100</f>
        <v>141.94999999999999</v>
      </c>
    </row>
    <row r="84" spans="1:15" x14ac:dyDescent="0.25">
      <c r="A84" s="101" t="str">
        <f>'Data shares'!C79</f>
        <v>HDFCAMC</v>
      </c>
      <c r="B84" s="50">
        <f>VLOOKUP($A84,'Data shares'!$C:$FB,7)</f>
        <v>5709.5</v>
      </c>
      <c r="C84" s="50">
        <f>VLOOKUP($A84,'Data shares'!$C:$FB,10)*100</f>
        <v>-0.16999999999999998</v>
      </c>
      <c r="D84" s="49">
        <f>VLOOKUP($A84,'Data shares'!$C:$FB,66)</f>
        <v>2217150</v>
      </c>
      <c r="E84" s="49">
        <f>VLOOKUP($A84,'Data shares'!$C:$FB,67)</f>
        <v>3589350</v>
      </c>
      <c r="F84" s="50">
        <f>VLOOKUP($A84,'Data shares'!$C:$FB,69)*100</f>
        <v>-38.229999999999997</v>
      </c>
      <c r="G84" s="49">
        <f>VLOOKUP($A84,'Data shares'!$C:$FB,42)</f>
        <v>449100</v>
      </c>
      <c r="H84" s="49">
        <f>VLOOKUP($A84,'Data shares'!$C:$FB,43)</f>
        <v>479400</v>
      </c>
      <c r="I84" s="50">
        <f>VLOOKUP($A84,'Data shares'!$C:$FB,45)*100</f>
        <v>-6.32</v>
      </c>
      <c r="J84" s="49">
        <f>VLOOKUP($A84,'Data shares'!$C:$FB,58)</f>
        <v>1211700</v>
      </c>
      <c r="K84" s="49">
        <f>VLOOKUP($A84,'Data shares'!$C:$FB,59)</f>
        <v>1961700</v>
      </c>
      <c r="L84" s="50">
        <f>VLOOKUP($A84,'Data shares'!$C:$FB,61)*100</f>
        <v>-38.229999999999997</v>
      </c>
      <c r="M84" s="49">
        <f>VLOOKUP($A84,'Data shares'!$C:$FB,62)</f>
        <v>556350</v>
      </c>
      <c r="N84" s="49">
        <f>VLOOKUP($A84,'Data shares'!$C:$FB,63)</f>
        <v>1148250</v>
      </c>
      <c r="O84" s="140">
        <f>VLOOKUP($A84,'Data shares'!$C:$FB,65)*100</f>
        <v>-51.55</v>
      </c>
    </row>
    <row r="85" spans="1:15" x14ac:dyDescent="0.25">
      <c r="A85" s="101" t="str">
        <f>'Data shares'!C80</f>
        <v>HDFCBANK</v>
      </c>
      <c r="B85" s="50">
        <f>VLOOKUP($A85,'Data shares'!$C:$FB,7)</f>
        <v>1988.2</v>
      </c>
      <c r="C85" s="50">
        <f>VLOOKUP($A85,'Data shares'!$C:$FB,10)*100</f>
        <v>-0.15</v>
      </c>
      <c r="D85" s="49">
        <f>VLOOKUP($A85,'Data shares'!$C:$FB,66)</f>
        <v>61818900</v>
      </c>
      <c r="E85" s="49">
        <f>VLOOKUP($A85,'Data shares'!$C:$FB,67)</f>
        <v>61675900</v>
      </c>
      <c r="F85" s="50">
        <f>VLOOKUP($A85,'Data shares'!$C:$FB,69)*100</f>
        <v>0.22999999999999998</v>
      </c>
      <c r="G85" s="49">
        <f>VLOOKUP($A85,'Data shares'!$C:$FB,42)</f>
        <v>10220100</v>
      </c>
      <c r="H85" s="49">
        <f>VLOOKUP($A85,'Data shares'!$C:$FB,43)</f>
        <v>13370500</v>
      </c>
      <c r="I85" s="50">
        <f>VLOOKUP($A85,'Data shares'!$C:$FB,45)*100</f>
        <v>-23.56</v>
      </c>
      <c r="J85" s="49">
        <f>VLOOKUP($A85,'Data shares'!$C:$FB,58)</f>
        <v>31763050</v>
      </c>
      <c r="K85" s="49">
        <f>VLOOKUP($A85,'Data shares'!$C:$FB,59)</f>
        <v>30173000</v>
      </c>
      <c r="L85" s="50">
        <f>VLOOKUP($A85,'Data shares'!$C:$FB,61)*100</f>
        <v>5.27</v>
      </c>
      <c r="M85" s="49">
        <f>VLOOKUP($A85,'Data shares'!$C:$FB,62)</f>
        <v>19835750</v>
      </c>
      <c r="N85" s="49">
        <f>VLOOKUP($A85,'Data shares'!$C:$FB,63)</f>
        <v>18132400</v>
      </c>
      <c r="O85" s="140">
        <f>VLOOKUP($A85,'Data shares'!$C:$FB,65)*100</f>
        <v>9.39</v>
      </c>
    </row>
    <row r="86" spans="1:15" x14ac:dyDescent="0.25">
      <c r="A86" s="101" t="str">
        <f>'Data shares'!C81</f>
        <v>HDFCLIFE</v>
      </c>
      <c r="B86" s="50">
        <f>VLOOKUP($A86,'Data shares'!$C:$FB,7)</f>
        <v>796.55</v>
      </c>
      <c r="C86" s="50">
        <f>VLOOKUP($A86,'Data shares'!$C:$FB,10)*100</f>
        <v>0.35000000000000003</v>
      </c>
      <c r="D86" s="49">
        <f>VLOOKUP($A86,'Data shares'!$C:$FB,66)</f>
        <v>18153300</v>
      </c>
      <c r="E86" s="49">
        <f>VLOOKUP($A86,'Data shares'!$C:$FB,67)</f>
        <v>23854600</v>
      </c>
      <c r="F86" s="50">
        <f>VLOOKUP($A86,'Data shares'!$C:$FB,69)*100</f>
        <v>-23.9</v>
      </c>
      <c r="G86" s="49">
        <f>VLOOKUP($A86,'Data shares'!$C:$FB,42)</f>
        <v>2687300</v>
      </c>
      <c r="H86" s="49">
        <f>VLOOKUP($A86,'Data shares'!$C:$FB,43)</f>
        <v>2637800</v>
      </c>
      <c r="I86" s="50">
        <f>VLOOKUP($A86,'Data shares'!$C:$FB,45)*100</f>
        <v>1.8800000000000001</v>
      </c>
      <c r="J86" s="49">
        <f>VLOOKUP($A86,'Data shares'!$C:$FB,58)</f>
        <v>10554500</v>
      </c>
      <c r="K86" s="49">
        <f>VLOOKUP($A86,'Data shares'!$C:$FB,59)</f>
        <v>13858900</v>
      </c>
      <c r="L86" s="50">
        <f>VLOOKUP($A86,'Data shares'!$C:$FB,61)*100</f>
        <v>-23.84</v>
      </c>
      <c r="M86" s="49">
        <f>VLOOKUP($A86,'Data shares'!$C:$FB,62)</f>
        <v>4911500</v>
      </c>
      <c r="N86" s="49">
        <f>VLOOKUP($A86,'Data shares'!$C:$FB,63)</f>
        <v>7357900</v>
      </c>
      <c r="O86" s="140">
        <f>VLOOKUP($A86,'Data shares'!$C:$FB,65)*100</f>
        <v>-33.25</v>
      </c>
    </row>
    <row r="87" spans="1:15" x14ac:dyDescent="0.25">
      <c r="A87" s="101" t="str">
        <f>'Data shares'!C82</f>
        <v>HEROMOTOCO</v>
      </c>
      <c r="B87" s="50">
        <f>VLOOKUP($A87,'Data shares'!$C:$FB,7)</f>
        <v>5136</v>
      </c>
      <c r="C87" s="50">
        <f>VLOOKUP($A87,'Data shares'!$C:$FB,10)*100</f>
        <v>0.35000000000000003</v>
      </c>
      <c r="D87" s="49">
        <f>VLOOKUP($A87,'Data shares'!$C:$FB,66)</f>
        <v>19848450</v>
      </c>
      <c r="E87" s="49">
        <f>VLOOKUP($A87,'Data shares'!$C:$FB,67)</f>
        <v>38976300</v>
      </c>
      <c r="F87" s="50">
        <f>VLOOKUP($A87,'Data shares'!$C:$FB,69)*100</f>
        <v>-49.08</v>
      </c>
      <c r="G87" s="49">
        <f>VLOOKUP($A87,'Data shares'!$C:$FB,42)</f>
        <v>1464900</v>
      </c>
      <c r="H87" s="49">
        <f>VLOOKUP($A87,'Data shares'!$C:$FB,43)</f>
        <v>2311950</v>
      </c>
      <c r="I87" s="50">
        <f>VLOOKUP($A87,'Data shares'!$C:$FB,45)*100</f>
        <v>-36.64</v>
      </c>
      <c r="J87" s="49">
        <f>VLOOKUP($A87,'Data shares'!$C:$FB,58)</f>
        <v>11590650</v>
      </c>
      <c r="K87" s="49">
        <f>VLOOKUP($A87,'Data shares'!$C:$FB,59)</f>
        <v>24999300</v>
      </c>
      <c r="L87" s="50">
        <f>VLOOKUP($A87,'Data shares'!$C:$FB,61)*100</f>
        <v>-53.64</v>
      </c>
      <c r="M87" s="49">
        <f>VLOOKUP($A87,'Data shares'!$C:$FB,62)</f>
        <v>6792900</v>
      </c>
      <c r="N87" s="49">
        <f>VLOOKUP($A87,'Data shares'!$C:$FB,63)</f>
        <v>11665050</v>
      </c>
      <c r="O87" s="140">
        <f>VLOOKUP($A87,'Data shares'!$C:$FB,65)*100</f>
        <v>-41.77</v>
      </c>
    </row>
    <row r="88" spans="1:15" x14ac:dyDescent="0.25">
      <c r="A88" s="101" t="str">
        <f>'Data shares'!C83</f>
        <v>HFCL</v>
      </c>
      <c r="B88" s="50">
        <f>VLOOKUP($A88,'Data shares'!$C:$FB,7)</f>
        <v>75.27</v>
      </c>
      <c r="C88" s="50">
        <f>VLOOKUP($A88,'Data shares'!$C:$FB,10)*100</f>
        <v>1.2</v>
      </c>
      <c r="D88" s="49">
        <f>VLOOKUP($A88,'Data shares'!$C:$FB,66)</f>
        <v>26141850</v>
      </c>
      <c r="E88" s="49">
        <f>VLOOKUP($A88,'Data shares'!$C:$FB,67)</f>
        <v>37197150</v>
      </c>
      <c r="F88" s="50">
        <f>VLOOKUP($A88,'Data shares'!$C:$FB,69)*100</f>
        <v>-29.720000000000002</v>
      </c>
      <c r="G88" s="49">
        <f>VLOOKUP($A88,'Data shares'!$C:$FB,42)</f>
        <v>8655900</v>
      </c>
      <c r="H88" s="49">
        <f>VLOOKUP($A88,'Data shares'!$C:$FB,43)</f>
        <v>12442050</v>
      </c>
      <c r="I88" s="50">
        <f>VLOOKUP($A88,'Data shares'!$C:$FB,45)*100</f>
        <v>-30.43</v>
      </c>
      <c r="J88" s="49">
        <f>VLOOKUP($A88,'Data shares'!$C:$FB,58)</f>
        <v>12880650</v>
      </c>
      <c r="K88" s="49">
        <f>VLOOKUP($A88,'Data shares'!$C:$FB,59)</f>
        <v>18582450</v>
      </c>
      <c r="L88" s="50">
        <f>VLOOKUP($A88,'Data shares'!$C:$FB,61)*100</f>
        <v>-30.680000000000003</v>
      </c>
      <c r="M88" s="49">
        <f>VLOOKUP($A88,'Data shares'!$C:$FB,62)</f>
        <v>4605300</v>
      </c>
      <c r="N88" s="49">
        <f>VLOOKUP($A88,'Data shares'!$C:$FB,63)</f>
        <v>6172650</v>
      </c>
      <c r="O88" s="140">
        <f>VLOOKUP($A88,'Data shares'!$C:$FB,65)*100</f>
        <v>-25.39</v>
      </c>
    </row>
    <row r="89" spans="1:15" x14ac:dyDescent="0.25">
      <c r="A89" s="101" t="str">
        <f>'Data shares'!C84</f>
        <v>HINDALCO</v>
      </c>
      <c r="B89" s="50">
        <f>VLOOKUP($A89,'Data shares'!$C:$FB,7)</f>
        <v>700.85</v>
      </c>
      <c r="C89" s="50">
        <f>VLOOKUP($A89,'Data shares'!$C:$FB,10)*100</f>
        <v>-0.83</v>
      </c>
      <c r="D89" s="49">
        <f>VLOOKUP($A89,'Data shares'!$C:$FB,66)</f>
        <v>58392600</v>
      </c>
      <c r="E89" s="49">
        <f>VLOOKUP($A89,'Data shares'!$C:$FB,67)</f>
        <v>66918600</v>
      </c>
      <c r="F89" s="50">
        <f>VLOOKUP($A89,'Data shares'!$C:$FB,69)*100</f>
        <v>-12.740000000000002</v>
      </c>
      <c r="G89" s="49">
        <f>VLOOKUP($A89,'Data shares'!$C:$FB,42)</f>
        <v>8922200</v>
      </c>
      <c r="H89" s="49">
        <f>VLOOKUP($A89,'Data shares'!$C:$FB,43)</f>
        <v>12828200</v>
      </c>
      <c r="I89" s="50">
        <f>VLOOKUP($A89,'Data shares'!$C:$FB,45)*100</f>
        <v>-30.45</v>
      </c>
      <c r="J89" s="49">
        <f>VLOOKUP($A89,'Data shares'!$C:$FB,58)</f>
        <v>28551600</v>
      </c>
      <c r="K89" s="49">
        <f>VLOOKUP($A89,'Data shares'!$C:$FB,59)</f>
        <v>30129400</v>
      </c>
      <c r="L89" s="50">
        <f>VLOOKUP($A89,'Data shares'!$C:$FB,61)*100</f>
        <v>-5.24</v>
      </c>
      <c r="M89" s="49">
        <f>VLOOKUP($A89,'Data shares'!$C:$FB,62)</f>
        <v>20918800</v>
      </c>
      <c r="N89" s="49">
        <f>VLOOKUP($A89,'Data shares'!$C:$FB,63)</f>
        <v>23961000</v>
      </c>
      <c r="O89" s="140">
        <f>VLOOKUP($A89,'Data shares'!$C:$FB,65)*100</f>
        <v>-12.7</v>
      </c>
    </row>
    <row r="90" spans="1:15" x14ac:dyDescent="0.25">
      <c r="A90" s="101" t="str">
        <f>'Data shares'!C85</f>
        <v>HINDPETRO</v>
      </c>
      <c r="B90" s="50">
        <f>VLOOKUP($A90,'Data shares'!$C:$FB,7)</f>
        <v>390.8</v>
      </c>
      <c r="C90" s="50">
        <f>VLOOKUP($A90,'Data shares'!$C:$FB,10)*100</f>
        <v>-1.21</v>
      </c>
      <c r="D90" s="49">
        <f>VLOOKUP($A90,'Data shares'!$C:$FB,66)</f>
        <v>38499300</v>
      </c>
      <c r="E90" s="49">
        <f>VLOOKUP($A90,'Data shares'!$C:$FB,67)</f>
        <v>52571025</v>
      </c>
      <c r="F90" s="50">
        <f>VLOOKUP($A90,'Data shares'!$C:$FB,69)*100</f>
        <v>-26.77</v>
      </c>
      <c r="G90" s="49">
        <f>VLOOKUP($A90,'Data shares'!$C:$FB,42)</f>
        <v>8705475</v>
      </c>
      <c r="H90" s="49">
        <f>VLOOKUP($A90,'Data shares'!$C:$FB,43)</f>
        <v>11032200</v>
      </c>
      <c r="I90" s="50">
        <f>VLOOKUP($A90,'Data shares'!$C:$FB,45)*100</f>
        <v>-21.09</v>
      </c>
      <c r="J90" s="49">
        <f>VLOOKUP($A90,'Data shares'!$C:$FB,58)</f>
        <v>20766375</v>
      </c>
      <c r="K90" s="49">
        <f>VLOOKUP($A90,'Data shares'!$C:$FB,59)</f>
        <v>28384425</v>
      </c>
      <c r="L90" s="50">
        <f>VLOOKUP($A90,'Data shares'!$C:$FB,61)*100</f>
        <v>-26.840000000000003</v>
      </c>
      <c r="M90" s="49">
        <f>VLOOKUP($A90,'Data shares'!$C:$FB,62)</f>
        <v>9027450</v>
      </c>
      <c r="N90" s="49">
        <f>VLOOKUP($A90,'Data shares'!$C:$FB,63)</f>
        <v>13154400</v>
      </c>
      <c r="O90" s="140">
        <f>VLOOKUP($A90,'Data shares'!$C:$FB,65)*100</f>
        <v>-31.369999999999997</v>
      </c>
    </row>
    <row r="91" spans="1:15" x14ac:dyDescent="0.25">
      <c r="A91" s="101" t="str">
        <f>'Data shares'!C86</f>
        <v>HINDUNILVR</v>
      </c>
      <c r="B91" s="50">
        <f>VLOOKUP($A91,'Data shares'!$C:$FB,7)</f>
        <v>2669.8</v>
      </c>
      <c r="C91" s="50">
        <f>VLOOKUP($A91,'Data shares'!$C:$FB,10)*100</f>
        <v>2.5</v>
      </c>
      <c r="D91" s="49">
        <f>VLOOKUP($A91,'Data shares'!$C:$FB,66)</f>
        <v>67849500</v>
      </c>
      <c r="E91" s="49">
        <f>VLOOKUP($A91,'Data shares'!$C:$FB,67)</f>
        <v>24207600</v>
      </c>
      <c r="F91" s="50">
        <f>VLOOKUP($A91,'Data shares'!$C:$FB,69)*100</f>
        <v>180.28</v>
      </c>
      <c r="G91" s="49">
        <f>VLOOKUP($A91,'Data shares'!$C:$FB,42)</f>
        <v>4727400</v>
      </c>
      <c r="H91" s="49">
        <f>VLOOKUP($A91,'Data shares'!$C:$FB,43)</f>
        <v>2155800</v>
      </c>
      <c r="I91" s="50">
        <f>VLOOKUP($A91,'Data shares'!$C:$FB,45)*100</f>
        <v>119.29</v>
      </c>
      <c r="J91" s="49">
        <f>VLOOKUP($A91,'Data shares'!$C:$FB,58)</f>
        <v>45103500</v>
      </c>
      <c r="K91" s="49">
        <f>VLOOKUP($A91,'Data shares'!$C:$FB,59)</f>
        <v>15073200</v>
      </c>
      <c r="L91" s="50">
        <f>VLOOKUP($A91,'Data shares'!$C:$FB,61)*100</f>
        <v>199.23</v>
      </c>
      <c r="M91" s="49">
        <f>VLOOKUP($A91,'Data shares'!$C:$FB,62)</f>
        <v>18018600</v>
      </c>
      <c r="N91" s="49">
        <f>VLOOKUP($A91,'Data shares'!$C:$FB,63)</f>
        <v>6978600</v>
      </c>
      <c r="O91" s="140">
        <f>VLOOKUP($A91,'Data shares'!$C:$FB,65)*100</f>
        <v>158.20000000000002</v>
      </c>
    </row>
    <row r="92" spans="1:15" x14ac:dyDescent="0.25">
      <c r="A92" s="101" t="str">
        <f>'Data shares'!C87</f>
        <v>HINDZINC</v>
      </c>
      <c r="B92" s="50">
        <f>VLOOKUP($A92,'Data shares'!$C:$FB,7)</f>
        <v>430</v>
      </c>
      <c r="C92" s="50">
        <f>VLOOKUP($A92,'Data shares'!$C:$FB,10)*100</f>
        <v>0.31</v>
      </c>
      <c r="D92" s="49">
        <f>VLOOKUP($A92,'Data shares'!$C:$FB,66)</f>
        <v>16699200</v>
      </c>
      <c r="E92" s="49">
        <f>VLOOKUP($A92,'Data shares'!$C:$FB,67)</f>
        <v>20003025</v>
      </c>
      <c r="F92" s="50">
        <f>VLOOKUP($A92,'Data shares'!$C:$FB,69)*100</f>
        <v>-16.520000000000003</v>
      </c>
      <c r="G92" s="49">
        <f>VLOOKUP($A92,'Data shares'!$C:$FB,42)</f>
        <v>4509225</v>
      </c>
      <c r="H92" s="49">
        <f>VLOOKUP($A92,'Data shares'!$C:$FB,43)</f>
        <v>4270350</v>
      </c>
      <c r="I92" s="50">
        <f>VLOOKUP($A92,'Data shares'!$C:$FB,45)*100</f>
        <v>5.59</v>
      </c>
      <c r="J92" s="49">
        <f>VLOOKUP($A92,'Data shares'!$C:$FB,58)</f>
        <v>7693000</v>
      </c>
      <c r="K92" s="49">
        <f>VLOOKUP($A92,'Data shares'!$C:$FB,59)</f>
        <v>11758775</v>
      </c>
      <c r="L92" s="50">
        <f>VLOOKUP($A92,'Data shares'!$C:$FB,61)*100</f>
        <v>-34.58</v>
      </c>
      <c r="M92" s="49">
        <f>VLOOKUP($A92,'Data shares'!$C:$FB,62)</f>
        <v>4496975</v>
      </c>
      <c r="N92" s="49">
        <f>VLOOKUP($A92,'Data shares'!$C:$FB,63)</f>
        <v>3973900</v>
      </c>
      <c r="O92" s="140">
        <f>VLOOKUP($A92,'Data shares'!$C:$FB,65)*100</f>
        <v>13.16</v>
      </c>
    </row>
    <row r="93" spans="1:15" x14ac:dyDescent="0.25">
      <c r="A93" s="101" t="str">
        <f>'Data shares'!C88</f>
        <v>HUDCO</v>
      </c>
      <c r="B93" s="50">
        <f>VLOOKUP($A93,'Data shares'!$C:$FB,7)</f>
        <v>214.39</v>
      </c>
      <c r="C93" s="50">
        <f>VLOOKUP($A93,'Data shares'!$C:$FB,10)*100</f>
        <v>6.9999999999999993E-2</v>
      </c>
      <c r="D93" s="49">
        <f>VLOOKUP($A93,'Data shares'!$C:$FB,66)</f>
        <v>26676075</v>
      </c>
      <c r="E93" s="49">
        <f>VLOOKUP($A93,'Data shares'!$C:$FB,67)</f>
        <v>34745775</v>
      </c>
      <c r="F93" s="50">
        <f>VLOOKUP($A93,'Data shares'!$C:$FB,69)*100</f>
        <v>-23.22</v>
      </c>
      <c r="G93" s="49">
        <f>VLOOKUP($A93,'Data shares'!$C:$FB,42)</f>
        <v>5935725</v>
      </c>
      <c r="H93" s="49">
        <f>VLOOKUP($A93,'Data shares'!$C:$FB,43)</f>
        <v>8164050</v>
      </c>
      <c r="I93" s="50">
        <f>VLOOKUP($A93,'Data shares'!$C:$FB,45)*100</f>
        <v>-27.29</v>
      </c>
      <c r="J93" s="49">
        <f>VLOOKUP($A93,'Data shares'!$C:$FB,58)</f>
        <v>14749125</v>
      </c>
      <c r="K93" s="49">
        <f>VLOOKUP($A93,'Data shares'!$C:$FB,59)</f>
        <v>17951475</v>
      </c>
      <c r="L93" s="50">
        <f>VLOOKUP($A93,'Data shares'!$C:$FB,61)*100</f>
        <v>-17.84</v>
      </c>
      <c r="M93" s="49">
        <f>VLOOKUP($A93,'Data shares'!$C:$FB,62)</f>
        <v>5991225</v>
      </c>
      <c r="N93" s="49">
        <f>VLOOKUP($A93,'Data shares'!$C:$FB,63)</f>
        <v>8630250</v>
      </c>
      <c r="O93" s="140">
        <f>VLOOKUP($A93,'Data shares'!$C:$FB,65)*100</f>
        <v>-30.580000000000002</v>
      </c>
    </row>
    <row r="94" spans="1:15" x14ac:dyDescent="0.25">
      <c r="A94" s="101" t="str">
        <f>'Data shares'!C89</f>
        <v>ICICIBANK</v>
      </c>
      <c r="B94" s="50">
        <f>VLOOKUP($A94,'Data shares'!$C:$FB,7)</f>
        <v>1430.6</v>
      </c>
      <c r="C94" s="50">
        <f>VLOOKUP($A94,'Data shares'!$C:$FB,10)*100</f>
        <v>-0.4</v>
      </c>
      <c r="D94" s="49">
        <f>VLOOKUP($A94,'Data shares'!$C:$FB,66)</f>
        <v>49830200</v>
      </c>
      <c r="E94" s="49">
        <f>VLOOKUP($A94,'Data shares'!$C:$FB,67)</f>
        <v>43621200</v>
      </c>
      <c r="F94" s="50">
        <f>VLOOKUP($A94,'Data shares'!$C:$FB,69)*100</f>
        <v>14.23</v>
      </c>
      <c r="G94" s="49">
        <f>VLOOKUP($A94,'Data shares'!$C:$FB,42)</f>
        <v>12173700</v>
      </c>
      <c r="H94" s="49">
        <f>VLOOKUP($A94,'Data shares'!$C:$FB,43)</f>
        <v>7948500</v>
      </c>
      <c r="I94" s="50">
        <f>VLOOKUP($A94,'Data shares'!$C:$FB,45)*100</f>
        <v>53.16</v>
      </c>
      <c r="J94" s="49">
        <f>VLOOKUP($A94,'Data shares'!$C:$FB,58)</f>
        <v>24442600</v>
      </c>
      <c r="K94" s="49">
        <f>VLOOKUP($A94,'Data shares'!$C:$FB,59)</f>
        <v>23620100</v>
      </c>
      <c r="L94" s="50">
        <f>VLOOKUP($A94,'Data shares'!$C:$FB,61)*100</f>
        <v>3.4799999999999995</v>
      </c>
      <c r="M94" s="49">
        <f>VLOOKUP($A94,'Data shares'!$C:$FB,62)</f>
        <v>13213900</v>
      </c>
      <c r="N94" s="49">
        <f>VLOOKUP($A94,'Data shares'!$C:$FB,63)</f>
        <v>12052600</v>
      </c>
      <c r="O94" s="140">
        <f>VLOOKUP($A94,'Data shares'!$C:$FB,65)*100</f>
        <v>9.64</v>
      </c>
    </row>
    <row r="95" spans="1:15" x14ac:dyDescent="0.25">
      <c r="A95" s="101" t="str">
        <f>'Data shares'!C90</f>
        <v>ICICIGI</v>
      </c>
      <c r="B95" s="50">
        <f>VLOOKUP($A95,'Data shares'!$C:$FB,7)</f>
        <v>1968.5</v>
      </c>
      <c r="C95" s="50">
        <f>VLOOKUP($A95,'Data shares'!$C:$FB,10)*100</f>
        <v>0.8</v>
      </c>
      <c r="D95" s="49">
        <f>VLOOKUP($A95,'Data shares'!$C:$FB,66)</f>
        <v>1744275</v>
      </c>
      <c r="E95" s="49">
        <f>VLOOKUP($A95,'Data shares'!$C:$FB,67)</f>
        <v>1663025</v>
      </c>
      <c r="F95" s="50">
        <f>VLOOKUP($A95,'Data shares'!$C:$FB,69)*100</f>
        <v>4.8899999999999997</v>
      </c>
      <c r="G95" s="49">
        <f>VLOOKUP($A95,'Data shares'!$C:$FB,42)</f>
        <v>348400</v>
      </c>
      <c r="H95" s="49">
        <f>VLOOKUP($A95,'Data shares'!$C:$FB,43)</f>
        <v>473525</v>
      </c>
      <c r="I95" s="50">
        <f>VLOOKUP($A95,'Data shares'!$C:$FB,45)*100</f>
        <v>-26.419999999999998</v>
      </c>
      <c r="J95" s="49">
        <f>VLOOKUP($A95,'Data shares'!$C:$FB,58)</f>
        <v>1068925</v>
      </c>
      <c r="K95" s="49">
        <f>VLOOKUP($A95,'Data shares'!$C:$FB,59)</f>
        <v>733850</v>
      </c>
      <c r="L95" s="50">
        <f>VLOOKUP($A95,'Data shares'!$C:$FB,61)*100</f>
        <v>45.660000000000004</v>
      </c>
      <c r="M95" s="49">
        <f>VLOOKUP($A95,'Data shares'!$C:$FB,62)</f>
        <v>326950</v>
      </c>
      <c r="N95" s="49">
        <f>VLOOKUP($A95,'Data shares'!$C:$FB,63)</f>
        <v>455650</v>
      </c>
      <c r="O95" s="140">
        <f>VLOOKUP($A95,'Data shares'!$C:$FB,65)*100</f>
        <v>-28.249999999999996</v>
      </c>
    </row>
    <row r="96" spans="1:15" x14ac:dyDescent="0.25">
      <c r="A96" s="101" t="str">
        <f>'Data shares'!C91</f>
        <v>ICICIPRULI</v>
      </c>
      <c r="B96" s="50">
        <f>VLOOKUP($A96,'Data shares'!$C:$FB,7)</f>
        <v>632.04999999999995</v>
      </c>
      <c r="C96" s="50">
        <f>VLOOKUP($A96,'Data shares'!$C:$FB,10)*100</f>
        <v>-0.22</v>
      </c>
      <c r="D96" s="49">
        <f>VLOOKUP($A96,'Data shares'!$C:$FB,66)</f>
        <v>3308725</v>
      </c>
      <c r="E96" s="49">
        <f>VLOOKUP($A96,'Data shares'!$C:$FB,67)</f>
        <v>5228100</v>
      </c>
      <c r="F96" s="50">
        <f>VLOOKUP($A96,'Data shares'!$C:$FB,69)*100</f>
        <v>-36.71</v>
      </c>
      <c r="G96" s="49">
        <f>VLOOKUP($A96,'Data shares'!$C:$FB,42)</f>
        <v>1077625</v>
      </c>
      <c r="H96" s="49">
        <f>VLOOKUP($A96,'Data shares'!$C:$FB,43)</f>
        <v>1196025</v>
      </c>
      <c r="I96" s="50">
        <f>VLOOKUP($A96,'Data shares'!$C:$FB,45)*100</f>
        <v>-9.9</v>
      </c>
      <c r="J96" s="49">
        <f>VLOOKUP($A96,'Data shares'!$C:$FB,58)</f>
        <v>1731600</v>
      </c>
      <c r="K96" s="49">
        <f>VLOOKUP($A96,'Data shares'!$C:$FB,59)</f>
        <v>3008100</v>
      </c>
      <c r="L96" s="50">
        <f>VLOOKUP($A96,'Data shares'!$C:$FB,61)*100</f>
        <v>-42.44</v>
      </c>
      <c r="M96" s="49">
        <f>VLOOKUP($A96,'Data shares'!$C:$FB,62)</f>
        <v>499500</v>
      </c>
      <c r="N96" s="49">
        <f>VLOOKUP($A96,'Data shares'!$C:$FB,63)</f>
        <v>1023975</v>
      </c>
      <c r="O96" s="140">
        <f>VLOOKUP($A96,'Data shares'!$C:$FB,65)*100</f>
        <v>-51.22</v>
      </c>
    </row>
    <row r="97" spans="1:15" x14ac:dyDescent="0.25">
      <c r="A97" s="101" t="str">
        <f>'Data shares'!C92</f>
        <v>IDEA</v>
      </c>
      <c r="B97" s="50">
        <f>VLOOKUP($A97,'Data shares'!$C:$FB,7)</f>
        <v>6.79</v>
      </c>
      <c r="C97" s="50">
        <f>VLOOKUP($A97,'Data shares'!$C:$FB,10)*100</f>
        <v>3.19</v>
      </c>
      <c r="D97" s="49">
        <f>VLOOKUP($A97,'Data shares'!$C:$FB,66)</f>
        <v>2353385850</v>
      </c>
      <c r="E97" s="49">
        <f>VLOOKUP($A97,'Data shares'!$C:$FB,67)</f>
        <v>2183489775</v>
      </c>
      <c r="F97" s="50">
        <f>VLOOKUP($A97,'Data shares'!$C:$FB,69)*100</f>
        <v>7.7799999999999994</v>
      </c>
      <c r="G97" s="49">
        <f>VLOOKUP($A97,'Data shares'!$C:$FB,42)</f>
        <v>1010013225</v>
      </c>
      <c r="H97" s="49">
        <f>VLOOKUP($A97,'Data shares'!$C:$FB,43)</f>
        <v>1583886000</v>
      </c>
      <c r="I97" s="50">
        <f>VLOOKUP($A97,'Data shares'!$C:$FB,45)*100</f>
        <v>-36.230000000000004</v>
      </c>
      <c r="J97" s="49">
        <f>VLOOKUP($A97,'Data shares'!$C:$FB,58)</f>
        <v>1047823500</v>
      </c>
      <c r="K97" s="49">
        <f>VLOOKUP($A97,'Data shares'!$C:$FB,59)</f>
        <v>475809075</v>
      </c>
      <c r="L97" s="50">
        <f>VLOOKUP($A97,'Data shares'!$C:$FB,61)*100</f>
        <v>120.22</v>
      </c>
      <c r="M97" s="49">
        <f>VLOOKUP($A97,'Data shares'!$C:$FB,62)</f>
        <v>295549125</v>
      </c>
      <c r="N97" s="49">
        <f>VLOOKUP($A97,'Data shares'!$C:$FB,63)</f>
        <v>123794700</v>
      </c>
      <c r="O97" s="140">
        <f>VLOOKUP($A97,'Data shares'!$C:$FB,65)*100</f>
        <v>138.74</v>
      </c>
    </row>
    <row r="98" spans="1:15" x14ac:dyDescent="0.25">
      <c r="A98" s="101" t="str">
        <f>'Data shares'!C93</f>
        <v>IDFCFIRSTB</v>
      </c>
      <c r="B98" s="50">
        <f>VLOOKUP($A98,'Data shares'!$C:$FB,7)</f>
        <v>71.25</v>
      </c>
      <c r="C98" s="50">
        <f>VLOOKUP($A98,'Data shares'!$C:$FB,10)*100</f>
        <v>-0.06</v>
      </c>
      <c r="D98" s="49">
        <f>VLOOKUP($A98,'Data shares'!$C:$FB,66)</f>
        <v>126993300</v>
      </c>
      <c r="E98" s="49">
        <f>VLOOKUP($A98,'Data shares'!$C:$FB,67)</f>
        <v>255628275</v>
      </c>
      <c r="F98" s="50">
        <f>VLOOKUP($A98,'Data shares'!$C:$FB,69)*100</f>
        <v>-50.32</v>
      </c>
      <c r="G98" s="49">
        <f>VLOOKUP($A98,'Data shares'!$C:$FB,42)</f>
        <v>51726675</v>
      </c>
      <c r="H98" s="49">
        <f>VLOOKUP($A98,'Data shares'!$C:$FB,43)</f>
        <v>71361850</v>
      </c>
      <c r="I98" s="50">
        <f>VLOOKUP($A98,'Data shares'!$C:$FB,45)*100</f>
        <v>-27.51</v>
      </c>
      <c r="J98" s="49">
        <f>VLOOKUP($A98,'Data shares'!$C:$FB,58)</f>
        <v>45475325</v>
      </c>
      <c r="K98" s="49">
        <f>VLOOKUP($A98,'Data shares'!$C:$FB,59)</f>
        <v>108638075</v>
      </c>
      <c r="L98" s="50">
        <f>VLOOKUP($A98,'Data shares'!$C:$FB,61)*100</f>
        <v>-58.14</v>
      </c>
      <c r="M98" s="49">
        <f>VLOOKUP($A98,'Data shares'!$C:$FB,62)</f>
        <v>29791300</v>
      </c>
      <c r="N98" s="49">
        <f>VLOOKUP($A98,'Data shares'!$C:$FB,63)</f>
        <v>75628350</v>
      </c>
      <c r="O98" s="140">
        <f>VLOOKUP($A98,'Data shares'!$C:$FB,65)*100</f>
        <v>-60.61</v>
      </c>
    </row>
    <row r="99" spans="1:15" x14ac:dyDescent="0.25">
      <c r="A99" s="101" t="str">
        <f>'Data shares'!C94</f>
        <v>IEX</v>
      </c>
      <c r="B99" s="50">
        <f>VLOOKUP($A99,'Data shares'!$C:$FB,7)</f>
        <v>143.15</v>
      </c>
      <c r="C99" s="50">
        <f>VLOOKUP($A99,'Data shares'!$C:$FB,10)*100</f>
        <v>1.0999999999999999</v>
      </c>
      <c r="D99" s="49">
        <f>VLOOKUP($A99,'Data shares'!$C:$FB,66)</f>
        <v>62433750</v>
      </c>
      <c r="E99" s="49">
        <f>VLOOKUP($A99,'Data shares'!$C:$FB,67)</f>
        <v>47373750</v>
      </c>
      <c r="F99" s="50">
        <f>VLOOKUP($A99,'Data shares'!$C:$FB,69)*100</f>
        <v>31.790000000000003</v>
      </c>
      <c r="G99" s="49">
        <f>VLOOKUP($A99,'Data shares'!$C:$FB,42)</f>
        <v>9191250</v>
      </c>
      <c r="H99" s="49">
        <f>VLOOKUP($A99,'Data shares'!$C:$FB,43)</f>
        <v>8456250</v>
      </c>
      <c r="I99" s="50">
        <f>VLOOKUP($A99,'Data shares'!$C:$FB,45)*100</f>
        <v>8.6900000000000013</v>
      </c>
      <c r="J99" s="49">
        <f>VLOOKUP($A99,'Data shares'!$C:$FB,58)</f>
        <v>32313750</v>
      </c>
      <c r="K99" s="49">
        <f>VLOOKUP($A99,'Data shares'!$C:$FB,59)</f>
        <v>22777500</v>
      </c>
      <c r="L99" s="50">
        <f>VLOOKUP($A99,'Data shares'!$C:$FB,61)*100</f>
        <v>41.870000000000005</v>
      </c>
      <c r="M99" s="49">
        <f>VLOOKUP($A99,'Data shares'!$C:$FB,62)</f>
        <v>20928750</v>
      </c>
      <c r="N99" s="49">
        <f>VLOOKUP($A99,'Data shares'!$C:$FB,63)</f>
        <v>16140000</v>
      </c>
      <c r="O99" s="140">
        <f>VLOOKUP($A99,'Data shares'!$C:$FB,65)*100</f>
        <v>29.67</v>
      </c>
    </row>
    <row r="100" spans="1:15" x14ac:dyDescent="0.25">
      <c r="A100" s="101" t="str">
        <f>'Data shares'!C95</f>
        <v>IGL</v>
      </c>
      <c r="B100" s="50">
        <f>VLOOKUP($A100,'Data shares'!$C:$FB,7)</f>
        <v>205.23</v>
      </c>
      <c r="C100" s="50">
        <f>VLOOKUP($A100,'Data shares'!$C:$FB,10)*100</f>
        <v>0.33999999999999997</v>
      </c>
      <c r="D100" s="49">
        <f>VLOOKUP($A100,'Data shares'!$C:$FB,66)</f>
        <v>19849500</v>
      </c>
      <c r="E100" s="49">
        <f>VLOOKUP($A100,'Data shares'!$C:$FB,67)</f>
        <v>9539750</v>
      </c>
      <c r="F100" s="50">
        <f>VLOOKUP($A100,'Data shares'!$C:$FB,69)*100</f>
        <v>108.07</v>
      </c>
      <c r="G100" s="49">
        <f>VLOOKUP($A100,'Data shares'!$C:$FB,42)</f>
        <v>6602750</v>
      </c>
      <c r="H100" s="49">
        <f>VLOOKUP($A100,'Data shares'!$C:$FB,43)</f>
        <v>3808750</v>
      </c>
      <c r="I100" s="50">
        <f>VLOOKUP($A100,'Data shares'!$C:$FB,45)*100</f>
        <v>73.36</v>
      </c>
      <c r="J100" s="49">
        <f>VLOOKUP($A100,'Data shares'!$C:$FB,58)</f>
        <v>10411500</v>
      </c>
      <c r="K100" s="49">
        <f>VLOOKUP($A100,'Data shares'!$C:$FB,59)</f>
        <v>4350500</v>
      </c>
      <c r="L100" s="50">
        <f>VLOOKUP($A100,'Data shares'!$C:$FB,61)*100</f>
        <v>139.32</v>
      </c>
      <c r="M100" s="49">
        <f>VLOOKUP($A100,'Data shares'!$C:$FB,62)</f>
        <v>2835250</v>
      </c>
      <c r="N100" s="49">
        <f>VLOOKUP($A100,'Data shares'!$C:$FB,63)</f>
        <v>1380500</v>
      </c>
      <c r="O100" s="140">
        <f>VLOOKUP($A100,'Data shares'!$C:$FB,65)*100</f>
        <v>105.38000000000001</v>
      </c>
    </row>
    <row r="101" spans="1:15" x14ac:dyDescent="0.25">
      <c r="A101" s="101" t="str">
        <f>'Data shares'!C96</f>
        <v>IIFL</v>
      </c>
      <c r="B101" s="50">
        <f>VLOOKUP($A101,'Data shares'!$C:$FB,7)</f>
        <v>471.5</v>
      </c>
      <c r="C101" s="50">
        <f>VLOOKUP($A101,'Data shares'!$C:$FB,10)*100</f>
        <v>-0.08</v>
      </c>
      <c r="D101" s="49">
        <f>VLOOKUP($A101,'Data shares'!$C:$FB,66)</f>
        <v>11142450</v>
      </c>
      <c r="E101" s="49">
        <f>VLOOKUP($A101,'Data shares'!$C:$FB,67)</f>
        <v>31816950</v>
      </c>
      <c r="F101" s="50">
        <f>VLOOKUP($A101,'Data shares'!$C:$FB,69)*100</f>
        <v>-64.98</v>
      </c>
      <c r="G101" s="49">
        <f>VLOOKUP($A101,'Data shares'!$C:$FB,42)</f>
        <v>2775300</v>
      </c>
      <c r="H101" s="49">
        <f>VLOOKUP($A101,'Data shares'!$C:$FB,43)</f>
        <v>6540600</v>
      </c>
      <c r="I101" s="50">
        <f>VLOOKUP($A101,'Data shares'!$C:$FB,45)*100</f>
        <v>-57.57</v>
      </c>
      <c r="J101" s="49">
        <f>VLOOKUP($A101,'Data shares'!$C:$FB,58)</f>
        <v>5606700</v>
      </c>
      <c r="K101" s="49">
        <f>VLOOKUP($A101,'Data shares'!$C:$FB,59)</f>
        <v>19397400</v>
      </c>
      <c r="L101" s="50">
        <f>VLOOKUP($A101,'Data shares'!$C:$FB,61)*100</f>
        <v>-71.099999999999994</v>
      </c>
      <c r="M101" s="49">
        <f>VLOOKUP($A101,'Data shares'!$C:$FB,62)</f>
        <v>2760450</v>
      </c>
      <c r="N101" s="49">
        <f>VLOOKUP($A101,'Data shares'!$C:$FB,63)</f>
        <v>5878950</v>
      </c>
      <c r="O101" s="140">
        <f>VLOOKUP($A101,'Data shares'!$C:$FB,65)*100</f>
        <v>-53.05</v>
      </c>
    </row>
    <row r="102" spans="1:15" x14ac:dyDescent="0.25">
      <c r="A102" s="101" t="str">
        <f>'Data shares'!C97</f>
        <v>INDHOTEL</v>
      </c>
      <c r="B102" s="50">
        <f>VLOOKUP($A102,'Data shares'!$C:$FB,7)</f>
        <v>806.8</v>
      </c>
      <c r="C102" s="50">
        <f>VLOOKUP($A102,'Data shares'!$C:$FB,10)*100</f>
        <v>4.08</v>
      </c>
      <c r="D102" s="49">
        <f>VLOOKUP($A102,'Data shares'!$C:$FB,66)</f>
        <v>132184000</v>
      </c>
      <c r="E102" s="49">
        <f>VLOOKUP($A102,'Data shares'!$C:$FB,67)</f>
        <v>13509000</v>
      </c>
      <c r="F102" s="50">
        <f>VLOOKUP($A102,'Data shares'!$C:$FB,69)*100</f>
        <v>878.49</v>
      </c>
      <c r="G102" s="49">
        <f>VLOOKUP($A102,'Data shares'!$C:$FB,42)</f>
        <v>11269000</v>
      </c>
      <c r="H102" s="49">
        <f>VLOOKUP($A102,'Data shares'!$C:$FB,43)</f>
        <v>2675000</v>
      </c>
      <c r="I102" s="50">
        <f>VLOOKUP($A102,'Data shares'!$C:$FB,45)*100</f>
        <v>321.27</v>
      </c>
      <c r="J102" s="49">
        <f>VLOOKUP($A102,'Data shares'!$C:$FB,58)</f>
        <v>93935000</v>
      </c>
      <c r="K102" s="49">
        <f>VLOOKUP($A102,'Data shares'!$C:$FB,59)</f>
        <v>7498000</v>
      </c>
      <c r="L102" s="50">
        <f>VLOOKUP($A102,'Data shares'!$C:$FB,61)*100</f>
        <v>1152.8</v>
      </c>
      <c r="M102" s="49">
        <f>VLOOKUP($A102,'Data shares'!$C:$FB,62)</f>
        <v>26980000</v>
      </c>
      <c r="N102" s="49">
        <f>VLOOKUP($A102,'Data shares'!$C:$FB,63)</f>
        <v>3336000</v>
      </c>
      <c r="O102" s="140">
        <f>VLOOKUP($A102,'Data shares'!$C:$FB,65)*100</f>
        <v>708.75</v>
      </c>
    </row>
    <row r="103" spans="1:15" x14ac:dyDescent="0.25">
      <c r="A103" s="101" t="str">
        <f>'Data shares'!C98</f>
        <v>INDIANB</v>
      </c>
      <c r="B103" s="50">
        <f>VLOOKUP($A103,'Data shares'!$C:$FB,7)</f>
        <v>670.05</v>
      </c>
      <c r="C103" s="50">
        <f>VLOOKUP($A103,'Data shares'!$C:$FB,10)*100</f>
        <v>-0.24</v>
      </c>
      <c r="D103" s="49">
        <f>VLOOKUP($A103,'Data shares'!$C:$FB,66)</f>
        <v>3763000</v>
      </c>
      <c r="E103" s="49">
        <f>VLOOKUP($A103,'Data shares'!$C:$FB,67)</f>
        <v>7174000</v>
      </c>
      <c r="F103" s="50">
        <f>VLOOKUP($A103,'Data shares'!$C:$FB,69)*100</f>
        <v>-47.55</v>
      </c>
      <c r="G103" s="49">
        <f>VLOOKUP($A103,'Data shares'!$C:$FB,42)</f>
        <v>1148000</v>
      </c>
      <c r="H103" s="49">
        <f>VLOOKUP($A103,'Data shares'!$C:$FB,43)</f>
        <v>2359000</v>
      </c>
      <c r="I103" s="50">
        <f>VLOOKUP($A103,'Data shares'!$C:$FB,45)*100</f>
        <v>-51.339999999999996</v>
      </c>
      <c r="J103" s="49">
        <f>VLOOKUP($A103,'Data shares'!$C:$FB,58)</f>
        <v>1949000</v>
      </c>
      <c r="K103" s="49">
        <f>VLOOKUP($A103,'Data shares'!$C:$FB,59)</f>
        <v>3657000</v>
      </c>
      <c r="L103" s="50">
        <f>VLOOKUP($A103,'Data shares'!$C:$FB,61)*100</f>
        <v>-46.7</v>
      </c>
      <c r="M103" s="49">
        <f>VLOOKUP($A103,'Data shares'!$C:$FB,62)</f>
        <v>666000</v>
      </c>
      <c r="N103" s="49">
        <f>VLOOKUP($A103,'Data shares'!$C:$FB,63)</f>
        <v>1158000</v>
      </c>
      <c r="O103" s="140">
        <f>VLOOKUP($A103,'Data shares'!$C:$FB,65)*100</f>
        <v>-42.49</v>
      </c>
    </row>
    <row r="104" spans="1:15" x14ac:dyDescent="0.25">
      <c r="A104" s="101" t="str">
        <f>'Data shares'!C99</f>
        <v>INDIAVIX</v>
      </c>
      <c r="B104" s="50">
        <f>VLOOKUP($A104,'Data shares'!$C:$FB,7)</f>
        <v>11.79</v>
      </c>
      <c r="C104" s="50">
        <f>VLOOKUP($A104,'Data shares'!$C:$FB,10)*100</f>
        <v>-0.04</v>
      </c>
      <c r="D104" s="49">
        <f>VLOOKUP($A104,'Data shares'!$C:$FB,66)</f>
        <v>0</v>
      </c>
      <c r="E104" s="49">
        <f>VLOOKUP($A104,'Data shares'!$C:$FB,67)</f>
        <v>0</v>
      </c>
      <c r="F104" s="50">
        <f>VLOOKUP($A104,'Data shares'!$C:$FB,69)*100</f>
        <v>0</v>
      </c>
      <c r="G104" s="49">
        <f>VLOOKUP($A104,'Data shares'!$C:$FB,42)</f>
        <v>0</v>
      </c>
      <c r="H104" s="49">
        <f>VLOOKUP($A104,'Data shares'!$C:$FB,43)</f>
        <v>0</v>
      </c>
      <c r="I104" s="50">
        <f>VLOOKUP($A104,'Data shares'!$C:$FB,45)*100</f>
        <v>0</v>
      </c>
      <c r="J104" s="49">
        <f>VLOOKUP($A104,'Data shares'!$C:$FB,58)</f>
        <v>0</v>
      </c>
      <c r="K104" s="49">
        <f>VLOOKUP($A104,'Data shares'!$C:$FB,59)</f>
        <v>0</v>
      </c>
      <c r="L104" s="50">
        <f>VLOOKUP($A104,'Data shares'!$C:$FB,61)*100</f>
        <v>0</v>
      </c>
      <c r="M104" s="49">
        <f>VLOOKUP($A104,'Data shares'!$C:$FB,62)</f>
        <v>0</v>
      </c>
      <c r="N104" s="49">
        <f>VLOOKUP($A104,'Data shares'!$C:$FB,63)</f>
        <v>0</v>
      </c>
      <c r="O104" s="140">
        <f>VLOOKUP($A104,'Data shares'!$C:$FB,65)*100</f>
        <v>0</v>
      </c>
    </row>
    <row r="105" spans="1:15" x14ac:dyDescent="0.25">
      <c r="A105" s="101" t="str">
        <f>'Data shares'!C100</f>
        <v>INDIGO</v>
      </c>
      <c r="B105" s="50">
        <f>VLOOKUP($A105,'Data shares'!$C:$FB,7)</f>
        <v>6155.5</v>
      </c>
      <c r="C105" s="50">
        <f>VLOOKUP($A105,'Data shares'!$C:$FB,10)*100</f>
        <v>1.6500000000000001</v>
      </c>
      <c r="D105" s="49">
        <f>VLOOKUP($A105,'Data shares'!$C:$FB,66)</f>
        <v>6603000</v>
      </c>
      <c r="E105" s="49">
        <f>VLOOKUP($A105,'Data shares'!$C:$FB,67)</f>
        <v>4368000</v>
      </c>
      <c r="F105" s="50">
        <f>VLOOKUP($A105,'Data shares'!$C:$FB,69)*100</f>
        <v>51.17</v>
      </c>
      <c r="G105" s="49">
        <f>VLOOKUP($A105,'Data shares'!$C:$FB,42)</f>
        <v>1381350</v>
      </c>
      <c r="H105" s="49">
        <f>VLOOKUP($A105,'Data shares'!$C:$FB,43)</f>
        <v>696450</v>
      </c>
      <c r="I105" s="50">
        <f>VLOOKUP($A105,'Data shares'!$C:$FB,45)*100</f>
        <v>98.34</v>
      </c>
      <c r="J105" s="49">
        <f>VLOOKUP($A105,'Data shares'!$C:$FB,58)</f>
        <v>3623100</v>
      </c>
      <c r="K105" s="49">
        <f>VLOOKUP($A105,'Data shares'!$C:$FB,59)</f>
        <v>2054400</v>
      </c>
      <c r="L105" s="50">
        <f>VLOOKUP($A105,'Data shares'!$C:$FB,61)*100</f>
        <v>76.36</v>
      </c>
      <c r="M105" s="49">
        <f>VLOOKUP($A105,'Data shares'!$C:$FB,62)</f>
        <v>1598550</v>
      </c>
      <c r="N105" s="49">
        <f>VLOOKUP($A105,'Data shares'!$C:$FB,63)</f>
        <v>1617150</v>
      </c>
      <c r="O105" s="140">
        <f>VLOOKUP($A105,'Data shares'!$C:$FB,65)*100</f>
        <v>-1.1499999999999999</v>
      </c>
    </row>
    <row r="106" spans="1:15" x14ac:dyDescent="0.25">
      <c r="A106" s="101" t="str">
        <f>'Data shares'!C101</f>
        <v>INDUSINDBK</v>
      </c>
      <c r="B106" s="50">
        <f>VLOOKUP($A106,'Data shares'!$C:$FB,7)</f>
        <v>778.2</v>
      </c>
      <c r="C106" s="50">
        <f>VLOOKUP($A106,'Data shares'!$C:$FB,10)*100</f>
        <v>-0.92999999999999994</v>
      </c>
      <c r="D106" s="49">
        <f>VLOOKUP($A106,'Data shares'!$C:$FB,66)</f>
        <v>24546200</v>
      </c>
      <c r="E106" s="49">
        <f>VLOOKUP($A106,'Data shares'!$C:$FB,67)</f>
        <v>22452500</v>
      </c>
      <c r="F106" s="50">
        <f>VLOOKUP($A106,'Data shares'!$C:$FB,69)*100</f>
        <v>9.33</v>
      </c>
      <c r="G106" s="49">
        <f>VLOOKUP($A106,'Data shares'!$C:$FB,42)</f>
        <v>6400100</v>
      </c>
      <c r="H106" s="49">
        <f>VLOOKUP($A106,'Data shares'!$C:$FB,43)</f>
        <v>4898600</v>
      </c>
      <c r="I106" s="50">
        <f>VLOOKUP($A106,'Data shares'!$C:$FB,45)*100</f>
        <v>30.65</v>
      </c>
      <c r="J106" s="49">
        <f>VLOOKUP($A106,'Data shares'!$C:$FB,58)</f>
        <v>12210100</v>
      </c>
      <c r="K106" s="49">
        <f>VLOOKUP($A106,'Data shares'!$C:$FB,59)</f>
        <v>11265800</v>
      </c>
      <c r="L106" s="50">
        <f>VLOOKUP($A106,'Data shares'!$C:$FB,61)*100</f>
        <v>8.3800000000000008</v>
      </c>
      <c r="M106" s="49">
        <f>VLOOKUP($A106,'Data shares'!$C:$FB,62)</f>
        <v>5936000</v>
      </c>
      <c r="N106" s="49">
        <f>VLOOKUP($A106,'Data shares'!$C:$FB,63)</f>
        <v>6288100</v>
      </c>
      <c r="O106" s="140">
        <f>VLOOKUP($A106,'Data shares'!$C:$FB,65)*100</f>
        <v>-5.6000000000000005</v>
      </c>
    </row>
    <row r="107" spans="1:15" x14ac:dyDescent="0.25">
      <c r="A107" s="101" t="str">
        <f>'Data shares'!C102</f>
        <v>INDUSTOWER</v>
      </c>
      <c r="B107" s="50">
        <f>VLOOKUP($A107,'Data shares'!$C:$FB,7)</f>
        <v>349.1</v>
      </c>
      <c r="C107" s="50">
        <f>VLOOKUP($A107,'Data shares'!$C:$FB,10)*100</f>
        <v>2.69</v>
      </c>
      <c r="D107" s="49">
        <f>VLOOKUP($A107,'Data shares'!$C:$FB,66)</f>
        <v>153119000</v>
      </c>
      <c r="E107" s="49">
        <f>VLOOKUP($A107,'Data shares'!$C:$FB,67)</f>
        <v>65752600</v>
      </c>
      <c r="F107" s="50">
        <f>VLOOKUP($A107,'Data shares'!$C:$FB,69)*100</f>
        <v>132.87</v>
      </c>
      <c r="G107" s="49">
        <f>VLOOKUP($A107,'Data shares'!$C:$FB,42)</f>
        <v>27120100</v>
      </c>
      <c r="H107" s="49">
        <f>VLOOKUP($A107,'Data shares'!$C:$FB,43)</f>
        <v>21083400</v>
      </c>
      <c r="I107" s="50">
        <f>VLOOKUP($A107,'Data shares'!$C:$FB,45)*100</f>
        <v>28.63</v>
      </c>
      <c r="J107" s="49">
        <f>VLOOKUP($A107,'Data shares'!$C:$FB,58)</f>
        <v>90938100</v>
      </c>
      <c r="K107" s="49">
        <f>VLOOKUP($A107,'Data shares'!$C:$FB,59)</f>
        <v>35298800</v>
      </c>
      <c r="L107" s="50">
        <f>VLOOKUP($A107,'Data shares'!$C:$FB,61)*100</f>
        <v>157.62</v>
      </c>
      <c r="M107" s="49">
        <f>VLOOKUP($A107,'Data shares'!$C:$FB,62)</f>
        <v>35060800</v>
      </c>
      <c r="N107" s="49">
        <f>VLOOKUP($A107,'Data shares'!$C:$FB,63)</f>
        <v>9370400</v>
      </c>
      <c r="O107" s="140">
        <f>VLOOKUP($A107,'Data shares'!$C:$FB,65)*100</f>
        <v>274.16999999999996</v>
      </c>
    </row>
    <row r="108" spans="1:15" x14ac:dyDescent="0.25">
      <c r="A108" s="101" t="str">
        <f>'Data shares'!C103</f>
        <v>INFY</v>
      </c>
      <c r="B108" s="50">
        <f>VLOOKUP($A108,'Data shares'!$C:$FB,7)</f>
        <v>1496.2</v>
      </c>
      <c r="C108" s="50">
        <f>VLOOKUP($A108,'Data shares'!$C:$FB,10)*100</f>
        <v>3.9</v>
      </c>
      <c r="D108" s="49">
        <f>VLOOKUP($A108,'Data shares'!$C:$FB,66)</f>
        <v>181916800</v>
      </c>
      <c r="E108" s="49">
        <f>VLOOKUP($A108,'Data shares'!$C:$FB,67)</f>
        <v>38982800</v>
      </c>
      <c r="F108" s="50">
        <f>VLOOKUP($A108,'Data shares'!$C:$FB,69)*100</f>
        <v>366.65999999999997</v>
      </c>
      <c r="G108" s="49">
        <f>VLOOKUP($A108,'Data shares'!$C:$FB,42)</f>
        <v>20494000</v>
      </c>
      <c r="H108" s="49">
        <f>VLOOKUP($A108,'Data shares'!$C:$FB,43)</f>
        <v>5650400</v>
      </c>
      <c r="I108" s="50">
        <f>VLOOKUP($A108,'Data shares'!$C:$FB,45)*100</f>
        <v>262.7</v>
      </c>
      <c r="J108" s="49">
        <f>VLOOKUP($A108,'Data shares'!$C:$FB,58)</f>
        <v>112298000</v>
      </c>
      <c r="K108" s="49">
        <f>VLOOKUP($A108,'Data shares'!$C:$FB,59)</f>
        <v>22547600</v>
      </c>
      <c r="L108" s="50">
        <f>VLOOKUP($A108,'Data shares'!$C:$FB,61)*100</f>
        <v>398.05</v>
      </c>
      <c r="M108" s="49">
        <f>VLOOKUP($A108,'Data shares'!$C:$FB,62)</f>
        <v>49124800</v>
      </c>
      <c r="N108" s="49">
        <f>VLOOKUP($A108,'Data shares'!$C:$FB,63)</f>
        <v>10784800</v>
      </c>
      <c r="O108" s="140">
        <f>VLOOKUP($A108,'Data shares'!$C:$FB,65)*100</f>
        <v>355.5</v>
      </c>
    </row>
    <row r="109" spans="1:15" x14ac:dyDescent="0.25">
      <c r="A109" s="101" t="str">
        <f>'Data shares'!C104</f>
        <v>INOXWIND</v>
      </c>
      <c r="B109" s="50">
        <f>VLOOKUP($A109,'Data shares'!$C:$FB,7)</f>
        <v>144.19</v>
      </c>
      <c r="C109" s="50">
        <f>VLOOKUP($A109,'Data shares'!$C:$FB,10)*100</f>
        <v>-0.2</v>
      </c>
      <c r="D109" s="49">
        <f>VLOOKUP($A109,'Data shares'!$C:$FB,66)</f>
        <v>38707760</v>
      </c>
      <c r="E109" s="49">
        <f>VLOOKUP($A109,'Data shares'!$C:$FB,67)</f>
        <v>196323272</v>
      </c>
      <c r="F109" s="50">
        <f>VLOOKUP($A109,'Data shares'!$C:$FB,69)*100</f>
        <v>-80.28</v>
      </c>
      <c r="G109" s="49">
        <f>VLOOKUP($A109,'Data shares'!$C:$FB,42)</f>
        <v>8710064</v>
      </c>
      <c r="H109" s="49">
        <f>VLOOKUP($A109,'Data shares'!$C:$FB,43)</f>
        <v>28299528</v>
      </c>
      <c r="I109" s="50">
        <f>VLOOKUP($A109,'Data shares'!$C:$FB,45)*100</f>
        <v>-69.22</v>
      </c>
      <c r="J109" s="49">
        <f>VLOOKUP($A109,'Data shares'!$C:$FB,58)</f>
        <v>22334672</v>
      </c>
      <c r="K109" s="49">
        <f>VLOOKUP($A109,'Data shares'!$C:$FB,59)</f>
        <v>132673056</v>
      </c>
      <c r="L109" s="50">
        <f>VLOOKUP($A109,'Data shares'!$C:$FB,61)*100</f>
        <v>-83.17</v>
      </c>
      <c r="M109" s="49">
        <f>VLOOKUP($A109,'Data shares'!$C:$FB,62)</f>
        <v>7663024</v>
      </c>
      <c r="N109" s="49">
        <f>VLOOKUP($A109,'Data shares'!$C:$FB,63)</f>
        <v>35350688</v>
      </c>
      <c r="O109" s="140">
        <f>VLOOKUP($A109,'Data shares'!$C:$FB,65)*100</f>
        <v>-78.320000000000007</v>
      </c>
    </row>
    <row r="110" spans="1:15" x14ac:dyDescent="0.25">
      <c r="A110" s="101" t="str">
        <f>'Data shares'!C105</f>
        <v>IOC</v>
      </c>
      <c r="B110" s="50">
        <f>VLOOKUP($A110,'Data shares'!$C:$FB,7)</f>
        <v>141.44</v>
      </c>
      <c r="C110" s="50">
        <f>VLOOKUP($A110,'Data shares'!$C:$FB,10)*100</f>
        <v>-0.4</v>
      </c>
      <c r="D110" s="49">
        <f>VLOOKUP($A110,'Data shares'!$C:$FB,66)</f>
        <v>77249250</v>
      </c>
      <c r="E110" s="49">
        <f>VLOOKUP($A110,'Data shares'!$C:$FB,67)</f>
        <v>103452375</v>
      </c>
      <c r="F110" s="50">
        <f>VLOOKUP($A110,'Data shares'!$C:$FB,69)*100</f>
        <v>-25.330000000000002</v>
      </c>
      <c r="G110" s="49">
        <f>VLOOKUP($A110,'Data shares'!$C:$FB,42)</f>
        <v>12991875</v>
      </c>
      <c r="H110" s="49">
        <f>VLOOKUP($A110,'Data shares'!$C:$FB,43)</f>
        <v>15970500</v>
      </c>
      <c r="I110" s="50">
        <f>VLOOKUP($A110,'Data shares'!$C:$FB,45)*100</f>
        <v>-18.649999999999999</v>
      </c>
      <c r="J110" s="49">
        <f>VLOOKUP($A110,'Data shares'!$C:$FB,58)</f>
        <v>36391875</v>
      </c>
      <c r="K110" s="49">
        <f>VLOOKUP($A110,'Data shares'!$C:$FB,59)</f>
        <v>52021125</v>
      </c>
      <c r="L110" s="50">
        <f>VLOOKUP($A110,'Data shares'!$C:$FB,61)*100</f>
        <v>-30.04</v>
      </c>
      <c r="M110" s="49">
        <f>VLOOKUP($A110,'Data shares'!$C:$FB,62)</f>
        <v>27865500</v>
      </c>
      <c r="N110" s="49">
        <f>VLOOKUP($A110,'Data shares'!$C:$FB,63)</f>
        <v>35460750</v>
      </c>
      <c r="O110" s="140">
        <f>VLOOKUP($A110,'Data shares'!$C:$FB,65)*100</f>
        <v>-21.42</v>
      </c>
    </row>
    <row r="111" spans="1:15" x14ac:dyDescent="0.25">
      <c r="A111" s="101" t="str">
        <f>'Data shares'!C106</f>
        <v>IRB</v>
      </c>
      <c r="B111" s="50">
        <f>VLOOKUP($A111,'Data shares'!$C:$FB,7)</f>
        <v>44.6</v>
      </c>
      <c r="C111" s="50">
        <f>VLOOKUP($A111,'Data shares'!$C:$FB,10)*100</f>
        <v>-1.1499999999999999</v>
      </c>
      <c r="D111" s="49">
        <f>VLOOKUP($A111,'Data shares'!$C:$FB,66)</f>
        <v>26350475</v>
      </c>
      <c r="E111" s="49">
        <f>VLOOKUP($A111,'Data shares'!$C:$FB,67)</f>
        <v>37418375</v>
      </c>
      <c r="F111" s="50">
        <f>VLOOKUP($A111,'Data shares'!$C:$FB,69)*100</f>
        <v>-29.580000000000002</v>
      </c>
      <c r="G111" s="49">
        <f>VLOOKUP($A111,'Data shares'!$C:$FB,42)</f>
        <v>6082675</v>
      </c>
      <c r="H111" s="49">
        <f>VLOOKUP($A111,'Data shares'!$C:$FB,43)</f>
        <v>6958300</v>
      </c>
      <c r="I111" s="50">
        <f>VLOOKUP($A111,'Data shares'!$C:$FB,45)*100</f>
        <v>-12.58</v>
      </c>
      <c r="J111" s="49">
        <f>VLOOKUP($A111,'Data shares'!$C:$FB,58)</f>
        <v>13764825</v>
      </c>
      <c r="K111" s="49">
        <f>VLOOKUP($A111,'Data shares'!$C:$FB,59)</f>
        <v>24097200</v>
      </c>
      <c r="L111" s="50">
        <f>VLOOKUP($A111,'Data shares'!$C:$FB,61)*100</f>
        <v>-42.88</v>
      </c>
      <c r="M111" s="49">
        <f>VLOOKUP($A111,'Data shares'!$C:$FB,62)</f>
        <v>6502975</v>
      </c>
      <c r="N111" s="49">
        <f>VLOOKUP($A111,'Data shares'!$C:$FB,63)</f>
        <v>6362875</v>
      </c>
      <c r="O111" s="140">
        <f>VLOOKUP($A111,'Data shares'!$C:$FB,65)*100</f>
        <v>2.1999999999999997</v>
      </c>
    </row>
    <row r="112" spans="1:15" x14ac:dyDescent="0.25">
      <c r="A112" s="101" t="str">
        <f>'Data shares'!C107</f>
        <v>IRCTC</v>
      </c>
      <c r="B112" s="50">
        <f>VLOOKUP($A112,'Data shares'!$C:$FB,7)</f>
        <v>731.2</v>
      </c>
      <c r="C112" s="50">
        <f>VLOOKUP($A112,'Data shares'!$C:$FB,10)*100</f>
        <v>0.66</v>
      </c>
      <c r="D112" s="49">
        <f>VLOOKUP($A112,'Data shares'!$C:$FB,66)</f>
        <v>13169625</v>
      </c>
      <c r="E112" s="49">
        <f>VLOOKUP($A112,'Data shares'!$C:$FB,67)</f>
        <v>11937625</v>
      </c>
      <c r="F112" s="50">
        <f>VLOOKUP($A112,'Data shares'!$C:$FB,69)*100</f>
        <v>10.32</v>
      </c>
      <c r="G112" s="49">
        <f>VLOOKUP($A112,'Data shares'!$C:$FB,42)</f>
        <v>2016875</v>
      </c>
      <c r="H112" s="49">
        <f>VLOOKUP($A112,'Data shares'!$C:$FB,43)</f>
        <v>2012500</v>
      </c>
      <c r="I112" s="50">
        <f>VLOOKUP($A112,'Data shares'!$C:$FB,45)*100</f>
        <v>0.22</v>
      </c>
      <c r="J112" s="49">
        <f>VLOOKUP($A112,'Data shares'!$C:$FB,58)</f>
        <v>8518125</v>
      </c>
      <c r="K112" s="49">
        <f>VLOOKUP($A112,'Data shares'!$C:$FB,59)</f>
        <v>7247625</v>
      </c>
      <c r="L112" s="50">
        <f>VLOOKUP($A112,'Data shares'!$C:$FB,61)*100</f>
        <v>17.53</v>
      </c>
      <c r="M112" s="49">
        <f>VLOOKUP($A112,'Data shares'!$C:$FB,62)</f>
        <v>2634625</v>
      </c>
      <c r="N112" s="49">
        <f>VLOOKUP($A112,'Data shares'!$C:$FB,63)</f>
        <v>2677500</v>
      </c>
      <c r="O112" s="140">
        <f>VLOOKUP($A112,'Data shares'!$C:$FB,65)*100</f>
        <v>-1.6</v>
      </c>
    </row>
    <row r="113" spans="1:15" x14ac:dyDescent="0.25">
      <c r="A113" s="101" t="str">
        <f>'Data shares'!C108</f>
        <v>IREDA</v>
      </c>
      <c r="B113" s="50">
        <f>VLOOKUP($A113,'Data shares'!$C:$FB,7)</f>
        <v>148.78</v>
      </c>
      <c r="C113" s="50">
        <f>VLOOKUP($A113,'Data shares'!$C:$FB,10)*100</f>
        <v>-0.09</v>
      </c>
      <c r="D113" s="49">
        <f>VLOOKUP($A113,'Data shares'!$C:$FB,66)</f>
        <v>15331800</v>
      </c>
      <c r="E113" s="49">
        <f>VLOOKUP($A113,'Data shares'!$C:$FB,67)</f>
        <v>22421550</v>
      </c>
      <c r="F113" s="50">
        <f>VLOOKUP($A113,'Data shares'!$C:$FB,69)*100</f>
        <v>-31.619999999999997</v>
      </c>
      <c r="G113" s="49">
        <f>VLOOKUP($A113,'Data shares'!$C:$FB,42)</f>
        <v>5350950</v>
      </c>
      <c r="H113" s="49">
        <f>VLOOKUP($A113,'Data shares'!$C:$FB,43)</f>
        <v>5219850</v>
      </c>
      <c r="I113" s="50">
        <f>VLOOKUP($A113,'Data shares'!$C:$FB,45)*100</f>
        <v>2.5100000000000002</v>
      </c>
      <c r="J113" s="49">
        <f>VLOOKUP($A113,'Data shares'!$C:$FB,58)</f>
        <v>6403200</v>
      </c>
      <c r="K113" s="49">
        <f>VLOOKUP($A113,'Data shares'!$C:$FB,59)</f>
        <v>13568850</v>
      </c>
      <c r="L113" s="50">
        <f>VLOOKUP($A113,'Data shares'!$C:$FB,61)*100</f>
        <v>-52.81</v>
      </c>
      <c r="M113" s="49">
        <f>VLOOKUP($A113,'Data shares'!$C:$FB,62)</f>
        <v>3577650</v>
      </c>
      <c r="N113" s="49">
        <f>VLOOKUP($A113,'Data shares'!$C:$FB,63)</f>
        <v>3632850</v>
      </c>
      <c r="O113" s="140">
        <f>VLOOKUP($A113,'Data shares'!$C:$FB,65)*100</f>
        <v>-1.52</v>
      </c>
    </row>
    <row r="114" spans="1:15" x14ac:dyDescent="0.25">
      <c r="A114" s="101" t="str">
        <f>'Data shares'!C109</f>
        <v>IRFC</v>
      </c>
      <c r="B114" s="50">
        <f>VLOOKUP($A114,'Data shares'!$C:$FB,7)</f>
        <v>126.73</v>
      </c>
      <c r="C114" s="50">
        <f>VLOOKUP($A114,'Data shares'!$C:$FB,10)*100</f>
        <v>-0.06</v>
      </c>
      <c r="D114" s="49">
        <f>VLOOKUP($A114,'Data shares'!$C:$FB,66)</f>
        <v>42708250</v>
      </c>
      <c r="E114" s="49">
        <f>VLOOKUP($A114,'Data shares'!$C:$FB,67)</f>
        <v>45619500</v>
      </c>
      <c r="F114" s="50">
        <f>VLOOKUP($A114,'Data shares'!$C:$FB,69)*100</f>
        <v>-6.38</v>
      </c>
      <c r="G114" s="49">
        <f>VLOOKUP($A114,'Data shares'!$C:$FB,42)</f>
        <v>7696750</v>
      </c>
      <c r="H114" s="49">
        <f>VLOOKUP($A114,'Data shares'!$C:$FB,43)</f>
        <v>7475750</v>
      </c>
      <c r="I114" s="50">
        <f>VLOOKUP($A114,'Data shares'!$C:$FB,45)*100</f>
        <v>2.96</v>
      </c>
      <c r="J114" s="49">
        <f>VLOOKUP($A114,'Data shares'!$C:$FB,58)</f>
        <v>24607500</v>
      </c>
      <c r="K114" s="49">
        <f>VLOOKUP($A114,'Data shares'!$C:$FB,59)</f>
        <v>28980750</v>
      </c>
      <c r="L114" s="50">
        <f>VLOOKUP($A114,'Data shares'!$C:$FB,61)*100</f>
        <v>-15.09</v>
      </c>
      <c r="M114" s="49">
        <f>VLOOKUP($A114,'Data shares'!$C:$FB,62)</f>
        <v>10404000</v>
      </c>
      <c r="N114" s="49">
        <f>VLOOKUP($A114,'Data shares'!$C:$FB,63)</f>
        <v>9163000</v>
      </c>
      <c r="O114" s="140">
        <f>VLOOKUP($A114,'Data shares'!$C:$FB,65)*100</f>
        <v>13.54</v>
      </c>
    </row>
    <row r="115" spans="1:15" x14ac:dyDescent="0.25">
      <c r="A115" s="101" t="str">
        <f>'Data shares'!C110</f>
        <v>ITC</v>
      </c>
      <c r="B115" s="50">
        <f>VLOOKUP($A115,'Data shares'!$C:$FB,7)</f>
        <v>406.05</v>
      </c>
      <c r="C115" s="50">
        <f>VLOOKUP($A115,'Data shares'!$C:$FB,10)*100</f>
        <v>-0.75</v>
      </c>
      <c r="D115" s="49">
        <f>VLOOKUP($A115,'Data shares'!$C:$FB,66)</f>
        <v>100918400</v>
      </c>
      <c r="E115" s="49">
        <f>VLOOKUP($A115,'Data shares'!$C:$FB,67)</f>
        <v>89185600</v>
      </c>
      <c r="F115" s="50">
        <f>VLOOKUP($A115,'Data shares'!$C:$FB,69)*100</f>
        <v>13.16</v>
      </c>
      <c r="G115" s="49">
        <f>VLOOKUP($A115,'Data shares'!$C:$FB,42)</f>
        <v>21107200</v>
      </c>
      <c r="H115" s="49">
        <f>VLOOKUP($A115,'Data shares'!$C:$FB,43)</f>
        <v>11796800</v>
      </c>
      <c r="I115" s="50">
        <f>VLOOKUP($A115,'Data shares'!$C:$FB,45)*100</f>
        <v>78.92</v>
      </c>
      <c r="J115" s="49">
        <f>VLOOKUP($A115,'Data shares'!$C:$FB,58)</f>
        <v>51916800</v>
      </c>
      <c r="K115" s="49">
        <f>VLOOKUP($A115,'Data shares'!$C:$FB,59)</f>
        <v>48574400</v>
      </c>
      <c r="L115" s="50">
        <f>VLOOKUP($A115,'Data shares'!$C:$FB,61)*100</f>
        <v>6.88</v>
      </c>
      <c r="M115" s="49">
        <f>VLOOKUP($A115,'Data shares'!$C:$FB,62)</f>
        <v>27894400</v>
      </c>
      <c r="N115" s="49">
        <f>VLOOKUP($A115,'Data shares'!$C:$FB,63)</f>
        <v>28814400</v>
      </c>
      <c r="O115" s="140">
        <f>VLOOKUP($A115,'Data shares'!$C:$FB,65)*100</f>
        <v>-3.19</v>
      </c>
    </row>
    <row r="116" spans="1:15" x14ac:dyDescent="0.25">
      <c r="A116" s="101" t="str">
        <f>'Data shares'!C111</f>
        <v>JINDALSTEL</v>
      </c>
      <c r="B116" s="50">
        <f>VLOOKUP($A116,'Data shares'!$C:$FB,7)</f>
        <v>1016.25</v>
      </c>
      <c r="C116" s="50">
        <f>VLOOKUP($A116,'Data shares'!$C:$FB,10)*100</f>
        <v>1.0900000000000001</v>
      </c>
      <c r="D116" s="49">
        <f>VLOOKUP($A116,'Data shares'!$C:$FB,66)</f>
        <v>16077500</v>
      </c>
      <c r="E116" s="49">
        <f>VLOOKUP($A116,'Data shares'!$C:$FB,67)</f>
        <v>12142500</v>
      </c>
      <c r="F116" s="50">
        <f>VLOOKUP($A116,'Data shares'!$C:$FB,69)*100</f>
        <v>32.409999999999997</v>
      </c>
      <c r="G116" s="49">
        <f>VLOOKUP($A116,'Data shares'!$C:$FB,42)</f>
        <v>4362500</v>
      </c>
      <c r="H116" s="49">
        <f>VLOOKUP($A116,'Data shares'!$C:$FB,43)</f>
        <v>2746250</v>
      </c>
      <c r="I116" s="50">
        <f>VLOOKUP($A116,'Data shares'!$C:$FB,45)*100</f>
        <v>58.85</v>
      </c>
      <c r="J116" s="49">
        <f>VLOOKUP($A116,'Data shares'!$C:$FB,58)</f>
        <v>8173125</v>
      </c>
      <c r="K116" s="49">
        <f>VLOOKUP($A116,'Data shares'!$C:$FB,59)</f>
        <v>6451875</v>
      </c>
      <c r="L116" s="50">
        <f>VLOOKUP($A116,'Data shares'!$C:$FB,61)*100</f>
        <v>26.68</v>
      </c>
      <c r="M116" s="49">
        <f>VLOOKUP($A116,'Data shares'!$C:$FB,62)</f>
        <v>3541875</v>
      </c>
      <c r="N116" s="49">
        <f>VLOOKUP($A116,'Data shares'!$C:$FB,63)</f>
        <v>2944375</v>
      </c>
      <c r="O116" s="140">
        <f>VLOOKUP($A116,'Data shares'!$C:$FB,65)*100</f>
        <v>20.29</v>
      </c>
    </row>
    <row r="117" spans="1:15" x14ac:dyDescent="0.25">
      <c r="A117" s="101" t="str">
        <f>'Data shares'!C112</f>
        <v>JIOFIN</v>
      </c>
      <c r="B117" s="50">
        <f>VLOOKUP($A117,'Data shares'!$C:$FB,7)</f>
        <v>328.45</v>
      </c>
      <c r="C117" s="50">
        <f>VLOOKUP($A117,'Data shares'!$C:$FB,10)*100</f>
        <v>-0.86</v>
      </c>
      <c r="D117" s="49">
        <f>VLOOKUP($A117,'Data shares'!$C:$FB,66)</f>
        <v>94538150</v>
      </c>
      <c r="E117" s="49">
        <f>VLOOKUP($A117,'Data shares'!$C:$FB,67)</f>
        <v>96953950</v>
      </c>
      <c r="F117" s="50">
        <f>VLOOKUP($A117,'Data shares'!$C:$FB,69)*100</f>
        <v>-2.4899999999999998</v>
      </c>
      <c r="G117" s="49">
        <f>VLOOKUP($A117,'Data shares'!$C:$FB,42)</f>
        <v>17397050</v>
      </c>
      <c r="H117" s="49">
        <f>VLOOKUP($A117,'Data shares'!$C:$FB,43)</f>
        <v>15827250</v>
      </c>
      <c r="I117" s="50">
        <f>VLOOKUP($A117,'Data shares'!$C:$FB,45)*100</f>
        <v>9.92</v>
      </c>
      <c r="J117" s="49">
        <f>VLOOKUP($A117,'Data shares'!$C:$FB,58)</f>
        <v>50118450</v>
      </c>
      <c r="K117" s="49">
        <f>VLOOKUP($A117,'Data shares'!$C:$FB,59)</f>
        <v>52273400</v>
      </c>
      <c r="L117" s="50">
        <f>VLOOKUP($A117,'Data shares'!$C:$FB,61)*100</f>
        <v>-4.12</v>
      </c>
      <c r="M117" s="49">
        <f>VLOOKUP($A117,'Data shares'!$C:$FB,62)</f>
        <v>27022650</v>
      </c>
      <c r="N117" s="49">
        <f>VLOOKUP($A117,'Data shares'!$C:$FB,63)</f>
        <v>28853300</v>
      </c>
      <c r="O117" s="140">
        <f>VLOOKUP($A117,'Data shares'!$C:$FB,65)*100</f>
        <v>-6.34</v>
      </c>
    </row>
    <row r="118" spans="1:15" x14ac:dyDescent="0.25">
      <c r="A118" s="101" t="str">
        <f>'Data shares'!C113</f>
        <v>JSL</v>
      </c>
      <c r="B118" s="50">
        <f>VLOOKUP($A118,'Data shares'!$C:$FB,7)</f>
        <v>765.05</v>
      </c>
      <c r="C118" s="50">
        <f>VLOOKUP($A118,'Data shares'!$C:$FB,10)*100</f>
        <v>0.94000000000000006</v>
      </c>
      <c r="D118" s="49">
        <f>VLOOKUP($A118,'Data shares'!$C:$FB,66)</f>
        <v>6011200</v>
      </c>
      <c r="E118" s="49">
        <f>VLOOKUP($A118,'Data shares'!$C:$FB,67)</f>
        <v>5936400</v>
      </c>
      <c r="F118" s="50">
        <f>VLOOKUP($A118,'Data shares'!$C:$FB,69)*100</f>
        <v>1.26</v>
      </c>
      <c r="G118" s="49">
        <f>VLOOKUP($A118,'Data shares'!$C:$FB,42)</f>
        <v>1003850</v>
      </c>
      <c r="H118" s="49">
        <f>VLOOKUP($A118,'Data shares'!$C:$FB,43)</f>
        <v>1013200</v>
      </c>
      <c r="I118" s="50">
        <f>VLOOKUP($A118,'Data shares'!$C:$FB,45)*100</f>
        <v>-0.91999999999999993</v>
      </c>
      <c r="J118" s="49">
        <f>VLOOKUP($A118,'Data shares'!$C:$FB,58)</f>
        <v>3238500</v>
      </c>
      <c r="K118" s="49">
        <f>VLOOKUP($A118,'Data shares'!$C:$FB,59)</f>
        <v>3672000</v>
      </c>
      <c r="L118" s="50">
        <f>VLOOKUP($A118,'Data shares'!$C:$FB,61)*100</f>
        <v>-11.81</v>
      </c>
      <c r="M118" s="49">
        <f>VLOOKUP($A118,'Data shares'!$C:$FB,62)</f>
        <v>1768850</v>
      </c>
      <c r="N118" s="49">
        <f>VLOOKUP($A118,'Data shares'!$C:$FB,63)</f>
        <v>1251200</v>
      </c>
      <c r="O118" s="140">
        <f>VLOOKUP($A118,'Data shares'!$C:$FB,65)*100</f>
        <v>41.370000000000005</v>
      </c>
    </row>
    <row r="119" spans="1:15" x14ac:dyDescent="0.25">
      <c r="A119" s="101" t="str">
        <f>'Data shares'!C114</f>
        <v>JSWENERGY</v>
      </c>
      <c r="B119" s="50">
        <f>VLOOKUP($A119,'Data shares'!$C:$FB,7)</f>
        <v>531.75</v>
      </c>
      <c r="C119" s="50">
        <f>VLOOKUP($A119,'Data shares'!$C:$FB,10)*100</f>
        <v>-0.28999999999999998</v>
      </c>
      <c r="D119" s="49">
        <f>VLOOKUP($A119,'Data shares'!$C:$FB,66)</f>
        <v>11102000</v>
      </c>
      <c r="E119" s="49">
        <f>VLOOKUP($A119,'Data shares'!$C:$FB,67)</f>
        <v>6921000</v>
      </c>
      <c r="F119" s="50">
        <f>VLOOKUP($A119,'Data shares'!$C:$FB,69)*100</f>
        <v>60.41</v>
      </c>
      <c r="G119" s="49">
        <f>VLOOKUP($A119,'Data shares'!$C:$FB,42)</f>
        <v>3310000</v>
      </c>
      <c r="H119" s="49">
        <f>VLOOKUP($A119,'Data shares'!$C:$FB,43)</f>
        <v>2245000</v>
      </c>
      <c r="I119" s="50">
        <f>VLOOKUP($A119,'Data shares'!$C:$FB,45)*100</f>
        <v>47.44</v>
      </c>
      <c r="J119" s="49">
        <f>VLOOKUP($A119,'Data shares'!$C:$FB,58)</f>
        <v>5616000</v>
      </c>
      <c r="K119" s="49">
        <f>VLOOKUP($A119,'Data shares'!$C:$FB,59)</f>
        <v>3646000</v>
      </c>
      <c r="L119" s="50">
        <f>VLOOKUP($A119,'Data shares'!$C:$FB,61)*100</f>
        <v>54.03</v>
      </c>
      <c r="M119" s="49">
        <f>VLOOKUP($A119,'Data shares'!$C:$FB,62)</f>
        <v>2176000</v>
      </c>
      <c r="N119" s="49">
        <f>VLOOKUP($A119,'Data shares'!$C:$FB,63)</f>
        <v>1030000</v>
      </c>
      <c r="O119" s="140">
        <f>VLOOKUP($A119,'Data shares'!$C:$FB,65)*100</f>
        <v>111.26</v>
      </c>
    </row>
    <row r="120" spans="1:15" x14ac:dyDescent="0.25">
      <c r="A120" s="101" t="str">
        <f>'Data shares'!C115</f>
        <v>JSWSTEEL</v>
      </c>
      <c r="B120" s="50">
        <f>VLOOKUP($A120,'Data shares'!$C:$FB,7)</f>
        <v>1082.5999999999999</v>
      </c>
      <c r="C120" s="50">
        <f>VLOOKUP($A120,'Data shares'!$C:$FB,10)*100</f>
        <v>0.86</v>
      </c>
      <c r="D120" s="49">
        <f>VLOOKUP($A120,'Data shares'!$C:$FB,66)</f>
        <v>28533600</v>
      </c>
      <c r="E120" s="49">
        <f>VLOOKUP($A120,'Data shares'!$C:$FB,67)</f>
        <v>26773875</v>
      </c>
      <c r="F120" s="50">
        <f>VLOOKUP($A120,'Data shares'!$C:$FB,69)*100</f>
        <v>6.5699999999999994</v>
      </c>
      <c r="G120" s="49">
        <f>VLOOKUP($A120,'Data shares'!$C:$FB,42)</f>
        <v>4019625</v>
      </c>
      <c r="H120" s="49">
        <f>VLOOKUP($A120,'Data shares'!$C:$FB,43)</f>
        <v>5508000</v>
      </c>
      <c r="I120" s="50">
        <f>VLOOKUP($A120,'Data shares'!$C:$FB,45)*100</f>
        <v>-27.02</v>
      </c>
      <c r="J120" s="49">
        <f>VLOOKUP($A120,'Data shares'!$C:$FB,58)</f>
        <v>17503425</v>
      </c>
      <c r="K120" s="49">
        <f>VLOOKUP($A120,'Data shares'!$C:$FB,59)</f>
        <v>15493950</v>
      </c>
      <c r="L120" s="50">
        <f>VLOOKUP($A120,'Data shares'!$C:$FB,61)*100</f>
        <v>12.97</v>
      </c>
      <c r="M120" s="49">
        <f>VLOOKUP($A120,'Data shares'!$C:$FB,62)</f>
        <v>7010550</v>
      </c>
      <c r="N120" s="49">
        <f>VLOOKUP($A120,'Data shares'!$C:$FB,63)</f>
        <v>5771925</v>
      </c>
      <c r="O120" s="140">
        <f>VLOOKUP($A120,'Data shares'!$C:$FB,65)*100</f>
        <v>21.46</v>
      </c>
    </row>
    <row r="121" spans="1:15" x14ac:dyDescent="0.25">
      <c r="A121" s="101" t="str">
        <f>'Data shares'!C116</f>
        <v>JUBLFOOD</v>
      </c>
      <c r="B121" s="50">
        <f>VLOOKUP($A121,'Data shares'!$C:$FB,7)</f>
        <v>634.20000000000005</v>
      </c>
      <c r="C121" s="50">
        <f>VLOOKUP($A121,'Data shares'!$C:$FB,10)*100</f>
        <v>0.02</v>
      </c>
      <c r="D121" s="49">
        <f>VLOOKUP($A121,'Data shares'!$C:$FB,66)</f>
        <v>9443750</v>
      </c>
      <c r="E121" s="49">
        <f>VLOOKUP($A121,'Data shares'!$C:$FB,67)</f>
        <v>18561250</v>
      </c>
      <c r="F121" s="50">
        <f>VLOOKUP($A121,'Data shares'!$C:$FB,69)*100</f>
        <v>-49.120000000000005</v>
      </c>
      <c r="G121" s="49">
        <f>VLOOKUP($A121,'Data shares'!$C:$FB,42)</f>
        <v>1993750</v>
      </c>
      <c r="H121" s="49">
        <f>VLOOKUP($A121,'Data shares'!$C:$FB,43)</f>
        <v>3206250</v>
      </c>
      <c r="I121" s="50">
        <f>VLOOKUP($A121,'Data shares'!$C:$FB,45)*100</f>
        <v>-37.82</v>
      </c>
      <c r="J121" s="49">
        <f>VLOOKUP($A121,'Data shares'!$C:$FB,58)</f>
        <v>5461250</v>
      </c>
      <c r="K121" s="49">
        <f>VLOOKUP($A121,'Data shares'!$C:$FB,59)</f>
        <v>10912500</v>
      </c>
      <c r="L121" s="50">
        <f>VLOOKUP($A121,'Data shares'!$C:$FB,61)*100</f>
        <v>-49.95</v>
      </c>
      <c r="M121" s="49">
        <f>VLOOKUP($A121,'Data shares'!$C:$FB,62)</f>
        <v>1988750</v>
      </c>
      <c r="N121" s="49">
        <f>VLOOKUP($A121,'Data shares'!$C:$FB,63)</f>
        <v>4442500</v>
      </c>
      <c r="O121" s="140">
        <f>VLOOKUP($A121,'Data shares'!$C:$FB,65)*100</f>
        <v>-55.230000000000004</v>
      </c>
    </row>
    <row r="122" spans="1:15" x14ac:dyDescent="0.25">
      <c r="A122" s="101" t="str">
        <f>'Data shares'!C117</f>
        <v>KALYANKJIL</v>
      </c>
      <c r="B122" s="50">
        <f>VLOOKUP($A122,'Data shares'!$C:$FB,7)</f>
        <v>510.6</v>
      </c>
      <c r="C122" s="50">
        <f>VLOOKUP($A122,'Data shares'!$C:$FB,10)*100</f>
        <v>0.64</v>
      </c>
      <c r="D122" s="49">
        <f>VLOOKUP($A122,'Data shares'!$C:$FB,66)</f>
        <v>91829775</v>
      </c>
      <c r="E122" s="49">
        <f>VLOOKUP($A122,'Data shares'!$C:$FB,67)</f>
        <v>82488525</v>
      </c>
      <c r="F122" s="50">
        <f>VLOOKUP($A122,'Data shares'!$C:$FB,69)*100</f>
        <v>11.32</v>
      </c>
      <c r="G122" s="49">
        <f>VLOOKUP($A122,'Data shares'!$C:$FB,42)</f>
        <v>24280200</v>
      </c>
      <c r="H122" s="49">
        <f>VLOOKUP($A122,'Data shares'!$C:$FB,43)</f>
        <v>12921475</v>
      </c>
      <c r="I122" s="50">
        <f>VLOOKUP($A122,'Data shares'!$C:$FB,45)*100</f>
        <v>87.91</v>
      </c>
      <c r="J122" s="49">
        <f>VLOOKUP($A122,'Data shares'!$C:$FB,58)</f>
        <v>51939700</v>
      </c>
      <c r="K122" s="49">
        <f>VLOOKUP($A122,'Data shares'!$C:$FB,59)</f>
        <v>48311300</v>
      </c>
      <c r="L122" s="50">
        <f>VLOOKUP($A122,'Data shares'!$C:$FB,61)*100</f>
        <v>7.51</v>
      </c>
      <c r="M122" s="49">
        <f>VLOOKUP($A122,'Data shares'!$C:$FB,62)</f>
        <v>15609875</v>
      </c>
      <c r="N122" s="49">
        <f>VLOOKUP($A122,'Data shares'!$C:$FB,63)</f>
        <v>21255750</v>
      </c>
      <c r="O122" s="140">
        <f>VLOOKUP($A122,'Data shares'!$C:$FB,65)*100</f>
        <v>-26.56</v>
      </c>
    </row>
    <row r="123" spans="1:15" x14ac:dyDescent="0.25">
      <c r="A123" s="101" t="str">
        <f>'Data shares'!C118</f>
        <v>KAYNES</v>
      </c>
      <c r="B123" s="50">
        <f>VLOOKUP($A123,'Data shares'!$C:$FB,7)</f>
        <v>6200.5</v>
      </c>
      <c r="C123" s="50">
        <f>VLOOKUP($A123,'Data shares'!$C:$FB,10)*100</f>
        <v>-1.1400000000000001</v>
      </c>
      <c r="D123" s="49">
        <f>VLOOKUP($A123,'Data shares'!$C:$FB,66)</f>
        <v>1954100</v>
      </c>
      <c r="E123" s="49">
        <f>VLOOKUP($A123,'Data shares'!$C:$FB,67)</f>
        <v>2093500</v>
      </c>
      <c r="F123" s="50">
        <f>VLOOKUP($A123,'Data shares'!$C:$FB,69)*100</f>
        <v>-6.660000000000001</v>
      </c>
      <c r="G123" s="49">
        <f>VLOOKUP($A123,'Data shares'!$C:$FB,42)</f>
        <v>224800</v>
      </c>
      <c r="H123" s="49">
        <f>VLOOKUP($A123,'Data shares'!$C:$FB,43)</f>
        <v>270000</v>
      </c>
      <c r="I123" s="50">
        <f>VLOOKUP($A123,'Data shares'!$C:$FB,45)*100</f>
        <v>-16.739999999999998</v>
      </c>
      <c r="J123" s="49">
        <f>VLOOKUP($A123,'Data shares'!$C:$FB,58)</f>
        <v>1188800</v>
      </c>
      <c r="K123" s="49">
        <f>VLOOKUP($A123,'Data shares'!$C:$FB,59)</f>
        <v>1267800</v>
      </c>
      <c r="L123" s="50">
        <f>VLOOKUP($A123,'Data shares'!$C:$FB,61)*100</f>
        <v>-6.23</v>
      </c>
      <c r="M123" s="49">
        <f>VLOOKUP($A123,'Data shares'!$C:$FB,62)</f>
        <v>540500</v>
      </c>
      <c r="N123" s="49">
        <f>VLOOKUP($A123,'Data shares'!$C:$FB,63)</f>
        <v>555700</v>
      </c>
      <c r="O123" s="140">
        <f>VLOOKUP($A123,'Data shares'!$C:$FB,65)*100</f>
        <v>-2.74</v>
      </c>
    </row>
    <row r="124" spans="1:15" x14ac:dyDescent="0.25">
      <c r="A124" s="101" t="str">
        <f>'Data shares'!C119</f>
        <v>KEI</v>
      </c>
      <c r="B124" s="50">
        <f>VLOOKUP($A124,'Data shares'!$C:$FB,7)</f>
        <v>3986.4</v>
      </c>
      <c r="C124" s="50">
        <f>VLOOKUP($A124,'Data shares'!$C:$FB,10)*100</f>
        <v>1.01</v>
      </c>
      <c r="D124" s="49">
        <f>VLOOKUP($A124,'Data shares'!$C:$FB,66)</f>
        <v>4120725</v>
      </c>
      <c r="E124" s="49">
        <f>VLOOKUP($A124,'Data shares'!$C:$FB,67)</f>
        <v>2007775</v>
      </c>
      <c r="F124" s="50">
        <f>VLOOKUP($A124,'Data shares'!$C:$FB,69)*100</f>
        <v>105.24</v>
      </c>
      <c r="G124" s="49">
        <f>VLOOKUP($A124,'Data shares'!$C:$FB,42)</f>
        <v>438725</v>
      </c>
      <c r="H124" s="49">
        <f>VLOOKUP($A124,'Data shares'!$C:$FB,43)</f>
        <v>467075</v>
      </c>
      <c r="I124" s="50">
        <f>VLOOKUP($A124,'Data shares'!$C:$FB,45)*100</f>
        <v>-6.0699999999999994</v>
      </c>
      <c r="J124" s="49">
        <f>VLOOKUP($A124,'Data shares'!$C:$FB,58)</f>
        <v>2781975</v>
      </c>
      <c r="K124" s="49">
        <f>VLOOKUP($A124,'Data shares'!$C:$FB,59)</f>
        <v>1072750</v>
      </c>
      <c r="L124" s="50">
        <f>VLOOKUP($A124,'Data shares'!$C:$FB,61)*100</f>
        <v>159.32999999999998</v>
      </c>
      <c r="M124" s="49">
        <f>VLOOKUP($A124,'Data shares'!$C:$FB,62)</f>
        <v>900025</v>
      </c>
      <c r="N124" s="49">
        <f>VLOOKUP($A124,'Data shares'!$C:$FB,63)</f>
        <v>467950</v>
      </c>
      <c r="O124" s="140">
        <f>VLOOKUP($A124,'Data shares'!$C:$FB,65)*100</f>
        <v>92.33</v>
      </c>
    </row>
    <row r="125" spans="1:15" x14ac:dyDescent="0.25">
      <c r="A125" s="101" t="str">
        <f>'Data shares'!C120</f>
        <v>KFINTECH</v>
      </c>
      <c r="B125" s="50">
        <f>VLOOKUP($A125,'Data shares'!$C:$FB,7)</f>
        <v>1115.8</v>
      </c>
      <c r="C125" s="50">
        <f>VLOOKUP($A125,'Data shares'!$C:$FB,10)*100</f>
        <v>-0.85000000000000009</v>
      </c>
      <c r="D125" s="49">
        <f>VLOOKUP($A125,'Data shares'!$C:$FB,66)</f>
        <v>2022300</v>
      </c>
      <c r="E125" s="49">
        <f>VLOOKUP($A125,'Data shares'!$C:$FB,67)</f>
        <v>2493450</v>
      </c>
      <c r="F125" s="50">
        <f>VLOOKUP($A125,'Data shares'!$C:$FB,69)*100</f>
        <v>-18.899999999999999</v>
      </c>
      <c r="G125" s="49">
        <f>VLOOKUP($A125,'Data shares'!$C:$FB,42)</f>
        <v>520200</v>
      </c>
      <c r="H125" s="49">
        <f>VLOOKUP($A125,'Data shares'!$C:$FB,43)</f>
        <v>694350</v>
      </c>
      <c r="I125" s="50">
        <f>VLOOKUP($A125,'Data shares'!$C:$FB,45)*100</f>
        <v>-25.080000000000002</v>
      </c>
      <c r="J125" s="49">
        <f>VLOOKUP($A125,'Data shares'!$C:$FB,58)</f>
        <v>1113750</v>
      </c>
      <c r="K125" s="49">
        <f>VLOOKUP($A125,'Data shares'!$C:$FB,59)</f>
        <v>1351350</v>
      </c>
      <c r="L125" s="50">
        <f>VLOOKUP($A125,'Data shares'!$C:$FB,61)*100</f>
        <v>-17.580000000000002</v>
      </c>
      <c r="M125" s="49">
        <f>VLOOKUP($A125,'Data shares'!$C:$FB,62)</f>
        <v>388350</v>
      </c>
      <c r="N125" s="49">
        <f>VLOOKUP($A125,'Data shares'!$C:$FB,63)</f>
        <v>447750</v>
      </c>
      <c r="O125" s="140">
        <f>VLOOKUP($A125,'Data shares'!$C:$FB,65)*100</f>
        <v>-13.270000000000001</v>
      </c>
    </row>
    <row r="126" spans="1:15" x14ac:dyDescent="0.25">
      <c r="A126" s="101" t="str">
        <f>'Data shares'!C121</f>
        <v>KOTAKBANK</v>
      </c>
      <c r="B126" s="50">
        <f>VLOOKUP($A126,'Data shares'!$C:$FB,7)</f>
        <v>2017.5</v>
      </c>
      <c r="C126" s="50">
        <f>VLOOKUP($A126,'Data shares'!$C:$FB,10)*100</f>
        <v>-0.61</v>
      </c>
      <c r="D126" s="49">
        <f>VLOOKUP($A126,'Data shares'!$C:$FB,66)</f>
        <v>13440400</v>
      </c>
      <c r="E126" s="49">
        <f>VLOOKUP($A126,'Data shares'!$C:$FB,67)</f>
        <v>22498400</v>
      </c>
      <c r="F126" s="50">
        <f>VLOOKUP($A126,'Data shares'!$C:$FB,69)*100</f>
        <v>-40.26</v>
      </c>
      <c r="G126" s="49">
        <f>VLOOKUP($A126,'Data shares'!$C:$FB,42)</f>
        <v>3733600</v>
      </c>
      <c r="H126" s="49">
        <f>VLOOKUP($A126,'Data shares'!$C:$FB,43)</f>
        <v>4149200</v>
      </c>
      <c r="I126" s="50">
        <f>VLOOKUP($A126,'Data shares'!$C:$FB,45)*100</f>
        <v>-10.02</v>
      </c>
      <c r="J126" s="49">
        <f>VLOOKUP($A126,'Data shares'!$C:$FB,58)</f>
        <v>5927600</v>
      </c>
      <c r="K126" s="49">
        <f>VLOOKUP($A126,'Data shares'!$C:$FB,59)</f>
        <v>11594800</v>
      </c>
      <c r="L126" s="50">
        <f>VLOOKUP($A126,'Data shares'!$C:$FB,61)*100</f>
        <v>-48.88</v>
      </c>
      <c r="M126" s="49">
        <f>VLOOKUP($A126,'Data shares'!$C:$FB,62)</f>
        <v>3779200</v>
      </c>
      <c r="N126" s="49">
        <f>VLOOKUP($A126,'Data shares'!$C:$FB,63)</f>
        <v>6754400</v>
      </c>
      <c r="O126" s="140">
        <f>VLOOKUP($A126,'Data shares'!$C:$FB,65)*100</f>
        <v>-44.05</v>
      </c>
    </row>
    <row r="127" spans="1:15" x14ac:dyDescent="0.25">
      <c r="A127" s="101" t="str">
        <f>'Data shares'!C122</f>
        <v>KPITTECH</v>
      </c>
      <c r="B127" s="50">
        <f>VLOOKUP($A127,'Data shares'!$C:$FB,7)</f>
        <v>1214.5999999999999</v>
      </c>
      <c r="C127" s="50">
        <f>VLOOKUP($A127,'Data shares'!$C:$FB,10)*100</f>
        <v>1.26</v>
      </c>
      <c r="D127" s="49">
        <f>VLOOKUP($A127,'Data shares'!$C:$FB,66)</f>
        <v>5985200</v>
      </c>
      <c r="E127" s="49">
        <f>VLOOKUP($A127,'Data shares'!$C:$FB,67)</f>
        <v>5182400</v>
      </c>
      <c r="F127" s="50">
        <f>VLOOKUP($A127,'Data shares'!$C:$FB,69)*100</f>
        <v>15.49</v>
      </c>
      <c r="G127" s="49">
        <f>VLOOKUP($A127,'Data shares'!$C:$FB,42)</f>
        <v>1376400</v>
      </c>
      <c r="H127" s="49">
        <f>VLOOKUP($A127,'Data shares'!$C:$FB,43)</f>
        <v>1107200</v>
      </c>
      <c r="I127" s="50">
        <f>VLOOKUP($A127,'Data shares'!$C:$FB,45)*100</f>
        <v>24.310000000000002</v>
      </c>
      <c r="J127" s="49">
        <f>VLOOKUP($A127,'Data shares'!$C:$FB,58)</f>
        <v>3585600</v>
      </c>
      <c r="K127" s="49">
        <f>VLOOKUP($A127,'Data shares'!$C:$FB,59)</f>
        <v>2619600</v>
      </c>
      <c r="L127" s="50">
        <f>VLOOKUP($A127,'Data shares'!$C:$FB,61)*100</f>
        <v>36.880000000000003</v>
      </c>
      <c r="M127" s="49">
        <f>VLOOKUP($A127,'Data shares'!$C:$FB,62)</f>
        <v>1023200</v>
      </c>
      <c r="N127" s="49">
        <f>VLOOKUP($A127,'Data shares'!$C:$FB,63)</f>
        <v>1455600</v>
      </c>
      <c r="O127" s="140">
        <f>VLOOKUP($A127,'Data shares'!$C:$FB,65)*100</f>
        <v>-29.709999999999997</v>
      </c>
    </row>
    <row r="128" spans="1:15" x14ac:dyDescent="0.25">
      <c r="A128" s="101" t="str">
        <f>'Data shares'!C123</f>
        <v>LAURUSLABS</v>
      </c>
      <c r="B128" s="50">
        <f>VLOOKUP($A128,'Data shares'!$C:$FB,7)</f>
        <v>876.05</v>
      </c>
      <c r="C128" s="50">
        <f>VLOOKUP($A128,'Data shares'!$C:$FB,10)*100</f>
        <v>-0.89</v>
      </c>
      <c r="D128" s="49">
        <f>VLOOKUP($A128,'Data shares'!$C:$FB,66)</f>
        <v>25726100</v>
      </c>
      <c r="E128" s="49">
        <f>VLOOKUP($A128,'Data shares'!$C:$FB,67)</f>
        <v>33620900</v>
      </c>
      <c r="F128" s="50">
        <f>VLOOKUP($A128,'Data shares'!$C:$FB,69)*100</f>
        <v>-23.48</v>
      </c>
      <c r="G128" s="49">
        <f>VLOOKUP($A128,'Data shares'!$C:$FB,42)</f>
        <v>4542400</v>
      </c>
      <c r="H128" s="49">
        <f>VLOOKUP($A128,'Data shares'!$C:$FB,43)</f>
        <v>4533900</v>
      </c>
      <c r="I128" s="50">
        <f>VLOOKUP($A128,'Data shares'!$C:$FB,45)*100</f>
        <v>0.19</v>
      </c>
      <c r="J128" s="49">
        <f>VLOOKUP($A128,'Data shares'!$C:$FB,58)</f>
        <v>14104900</v>
      </c>
      <c r="K128" s="49">
        <f>VLOOKUP($A128,'Data shares'!$C:$FB,59)</f>
        <v>20384700</v>
      </c>
      <c r="L128" s="50">
        <f>VLOOKUP($A128,'Data shares'!$C:$FB,61)*100</f>
        <v>-30.81</v>
      </c>
      <c r="M128" s="49">
        <f>VLOOKUP($A128,'Data shares'!$C:$FB,62)</f>
        <v>7078800</v>
      </c>
      <c r="N128" s="49">
        <f>VLOOKUP($A128,'Data shares'!$C:$FB,63)</f>
        <v>8702300</v>
      </c>
      <c r="O128" s="140">
        <f>VLOOKUP($A128,'Data shares'!$C:$FB,65)*100</f>
        <v>-18.66</v>
      </c>
    </row>
    <row r="129" spans="1:15" x14ac:dyDescent="0.25">
      <c r="A129" s="101" t="str">
        <f>'Data shares'!C124</f>
        <v>LICHSGFIN</v>
      </c>
      <c r="B129" s="50">
        <f>VLOOKUP($A129,'Data shares'!$C:$FB,7)</f>
        <v>580.1</v>
      </c>
      <c r="C129" s="50">
        <f>VLOOKUP($A129,'Data shares'!$C:$FB,10)*100</f>
        <v>0.06</v>
      </c>
      <c r="D129" s="49">
        <f>VLOOKUP($A129,'Data shares'!$C:$FB,66)</f>
        <v>17146000</v>
      </c>
      <c r="E129" s="49">
        <f>VLOOKUP($A129,'Data shares'!$C:$FB,67)</f>
        <v>29222000</v>
      </c>
      <c r="F129" s="50">
        <f>VLOOKUP($A129,'Data shares'!$C:$FB,69)*100</f>
        <v>-41.33</v>
      </c>
      <c r="G129" s="49">
        <f>VLOOKUP($A129,'Data shares'!$C:$FB,42)</f>
        <v>6647000</v>
      </c>
      <c r="H129" s="49">
        <f>VLOOKUP($A129,'Data shares'!$C:$FB,43)</f>
        <v>8937000</v>
      </c>
      <c r="I129" s="50">
        <f>VLOOKUP($A129,'Data shares'!$C:$FB,45)*100</f>
        <v>-25.619999999999997</v>
      </c>
      <c r="J129" s="49">
        <f>VLOOKUP($A129,'Data shares'!$C:$FB,58)</f>
        <v>7554000</v>
      </c>
      <c r="K129" s="49">
        <f>VLOOKUP($A129,'Data shares'!$C:$FB,59)</f>
        <v>15129000</v>
      </c>
      <c r="L129" s="50">
        <f>VLOOKUP($A129,'Data shares'!$C:$FB,61)*100</f>
        <v>-50.07</v>
      </c>
      <c r="M129" s="49">
        <f>VLOOKUP($A129,'Data shares'!$C:$FB,62)</f>
        <v>2945000</v>
      </c>
      <c r="N129" s="49">
        <f>VLOOKUP($A129,'Data shares'!$C:$FB,63)</f>
        <v>5156000</v>
      </c>
      <c r="O129" s="140">
        <f>VLOOKUP($A129,'Data shares'!$C:$FB,65)*100</f>
        <v>-42.88</v>
      </c>
    </row>
    <row r="130" spans="1:15" x14ac:dyDescent="0.25">
      <c r="A130" s="101" t="str">
        <f>'Data shares'!C125</f>
        <v>LICI</v>
      </c>
      <c r="B130" s="50">
        <f>VLOOKUP($A130,'Data shares'!$C:$FB,7)</f>
        <v>899.35</v>
      </c>
      <c r="C130" s="50">
        <f>VLOOKUP($A130,'Data shares'!$C:$FB,10)*100</f>
        <v>0.55999999999999994</v>
      </c>
      <c r="D130" s="49">
        <f>VLOOKUP($A130,'Data shares'!$C:$FB,66)</f>
        <v>7380100</v>
      </c>
      <c r="E130" s="49">
        <f>VLOOKUP($A130,'Data shares'!$C:$FB,67)</f>
        <v>12280800</v>
      </c>
      <c r="F130" s="50">
        <f>VLOOKUP($A130,'Data shares'!$C:$FB,69)*100</f>
        <v>-39.910000000000004</v>
      </c>
      <c r="G130" s="49">
        <f>VLOOKUP($A130,'Data shares'!$C:$FB,42)</f>
        <v>1398600</v>
      </c>
      <c r="H130" s="49">
        <f>VLOOKUP($A130,'Data shares'!$C:$FB,43)</f>
        <v>2311400</v>
      </c>
      <c r="I130" s="50">
        <f>VLOOKUP($A130,'Data shares'!$C:$FB,45)*100</f>
        <v>-39.489999999999995</v>
      </c>
      <c r="J130" s="49">
        <f>VLOOKUP($A130,'Data shares'!$C:$FB,58)</f>
        <v>4113900</v>
      </c>
      <c r="K130" s="49">
        <f>VLOOKUP($A130,'Data shares'!$C:$FB,59)</f>
        <v>7236600</v>
      </c>
      <c r="L130" s="50">
        <f>VLOOKUP($A130,'Data shares'!$C:$FB,61)*100</f>
        <v>-43.15</v>
      </c>
      <c r="M130" s="49">
        <f>VLOOKUP($A130,'Data shares'!$C:$FB,62)</f>
        <v>1867600</v>
      </c>
      <c r="N130" s="49">
        <f>VLOOKUP($A130,'Data shares'!$C:$FB,63)</f>
        <v>2732800</v>
      </c>
      <c r="O130" s="140">
        <f>VLOOKUP($A130,'Data shares'!$C:$FB,65)*100</f>
        <v>-31.66</v>
      </c>
    </row>
    <row r="131" spans="1:15" x14ac:dyDescent="0.25">
      <c r="A131" s="101" t="str">
        <f>'Data shares'!C126</f>
        <v>LODHA</v>
      </c>
      <c r="B131" s="50">
        <f>VLOOKUP($A131,'Data shares'!$C:$FB,7)</f>
        <v>1300</v>
      </c>
      <c r="C131" s="50">
        <f>VLOOKUP($A131,'Data shares'!$C:$FB,10)*100</f>
        <v>3.36</v>
      </c>
      <c r="D131" s="49">
        <f>VLOOKUP($A131,'Data shares'!$C:$FB,66)</f>
        <v>17132400</v>
      </c>
      <c r="E131" s="49">
        <f>VLOOKUP($A131,'Data shares'!$C:$FB,67)</f>
        <v>4587750</v>
      </c>
      <c r="F131" s="50">
        <f>VLOOKUP($A131,'Data shares'!$C:$FB,69)*100</f>
        <v>273.44</v>
      </c>
      <c r="G131" s="49">
        <f>VLOOKUP($A131,'Data shares'!$C:$FB,42)</f>
        <v>2407050</v>
      </c>
      <c r="H131" s="49">
        <f>VLOOKUP($A131,'Data shares'!$C:$FB,43)</f>
        <v>938700</v>
      </c>
      <c r="I131" s="50">
        <f>VLOOKUP($A131,'Data shares'!$C:$FB,45)*100</f>
        <v>156.42000000000002</v>
      </c>
      <c r="J131" s="49">
        <f>VLOOKUP($A131,'Data shares'!$C:$FB,58)</f>
        <v>12234600</v>
      </c>
      <c r="K131" s="49">
        <f>VLOOKUP($A131,'Data shares'!$C:$FB,59)</f>
        <v>2268000</v>
      </c>
      <c r="L131" s="50">
        <f>VLOOKUP($A131,'Data shares'!$C:$FB,61)*100</f>
        <v>439.44</v>
      </c>
      <c r="M131" s="49">
        <f>VLOOKUP($A131,'Data shares'!$C:$FB,62)</f>
        <v>2490750</v>
      </c>
      <c r="N131" s="49">
        <f>VLOOKUP($A131,'Data shares'!$C:$FB,63)</f>
        <v>1381050</v>
      </c>
      <c r="O131" s="140">
        <f>VLOOKUP($A131,'Data shares'!$C:$FB,65)*100</f>
        <v>80.349999999999994</v>
      </c>
    </row>
    <row r="132" spans="1:15" x14ac:dyDescent="0.25">
      <c r="A132" s="101" t="str">
        <f>'Data shares'!C127</f>
        <v>LT</v>
      </c>
      <c r="B132" s="50">
        <f>VLOOKUP($A132,'Data shares'!$C:$FB,7)</f>
        <v>3592.3</v>
      </c>
      <c r="C132" s="50">
        <f>VLOOKUP($A132,'Data shares'!$C:$FB,10)*100</f>
        <v>-0.57000000000000006</v>
      </c>
      <c r="D132" s="49">
        <f>VLOOKUP($A132,'Data shares'!$C:$FB,66)</f>
        <v>15168475</v>
      </c>
      <c r="E132" s="49">
        <f>VLOOKUP($A132,'Data shares'!$C:$FB,67)</f>
        <v>9083375</v>
      </c>
      <c r="F132" s="50">
        <f>VLOOKUP($A132,'Data shares'!$C:$FB,69)*100</f>
        <v>66.990000000000009</v>
      </c>
      <c r="G132" s="49">
        <f>VLOOKUP($A132,'Data shares'!$C:$FB,42)</f>
        <v>2461025</v>
      </c>
      <c r="H132" s="49">
        <f>VLOOKUP($A132,'Data shares'!$C:$FB,43)</f>
        <v>1573950</v>
      </c>
      <c r="I132" s="50">
        <f>VLOOKUP($A132,'Data shares'!$C:$FB,45)*100</f>
        <v>56.36</v>
      </c>
      <c r="J132" s="49">
        <f>VLOOKUP($A132,'Data shares'!$C:$FB,58)</f>
        <v>8802325</v>
      </c>
      <c r="K132" s="49">
        <f>VLOOKUP($A132,'Data shares'!$C:$FB,59)</f>
        <v>5437600</v>
      </c>
      <c r="L132" s="50">
        <f>VLOOKUP($A132,'Data shares'!$C:$FB,61)*100</f>
        <v>61.88</v>
      </c>
      <c r="M132" s="49">
        <f>VLOOKUP($A132,'Data shares'!$C:$FB,62)</f>
        <v>3905125</v>
      </c>
      <c r="N132" s="49">
        <f>VLOOKUP($A132,'Data shares'!$C:$FB,63)</f>
        <v>2071825</v>
      </c>
      <c r="O132" s="140">
        <f>VLOOKUP($A132,'Data shares'!$C:$FB,65)*100</f>
        <v>88.490000000000009</v>
      </c>
    </row>
    <row r="133" spans="1:15" x14ac:dyDescent="0.25">
      <c r="A133" s="101" t="str">
        <f>'Data shares'!C128</f>
        <v>LTF</v>
      </c>
      <c r="B133" s="50">
        <f>VLOOKUP($A133,'Data shares'!$C:$FB,7)</f>
        <v>216.53</v>
      </c>
      <c r="C133" s="50">
        <f>VLOOKUP($A133,'Data shares'!$C:$FB,10)*100</f>
        <v>-0.22999999999999998</v>
      </c>
      <c r="D133" s="49">
        <f>VLOOKUP($A133,'Data shares'!$C:$FB,66)</f>
        <v>45324996</v>
      </c>
      <c r="E133" s="49">
        <f>VLOOKUP($A133,'Data shares'!$C:$FB,67)</f>
        <v>137786560</v>
      </c>
      <c r="F133" s="50">
        <f>VLOOKUP($A133,'Data shares'!$C:$FB,69)*100</f>
        <v>-67.100000000000009</v>
      </c>
      <c r="G133" s="49">
        <f>VLOOKUP($A133,'Data shares'!$C:$FB,42)</f>
        <v>12243728</v>
      </c>
      <c r="H133" s="49">
        <f>VLOOKUP($A133,'Data shares'!$C:$FB,43)</f>
        <v>25210300</v>
      </c>
      <c r="I133" s="50">
        <f>VLOOKUP($A133,'Data shares'!$C:$FB,45)*100</f>
        <v>-51.43</v>
      </c>
      <c r="J133" s="49">
        <f>VLOOKUP($A133,'Data shares'!$C:$FB,58)</f>
        <v>22666960</v>
      </c>
      <c r="K133" s="49">
        <f>VLOOKUP($A133,'Data shares'!$C:$FB,59)</f>
        <v>72873384</v>
      </c>
      <c r="L133" s="50">
        <f>VLOOKUP($A133,'Data shares'!$C:$FB,61)*100</f>
        <v>-68.899999999999991</v>
      </c>
      <c r="M133" s="49">
        <f>VLOOKUP($A133,'Data shares'!$C:$FB,62)</f>
        <v>10414308</v>
      </c>
      <c r="N133" s="49">
        <f>VLOOKUP($A133,'Data shares'!$C:$FB,63)</f>
        <v>39702876</v>
      </c>
      <c r="O133" s="140">
        <f>VLOOKUP($A133,'Data shares'!$C:$FB,65)*100</f>
        <v>-73.77</v>
      </c>
    </row>
    <row r="134" spans="1:15" x14ac:dyDescent="0.25">
      <c r="A134" s="101" t="str">
        <f>'Data shares'!C129</f>
        <v>LTIM</v>
      </c>
      <c r="B134" s="50">
        <f>VLOOKUP($A134,'Data shares'!$C:$FB,7)</f>
        <v>5180.5</v>
      </c>
      <c r="C134" s="50">
        <f>VLOOKUP($A134,'Data shares'!$C:$FB,10)*100</f>
        <v>1.3599999999999999</v>
      </c>
      <c r="D134" s="49">
        <f>VLOOKUP($A134,'Data shares'!$C:$FB,66)</f>
        <v>4501350</v>
      </c>
      <c r="E134" s="49">
        <f>VLOOKUP($A134,'Data shares'!$C:$FB,67)</f>
        <v>2177400</v>
      </c>
      <c r="F134" s="50">
        <f>VLOOKUP($A134,'Data shares'!$C:$FB,69)*100</f>
        <v>106.72999999999999</v>
      </c>
      <c r="G134" s="49">
        <f>VLOOKUP($A134,'Data shares'!$C:$FB,42)</f>
        <v>887250</v>
      </c>
      <c r="H134" s="49">
        <f>VLOOKUP($A134,'Data shares'!$C:$FB,43)</f>
        <v>469950</v>
      </c>
      <c r="I134" s="50">
        <f>VLOOKUP($A134,'Data shares'!$C:$FB,45)*100</f>
        <v>88.8</v>
      </c>
      <c r="J134" s="49">
        <f>VLOOKUP($A134,'Data shares'!$C:$FB,58)</f>
        <v>2691300</v>
      </c>
      <c r="K134" s="49">
        <f>VLOOKUP($A134,'Data shares'!$C:$FB,59)</f>
        <v>1197900</v>
      </c>
      <c r="L134" s="50">
        <f>VLOOKUP($A134,'Data shares'!$C:$FB,61)*100</f>
        <v>124.66999999999999</v>
      </c>
      <c r="M134" s="49">
        <f>VLOOKUP($A134,'Data shares'!$C:$FB,62)</f>
        <v>922800</v>
      </c>
      <c r="N134" s="49">
        <f>VLOOKUP($A134,'Data shares'!$C:$FB,63)</f>
        <v>509550</v>
      </c>
      <c r="O134" s="140">
        <f>VLOOKUP($A134,'Data shares'!$C:$FB,65)*100</f>
        <v>81.100000000000009</v>
      </c>
    </row>
    <row r="135" spans="1:15" x14ac:dyDescent="0.25">
      <c r="A135" s="101" t="str">
        <f>'Data shares'!C130</f>
        <v>LUPIN</v>
      </c>
      <c r="B135" s="50">
        <f>VLOOKUP($A135,'Data shares'!$C:$FB,7)</f>
        <v>1940.3</v>
      </c>
      <c r="C135" s="50">
        <f>VLOOKUP($A135,'Data shares'!$C:$FB,10)*100</f>
        <v>-1.44</v>
      </c>
      <c r="D135" s="49">
        <f>VLOOKUP($A135,'Data shares'!$C:$FB,66)</f>
        <v>6382650</v>
      </c>
      <c r="E135" s="49">
        <f>VLOOKUP($A135,'Data shares'!$C:$FB,67)</f>
        <v>4692425</v>
      </c>
      <c r="F135" s="50">
        <f>VLOOKUP($A135,'Data shares'!$C:$FB,69)*100</f>
        <v>36.020000000000003</v>
      </c>
      <c r="G135" s="49">
        <f>VLOOKUP($A135,'Data shares'!$C:$FB,42)</f>
        <v>1071000</v>
      </c>
      <c r="H135" s="49">
        <f>VLOOKUP($A135,'Data shares'!$C:$FB,43)</f>
        <v>866575</v>
      </c>
      <c r="I135" s="50">
        <f>VLOOKUP($A135,'Data shares'!$C:$FB,45)*100</f>
        <v>23.59</v>
      </c>
      <c r="J135" s="49">
        <f>VLOOKUP($A135,'Data shares'!$C:$FB,58)</f>
        <v>3247000</v>
      </c>
      <c r="K135" s="49">
        <f>VLOOKUP($A135,'Data shares'!$C:$FB,59)</f>
        <v>2754425</v>
      </c>
      <c r="L135" s="50">
        <f>VLOOKUP($A135,'Data shares'!$C:$FB,61)*100</f>
        <v>17.88</v>
      </c>
      <c r="M135" s="49">
        <f>VLOOKUP($A135,'Data shares'!$C:$FB,62)</f>
        <v>2064650</v>
      </c>
      <c r="N135" s="49">
        <f>VLOOKUP($A135,'Data shares'!$C:$FB,63)</f>
        <v>1071425</v>
      </c>
      <c r="O135" s="140">
        <f>VLOOKUP($A135,'Data shares'!$C:$FB,65)*100</f>
        <v>92.7</v>
      </c>
    </row>
    <row r="136" spans="1:15" x14ac:dyDescent="0.25">
      <c r="A136" s="101" t="str">
        <f>'Data shares'!C131</f>
        <v>M&amp;M</v>
      </c>
      <c r="B136" s="50">
        <f>VLOOKUP($A136,'Data shares'!$C:$FB,7)</f>
        <v>3395.6</v>
      </c>
      <c r="C136" s="50">
        <f>VLOOKUP($A136,'Data shares'!$C:$FB,10)*100</f>
        <v>1.24</v>
      </c>
      <c r="D136" s="49">
        <f>VLOOKUP($A136,'Data shares'!$C:$FB,66)</f>
        <v>18444600</v>
      </c>
      <c r="E136" s="49">
        <f>VLOOKUP($A136,'Data shares'!$C:$FB,67)</f>
        <v>26685400</v>
      </c>
      <c r="F136" s="50">
        <f>VLOOKUP($A136,'Data shares'!$C:$FB,69)*100</f>
        <v>-30.880000000000003</v>
      </c>
      <c r="G136" s="49">
        <f>VLOOKUP($A136,'Data shares'!$C:$FB,42)</f>
        <v>2472800</v>
      </c>
      <c r="H136" s="49">
        <f>VLOOKUP($A136,'Data shares'!$C:$FB,43)</f>
        <v>3933000</v>
      </c>
      <c r="I136" s="50">
        <f>VLOOKUP($A136,'Data shares'!$C:$FB,45)*100</f>
        <v>-37.130000000000003</v>
      </c>
      <c r="J136" s="49">
        <f>VLOOKUP($A136,'Data shares'!$C:$FB,58)</f>
        <v>10338800</v>
      </c>
      <c r="K136" s="49">
        <f>VLOOKUP($A136,'Data shares'!$C:$FB,59)</f>
        <v>14101400</v>
      </c>
      <c r="L136" s="50">
        <f>VLOOKUP($A136,'Data shares'!$C:$FB,61)*100</f>
        <v>-26.68</v>
      </c>
      <c r="M136" s="49">
        <f>VLOOKUP($A136,'Data shares'!$C:$FB,62)</f>
        <v>5633000</v>
      </c>
      <c r="N136" s="49">
        <f>VLOOKUP($A136,'Data shares'!$C:$FB,63)</f>
        <v>8651000</v>
      </c>
      <c r="O136" s="140">
        <f>VLOOKUP($A136,'Data shares'!$C:$FB,65)*100</f>
        <v>-34.89</v>
      </c>
    </row>
    <row r="137" spans="1:15" x14ac:dyDescent="0.25">
      <c r="A137" s="101" t="str">
        <f>'Data shares'!C132</f>
        <v>MANAPPURAM</v>
      </c>
      <c r="B137" s="50">
        <f>VLOOKUP($A137,'Data shares'!$C:$FB,7)</f>
        <v>266.10000000000002</v>
      </c>
      <c r="C137" s="50">
        <f>VLOOKUP($A137,'Data shares'!$C:$FB,10)*100</f>
        <v>-1.28</v>
      </c>
      <c r="D137" s="49">
        <f>VLOOKUP($A137,'Data shares'!$C:$FB,66)</f>
        <v>33003000</v>
      </c>
      <c r="E137" s="49">
        <f>VLOOKUP($A137,'Data shares'!$C:$FB,67)</f>
        <v>40167000</v>
      </c>
      <c r="F137" s="50">
        <f>VLOOKUP($A137,'Data shares'!$C:$FB,69)*100</f>
        <v>-17.84</v>
      </c>
      <c r="G137" s="49">
        <f>VLOOKUP($A137,'Data shares'!$C:$FB,42)</f>
        <v>6417000</v>
      </c>
      <c r="H137" s="49">
        <f>VLOOKUP($A137,'Data shares'!$C:$FB,43)</f>
        <v>5676000</v>
      </c>
      <c r="I137" s="50">
        <f>VLOOKUP($A137,'Data shares'!$C:$FB,45)*100</f>
        <v>13.05</v>
      </c>
      <c r="J137" s="49">
        <f>VLOOKUP($A137,'Data shares'!$C:$FB,58)</f>
        <v>14868000</v>
      </c>
      <c r="K137" s="49">
        <f>VLOOKUP($A137,'Data shares'!$C:$FB,59)</f>
        <v>20328000</v>
      </c>
      <c r="L137" s="50">
        <f>VLOOKUP($A137,'Data shares'!$C:$FB,61)*100</f>
        <v>-26.86</v>
      </c>
      <c r="M137" s="49">
        <f>VLOOKUP($A137,'Data shares'!$C:$FB,62)</f>
        <v>11718000</v>
      </c>
      <c r="N137" s="49">
        <f>VLOOKUP($A137,'Data shares'!$C:$FB,63)</f>
        <v>14163000</v>
      </c>
      <c r="O137" s="140">
        <f>VLOOKUP($A137,'Data shares'!$C:$FB,65)*100</f>
        <v>-17.260000000000002</v>
      </c>
    </row>
    <row r="138" spans="1:15" x14ac:dyDescent="0.25">
      <c r="A138" s="101" t="str">
        <f>'Data shares'!C133</f>
        <v>MANKIND</v>
      </c>
      <c r="B138" s="50">
        <f>VLOOKUP($A138,'Data shares'!$C:$FB,7)</f>
        <v>2506.6</v>
      </c>
      <c r="C138" s="50">
        <f>VLOOKUP($A138,'Data shares'!$C:$FB,10)*100</f>
        <v>0.57999999999999996</v>
      </c>
      <c r="D138" s="49">
        <f>VLOOKUP($A138,'Data shares'!$C:$FB,66)</f>
        <v>1076400</v>
      </c>
      <c r="E138" s="49">
        <f>VLOOKUP($A138,'Data shares'!$C:$FB,67)</f>
        <v>2087100</v>
      </c>
      <c r="F138" s="50">
        <f>VLOOKUP($A138,'Data shares'!$C:$FB,69)*100</f>
        <v>-48.43</v>
      </c>
      <c r="G138" s="49">
        <f>VLOOKUP($A138,'Data shares'!$C:$FB,42)</f>
        <v>194625</v>
      </c>
      <c r="H138" s="49">
        <f>VLOOKUP($A138,'Data shares'!$C:$FB,43)</f>
        <v>337275</v>
      </c>
      <c r="I138" s="50">
        <f>VLOOKUP($A138,'Data shares'!$C:$FB,45)*100</f>
        <v>-42.29</v>
      </c>
      <c r="J138" s="49">
        <f>VLOOKUP($A138,'Data shares'!$C:$FB,58)</f>
        <v>742275</v>
      </c>
      <c r="K138" s="49">
        <f>VLOOKUP($A138,'Data shares'!$C:$FB,59)</f>
        <v>1479825</v>
      </c>
      <c r="L138" s="50">
        <f>VLOOKUP($A138,'Data shares'!$C:$FB,61)*100</f>
        <v>-49.84</v>
      </c>
      <c r="M138" s="49">
        <f>VLOOKUP($A138,'Data shares'!$C:$FB,62)</f>
        <v>139500</v>
      </c>
      <c r="N138" s="49">
        <f>VLOOKUP($A138,'Data shares'!$C:$FB,63)</f>
        <v>270000</v>
      </c>
      <c r="O138" s="140">
        <f>VLOOKUP($A138,'Data shares'!$C:$FB,65)*100</f>
        <v>-48.33</v>
      </c>
    </row>
    <row r="139" spans="1:15" x14ac:dyDescent="0.25">
      <c r="A139" s="101" t="str">
        <f>'Data shares'!C134</f>
        <v>MARICO</v>
      </c>
      <c r="B139" s="50">
        <f>VLOOKUP($A139,'Data shares'!$C:$FB,7)</f>
        <v>751.85</v>
      </c>
      <c r="C139" s="50">
        <f>VLOOKUP($A139,'Data shares'!$C:$FB,10)*100</f>
        <v>3.2800000000000002</v>
      </c>
      <c r="D139" s="49">
        <f>VLOOKUP($A139,'Data shares'!$C:$FB,66)</f>
        <v>66022800</v>
      </c>
      <c r="E139" s="49">
        <f>VLOOKUP($A139,'Data shares'!$C:$FB,67)</f>
        <v>14485200</v>
      </c>
      <c r="F139" s="50">
        <f>VLOOKUP($A139,'Data shares'!$C:$FB,69)*100</f>
        <v>355.79</v>
      </c>
      <c r="G139" s="49">
        <f>VLOOKUP($A139,'Data shares'!$C:$FB,42)</f>
        <v>5767200</v>
      </c>
      <c r="H139" s="49">
        <f>VLOOKUP($A139,'Data shares'!$C:$FB,43)</f>
        <v>2972400</v>
      </c>
      <c r="I139" s="50">
        <f>VLOOKUP($A139,'Data shares'!$C:$FB,45)*100</f>
        <v>94.03</v>
      </c>
      <c r="J139" s="49">
        <f>VLOOKUP($A139,'Data shares'!$C:$FB,58)</f>
        <v>47841600</v>
      </c>
      <c r="K139" s="49">
        <f>VLOOKUP($A139,'Data shares'!$C:$FB,59)</f>
        <v>8888400</v>
      </c>
      <c r="L139" s="50">
        <f>VLOOKUP($A139,'Data shares'!$C:$FB,61)*100</f>
        <v>438.25</v>
      </c>
      <c r="M139" s="49">
        <f>VLOOKUP($A139,'Data shares'!$C:$FB,62)</f>
        <v>12414000</v>
      </c>
      <c r="N139" s="49">
        <f>VLOOKUP($A139,'Data shares'!$C:$FB,63)</f>
        <v>2624400</v>
      </c>
      <c r="O139" s="140">
        <f>VLOOKUP($A139,'Data shares'!$C:$FB,65)*100</f>
        <v>373.02</v>
      </c>
    </row>
    <row r="140" spans="1:15" x14ac:dyDescent="0.25">
      <c r="A140" s="101" t="str">
        <f>'Data shares'!C135</f>
        <v>MARUTI</v>
      </c>
      <c r="B140" s="50">
        <f>VLOOKUP($A140,'Data shares'!$C:$FB,7)</f>
        <v>14221</v>
      </c>
      <c r="C140" s="50">
        <f>VLOOKUP($A140,'Data shares'!$C:$FB,10)*100</f>
        <v>-0.2</v>
      </c>
      <c r="D140" s="49">
        <f>VLOOKUP($A140,'Data shares'!$C:$FB,66)</f>
        <v>12857000</v>
      </c>
      <c r="E140" s="49">
        <f>VLOOKUP($A140,'Data shares'!$C:$FB,67)</f>
        <v>30536100</v>
      </c>
      <c r="F140" s="50">
        <f>VLOOKUP($A140,'Data shares'!$C:$FB,69)*100</f>
        <v>-57.9</v>
      </c>
      <c r="G140" s="49">
        <f>VLOOKUP($A140,'Data shares'!$C:$FB,42)</f>
        <v>593500</v>
      </c>
      <c r="H140" s="49">
        <f>VLOOKUP($A140,'Data shares'!$C:$FB,43)</f>
        <v>1271800</v>
      </c>
      <c r="I140" s="50">
        <f>VLOOKUP($A140,'Data shares'!$C:$FB,45)*100</f>
        <v>-53.33</v>
      </c>
      <c r="J140" s="49">
        <f>VLOOKUP($A140,'Data shares'!$C:$FB,58)</f>
        <v>6323200</v>
      </c>
      <c r="K140" s="49">
        <f>VLOOKUP($A140,'Data shares'!$C:$FB,59)</f>
        <v>16670800</v>
      </c>
      <c r="L140" s="50">
        <f>VLOOKUP($A140,'Data shares'!$C:$FB,61)*100</f>
        <v>-62.07</v>
      </c>
      <c r="M140" s="49">
        <f>VLOOKUP($A140,'Data shares'!$C:$FB,62)</f>
        <v>5940300</v>
      </c>
      <c r="N140" s="49">
        <f>VLOOKUP($A140,'Data shares'!$C:$FB,63)</f>
        <v>12593500</v>
      </c>
      <c r="O140" s="140">
        <f>VLOOKUP($A140,'Data shares'!$C:$FB,65)*100</f>
        <v>-52.83</v>
      </c>
    </row>
    <row r="141" spans="1:15" x14ac:dyDescent="0.25">
      <c r="A141" s="101" t="str">
        <f>'Data shares'!C136</f>
        <v>MAXHEALTH</v>
      </c>
      <c r="B141" s="50">
        <f>VLOOKUP($A141,'Data shares'!$C:$FB,7)</f>
        <v>1225.5999999999999</v>
      </c>
      <c r="C141" s="50">
        <f>VLOOKUP($A141,'Data shares'!$C:$FB,10)*100</f>
        <v>-0.31</v>
      </c>
      <c r="D141" s="49">
        <f>VLOOKUP($A141,'Data shares'!$C:$FB,66)</f>
        <v>7146300</v>
      </c>
      <c r="E141" s="49">
        <f>VLOOKUP($A141,'Data shares'!$C:$FB,67)</f>
        <v>8234625</v>
      </c>
      <c r="F141" s="50">
        <f>VLOOKUP($A141,'Data shares'!$C:$FB,69)*100</f>
        <v>-13.22</v>
      </c>
      <c r="G141" s="49">
        <f>VLOOKUP($A141,'Data shares'!$C:$FB,42)</f>
        <v>2023350</v>
      </c>
      <c r="H141" s="49">
        <f>VLOOKUP($A141,'Data shares'!$C:$FB,43)</f>
        <v>2013375</v>
      </c>
      <c r="I141" s="50">
        <f>VLOOKUP($A141,'Data shares'!$C:$FB,45)*100</f>
        <v>0.5</v>
      </c>
      <c r="J141" s="49">
        <f>VLOOKUP($A141,'Data shares'!$C:$FB,58)</f>
        <v>3647700</v>
      </c>
      <c r="K141" s="49">
        <f>VLOOKUP($A141,'Data shares'!$C:$FB,59)</f>
        <v>4741800</v>
      </c>
      <c r="L141" s="50">
        <f>VLOOKUP($A141,'Data shares'!$C:$FB,61)*100</f>
        <v>-23.07</v>
      </c>
      <c r="M141" s="49">
        <f>VLOOKUP($A141,'Data shares'!$C:$FB,62)</f>
        <v>1475250</v>
      </c>
      <c r="N141" s="49">
        <f>VLOOKUP($A141,'Data shares'!$C:$FB,63)</f>
        <v>1479450</v>
      </c>
      <c r="O141" s="140">
        <f>VLOOKUP($A141,'Data shares'!$C:$FB,65)*100</f>
        <v>-0.27999999999999997</v>
      </c>
    </row>
    <row r="142" spans="1:15" x14ac:dyDescent="0.25">
      <c r="A142" s="101" t="str">
        <f>'Data shares'!C137</f>
        <v>MAZDOCK</v>
      </c>
      <c r="B142" s="50">
        <f>VLOOKUP($A142,'Data shares'!$C:$FB,7)</f>
        <v>2772.9</v>
      </c>
      <c r="C142" s="50">
        <f>VLOOKUP($A142,'Data shares'!$C:$FB,10)*100</f>
        <v>0.92999999999999994</v>
      </c>
      <c r="D142" s="49">
        <f>VLOOKUP($A142,'Data shares'!$C:$FB,66)</f>
        <v>6891850</v>
      </c>
      <c r="E142" s="49">
        <f>VLOOKUP($A142,'Data shares'!$C:$FB,67)</f>
        <v>3757775</v>
      </c>
      <c r="F142" s="50">
        <f>VLOOKUP($A142,'Data shares'!$C:$FB,69)*100</f>
        <v>83.399999999999991</v>
      </c>
      <c r="G142" s="49">
        <f>VLOOKUP($A142,'Data shares'!$C:$FB,42)</f>
        <v>1347500</v>
      </c>
      <c r="H142" s="49">
        <f>VLOOKUP($A142,'Data shares'!$C:$FB,43)</f>
        <v>504525</v>
      </c>
      <c r="I142" s="50">
        <f>VLOOKUP($A142,'Data shares'!$C:$FB,45)*100</f>
        <v>167.08</v>
      </c>
      <c r="J142" s="49">
        <f>VLOOKUP($A142,'Data shares'!$C:$FB,58)</f>
        <v>4224325</v>
      </c>
      <c r="K142" s="49">
        <f>VLOOKUP($A142,'Data shares'!$C:$FB,59)</f>
        <v>2754150</v>
      </c>
      <c r="L142" s="50">
        <f>VLOOKUP($A142,'Data shares'!$C:$FB,61)*100</f>
        <v>53.38</v>
      </c>
      <c r="M142" s="49">
        <f>VLOOKUP($A142,'Data shares'!$C:$FB,62)</f>
        <v>1320025</v>
      </c>
      <c r="N142" s="49">
        <f>VLOOKUP($A142,'Data shares'!$C:$FB,63)</f>
        <v>499100</v>
      </c>
      <c r="O142" s="140">
        <f>VLOOKUP($A142,'Data shares'!$C:$FB,65)*100</f>
        <v>164.48000000000002</v>
      </c>
    </row>
    <row r="143" spans="1:15" x14ac:dyDescent="0.25">
      <c r="A143" s="101" t="str">
        <f>'Data shares'!C138</f>
        <v>MCX</v>
      </c>
      <c r="B143" s="50">
        <f>VLOOKUP($A143,'Data shares'!$C:$FB,7)</f>
        <v>8224</v>
      </c>
      <c r="C143" s="50">
        <f>VLOOKUP($A143,'Data shares'!$C:$FB,10)*100</f>
        <v>-0.86</v>
      </c>
      <c r="D143" s="49">
        <f>VLOOKUP($A143,'Data shares'!$C:$FB,66)</f>
        <v>4162375</v>
      </c>
      <c r="E143" s="49">
        <f>VLOOKUP($A143,'Data shares'!$C:$FB,67)</f>
        <v>7975750</v>
      </c>
      <c r="F143" s="50">
        <f>VLOOKUP($A143,'Data shares'!$C:$FB,69)*100</f>
        <v>-47.81</v>
      </c>
      <c r="G143" s="49">
        <f>VLOOKUP($A143,'Data shares'!$C:$FB,42)</f>
        <v>295625</v>
      </c>
      <c r="H143" s="49">
        <f>VLOOKUP($A143,'Data shares'!$C:$FB,43)</f>
        <v>490000</v>
      </c>
      <c r="I143" s="50">
        <f>VLOOKUP($A143,'Data shares'!$C:$FB,45)*100</f>
        <v>-39.67</v>
      </c>
      <c r="J143" s="49">
        <f>VLOOKUP($A143,'Data shares'!$C:$FB,58)</f>
        <v>2184375</v>
      </c>
      <c r="K143" s="49">
        <f>VLOOKUP($A143,'Data shares'!$C:$FB,59)</f>
        <v>4097000</v>
      </c>
      <c r="L143" s="50">
        <f>VLOOKUP($A143,'Data shares'!$C:$FB,61)*100</f>
        <v>-46.68</v>
      </c>
      <c r="M143" s="49">
        <f>VLOOKUP($A143,'Data shares'!$C:$FB,62)</f>
        <v>1682375</v>
      </c>
      <c r="N143" s="49">
        <f>VLOOKUP($A143,'Data shares'!$C:$FB,63)</f>
        <v>3388750</v>
      </c>
      <c r="O143" s="140">
        <f>VLOOKUP($A143,'Data shares'!$C:$FB,65)*100</f>
        <v>-50.349999999999994</v>
      </c>
    </row>
    <row r="144" spans="1:15" x14ac:dyDescent="0.25">
      <c r="A144" s="101" t="str">
        <f>'Data shares'!C139</f>
        <v>MFSL</v>
      </c>
      <c r="B144" s="50">
        <f>VLOOKUP($A144,'Data shares'!$C:$FB,7)</f>
        <v>1643.6</v>
      </c>
      <c r="C144" s="50">
        <f>VLOOKUP($A144,'Data shares'!$C:$FB,10)*100</f>
        <v>0.38</v>
      </c>
      <c r="D144" s="49">
        <f>VLOOKUP($A144,'Data shares'!$C:$FB,66)</f>
        <v>2124800</v>
      </c>
      <c r="E144" s="49">
        <f>VLOOKUP($A144,'Data shares'!$C:$FB,67)</f>
        <v>6391200</v>
      </c>
      <c r="F144" s="50">
        <f>VLOOKUP($A144,'Data shares'!$C:$FB,69)*100</f>
        <v>-66.75</v>
      </c>
      <c r="G144" s="49">
        <f>VLOOKUP($A144,'Data shares'!$C:$FB,42)</f>
        <v>428000</v>
      </c>
      <c r="H144" s="49">
        <f>VLOOKUP($A144,'Data shares'!$C:$FB,43)</f>
        <v>1089600</v>
      </c>
      <c r="I144" s="50">
        <f>VLOOKUP($A144,'Data shares'!$C:$FB,45)*100</f>
        <v>-60.72</v>
      </c>
      <c r="J144" s="49">
        <f>VLOOKUP($A144,'Data shares'!$C:$FB,58)</f>
        <v>1092000</v>
      </c>
      <c r="K144" s="49">
        <f>VLOOKUP($A144,'Data shares'!$C:$FB,59)</f>
        <v>2461600</v>
      </c>
      <c r="L144" s="50">
        <f>VLOOKUP($A144,'Data shares'!$C:$FB,61)*100</f>
        <v>-55.64</v>
      </c>
      <c r="M144" s="49">
        <f>VLOOKUP($A144,'Data shares'!$C:$FB,62)</f>
        <v>604800</v>
      </c>
      <c r="N144" s="49">
        <f>VLOOKUP($A144,'Data shares'!$C:$FB,63)</f>
        <v>2840000</v>
      </c>
      <c r="O144" s="140">
        <f>VLOOKUP($A144,'Data shares'!$C:$FB,65)*100</f>
        <v>-78.7</v>
      </c>
    </row>
    <row r="145" spans="1:15" x14ac:dyDescent="0.25">
      <c r="A145" s="101" t="str">
        <f>'Data shares'!C140</f>
        <v>MIDCPNIFTY</v>
      </c>
      <c r="B145" s="50">
        <f>VLOOKUP($A145,'Data shares'!$C:$FB,7)</f>
        <v>12999.8</v>
      </c>
      <c r="C145" s="50">
        <f>VLOOKUP($A145,'Data shares'!$C:$FB,10)*100</f>
        <v>0.71000000000000008</v>
      </c>
      <c r="D145" s="49">
        <f>VLOOKUP($A145,'Data shares'!$C:$FB,66)</f>
        <v>70461160</v>
      </c>
      <c r="E145" s="49">
        <f>VLOOKUP($A145,'Data shares'!$C:$FB,67)</f>
        <v>63741580</v>
      </c>
      <c r="F145" s="50">
        <f>VLOOKUP($A145,'Data shares'!$C:$FB,69)*100</f>
        <v>10.54</v>
      </c>
      <c r="G145" s="49">
        <f>VLOOKUP($A145,'Data shares'!$C:$FB,42)</f>
        <v>555380</v>
      </c>
      <c r="H145" s="49">
        <f>VLOOKUP($A145,'Data shares'!$C:$FB,43)</f>
        <v>629160</v>
      </c>
      <c r="I145" s="50">
        <f>VLOOKUP($A145,'Data shares'!$C:$FB,45)*100</f>
        <v>-11.73</v>
      </c>
      <c r="J145" s="49">
        <f>VLOOKUP($A145,'Data shares'!$C:$FB,58)</f>
        <v>32748380</v>
      </c>
      <c r="K145" s="49">
        <f>VLOOKUP($A145,'Data shares'!$C:$FB,59)</f>
        <v>32825380</v>
      </c>
      <c r="L145" s="50">
        <f>VLOOKUP($A145,'Data shares'!$C:$FB,61)*100</f>
        <v>-0.22999999999999998</v>
      </c>
      <c r="M145" s="49">
        <f>VLOOKUP($A145,'Data shares'!$C:$FB,62)</f>
        <v>37157400</v>
      </c>
      <c r="N145" s="49">
        <f>VLOOKUP($A145,'Data shares'!$C:$FB,63)</f>
        <v>30287040</v>
      </c>
      <c r="O145" s="140">
        <f>VLOOKUP($A145,'Data shares'!$C:$FB,65)*100</f>
        <v>22.68</v>
      </c>
    </row>
    <row r="146" spans="1:15" x14ac:dyDescent="0.25">
      <c r="A146" s="101" t="str">
        <f>'Data shares'!C141</f>
        <v>MOTHERSON</v>
      </c>
      <c r="B146" s="50">
        <f>VLOOKUP($A146,'Data shares'!$C:$FB,7)</f>
        <v>97.97</v>
      </c>
      <c r="C146" s="50">
        <f>VLOOKUP($A146,'Data shares'!$C:$FB,10)*100</f>
        <v>-1.44</v>
      </c>
      <c r="D146" s="49">
        <f>VLOOKUP($A146,'Data shares'!$C:$FB,66)</f>
        <v>116241150</v>
      </c>
      <c r="E146" s="49">
        <f>VLOOKUP($A146,'Data shares'!$C:$FB,67)</f>
        <v>262438950</v>
      </c>
      <c r="F146" s="50">
        <f>VLOOKUP($A146,'Data shares'!$C:$FB,69)*100</f>
        <v>-55.71</v>
      </c>
      <c r="G146" s="49">
        <f>VLOOKUP($A146,'Data shares'!$C:$FB,42)</f>
        <v>23554500</v>
      </c>
      <c r="H146" s="49">
        <f>VLOOKUP($A146,'Data shares'!$C:$FB,43)</f>
        <v>39999600</v>
      </c>
      <c r="I146" s="50">
        <f>VLOOKUP($A146,'Data shares'!$C:$FB,45)*100</f>
        <v>-41.11</v>
      </c>
      <c r="J146" s="49">
        <f>VLOOKUP($A146,'Data shares'!$C:$FB,58)</f>
        <v>60774300</v>
      </c>
      <c r="K146" s="49">
        <f>VLOOKUP($A146,'Data shares'!$C:$FB,59)</f>
        <v>167452200</v>
      </c>
      <c r="L146" s="50">
        <f>VLOOKUP($A146,'Data shares'!$C:$FB,61)*100</f>
        <v>-63.71</v>
      </c>
      <c r="M146" s="49">
        <f>VLOOKUP($A146,'Data shares'!$C:$FB,62)</f>
        <v>31912350</v>
      </c>
      <c r="N146" s="49">
        <f>VLOOKUP($A146,'Data shares'!$C:$FB,63)</f>
        <v>54987150</v>
      </c>
      <c r="O146" s="140">
        <f>VLOOKUP($A146,'Data shares'!$C:$FB,65)*100</f>
        <v>-41.959999999999994</v>
      </c>
    </row>
    <row r="147" spans="1:15" x14ac:dyDescent="0.25">
      <c r="A147" s="101" t="str">
        <f>'Data shares'!C142</f>
        <v>MPHASIS</v>
      </c>
      <c r="B147" s="50">
        <f>VLOOKUP($A147,'Data shares'!$C:$FB,7)</f>
        <v>2835.5</v>
      </c>
      <c r="C147" s="50">
        <f>VLOOKUP($A147,'Data shares'!$C:$FB,10)*100</f>
        <v>3.39</v>
      </c>
      <c r="D147" s="49">
        <f>VLOOKUP($A147,'Data shares'!$C:$FB,66)</f>
        <v>9561475</v>
      </c>
      <c r="E147" s="49">
        <f>VLOOKUP($A147,'Data shares'!$C:$FB,67)</f>
        <v>1662100</v>
      </c>
      <c r="F147" s="50">
        <f>VLOOKUP($A147,'Data shares'!$C:$FB,69)*100</f>
        <v>475.26</v>
      </c>
      <c r="G147" s="49">
        <f>VLOOKUP($A147,'Data shares'!$C:$FB,42)</f>
        <v>1740200</v>
      </c>
      <c r="H147" s="49">
        <f>VLOOKUP($A147,'Data shares'!$C:$FB,43)</f>
        <v>462000</v>
      </c>
      <c r="I147" s="50">
        <f>VLOOKUP($A147,'Data shares'!$C:$FB,45)*100</f>
        <v>276.67</v>
      </c>
      <c r="J147" s="49">
        <f>VLOOKUP($A147,'Data shares'!$C:$FB,58)</f>
        <v>5806350</v>
      </c>
      <c r="K147" s="49">
        <f>VLOOKUP($A147,'Data shares'!$C:$FB,59)</f>
        <v>944075</v>
      </c>
      <c r="L147" s="50">
        <f>VLOOKUP($A147,'Data shares'!$C:$FB,61)*100</f>
        <v>515.03</v>
      </c>
      <c r="M147" s="49">
        <f>VLOOKUP($A147,'Data shares'!$C:$FB,62)</f>
        <v>2014925</v>
      </c>
      <c r="N147" s="49">
        <f>VLOOKUP($A147,'Data shares'!$C:$FB,63)</f>
        <v>256025</v>
      </c>
      <c r="O147" s="140">
        <f>VLOOKUP($A147,'Data shares'!$C:$FB,65)*100</f>
        <v>687</v>
      </c>
    </row>
    <row r="148" spans="1:15" x14ac:dyDescent="0.25">
      <c r="A148" s="101" t="str">
        <f>'Data shares'!C143</f>
        <v>MUTHOOTFIN</v>
      </c>
      <c r="B148" s="50">
        <f>VLOOKUP($A148,'Data shares'!$C:$FB,7)</f>
        <v>2683.9</v>
      </c>
      <c r="C148" s="50">
        <f>VLOOKUP($A148,'Data shares'!$C:$FB,10)*100</f>
        <v>-2.2999999999999998</v>
      </c>
      <c r="D148" s="49">
        <f>VLOOKUP($A148,'Data shares'!$C:$FB,66)</f>
        <v>21926850</v>
      </c>
      <c r="E148" s="49">
        <f>VLOOKUP($A148,'Data shares'!$C:$FB,67)</f>
        <v>12937925</v>
      </c>
      <c r="F148" s="50">
        <f>VLOOKUP($A148,'Data shares'!$C:$FB,69)*100</f>
        <v>69.48</v>
      </c>
      <c r="G148" s="49">
        <f>VLOOKUP($A148,'Data shares'!$C:$FB,42)</f>
        <v>1458050</v>
      </c>
      <c r="H148" s="49">
        <f>VLOOKUP($A148,'Data shares'!$C:$FB,43)</f>
        <v>1531750</v>
      </c>
      <c r="I148" s="50">
        <f>VLOOKUP($A148,'Data shares'!$C:$FB,45)*100</f>
        <v>-4.8099999999999996</v>
      </c>
      <c r="J148" s="49">
        <f>VLOOKUP($A148,'Data shares'!$C:$FB,58)</f>
        <v>10222575</v>
      </c>
      <c r="K148" s="49">
        <f>VLOOKUP($A148,'Data shares'!$C:$FB,59)</f>
        <v>6747675</v>
      </c>
      <c r="L148" s="50">
        <f>VLOOKUP($A148,'Data shares'!$C:$FB,61)*100</f>
        <v>51.5</v>
      </c>
      <c r="M148" s="49">
        <f>VLOOKUP($A148,'Data shares'!$C:$FB,62)</f>
        <v>10246225</v>
      </c>
      <c r="N148" s="49">
        <f>VLOOKUP($A148,'Data shares'!$C:$FB,63)</f>
        <v>4658500</v>
      </c>
      <c r="O148" s="140">
        <f>VLOOKUP($A148,'Data shares'!$C:$FB,65)*100</f>
        <v>119.95</v>
      </c>
    </row>
    <row r="149" spans="1:15" x14ac:dyDescent="0.25">
      <c r="A149" s="101" t="str">
        <f>'Data shares'!C144</f>
        <v>NATIONALUM</v>
      </c>
      <c r="B149" s="50">
        <f>VLOOKUP($A149,'Data shares'!$C:$FB,7)</f>
        <v>192.22</v>
      </c>
      <c r="C149" s="50">
        <f>VLOOKUP($A149,'Data shares'!$C:$FB,10)*100</f>
        <v>0.48</v>
      </c>
      <c r="D149" s="49">
        <f>VLOOKUP($A149,'Data shares'!$C:$FB,66)</f>
        <v>53992500</v>
      </c>
      <c r="E149" s="49">
        <f>VLOOKUP($A149,'Data shares'!$C:$FB,67)</f>
        <v>51641250</v>
      </c>
      <c r="F149" s="50">
        <f>VLOOKUP($A149,'Data shares'!$C:$FB,69)*100</f>
        <v>4.55</v>
      </c>
      <c r="G149" s="49">
        <f>VLOOKUP($A149,'Data shares'!$C:$FB,42)</f>
        <v>15371250</v>
      </c>
      <c r="H149" s="49">
        <f>VLOOKUP($A149,'Data shares'!$C:$FB,43)</f>
        <v>14445000</v>
      </c>
      <c r="I149" s="50">
        <f>VLOOKUP($A149,'Data shares'!$C:$FB,45)*100</f>
        <v>6.41</v>
      </c>
      <c r="J149" s="49">
        <f>VLOOKUP($A149,'Data shares'!$C:$FB,58)</f>
        <v>25402500</v>
      </c>
      <c r="K149" s="49">
        <f>VLOOKUP($A149,'Data shares'!$C:$FB,59)</f>
        <v>21536250</v>
      </c>
      <c r="L149" s="50">
        <f>VLOOKUP($A149,'Data shares'!$C:$FB,61)*100</f>
        <v>17.95</v>
      </c>
      <c r="M149" s="49">
        <f>VLOOKUP($A149,'Data shares'!$C:$FB,62)</f>
        <v>13218750</v>
      </c>
      <c r="N149" s="49">
        <f>VLOOKUP($A149,'Data shares'!$C:$FB,63)</f>
        <v>15660000</v>
      </c>
      <c r="O149" s="140">
        <f>VLOOKUP($A149,'Data shares'!$C:$FB,65)*100</f>
        <v>-15.590000000000002</v>
      </c>
    </row>
    <row r="150" spans="1:15" x14ac:dyDescent="0.25">
      <c r="A150" s="101" t="str">
        <f>'Data shares'!C145</f>
        <v>NAUKRI</v>
      </c>
      <c r="B150" s="50">
        <f>VLOOKUP($A150,'Data shares'!$C:$FB,7)</f>
        <v>1395.5</v>
      </c>
      <c r="C150" s="50">
        <f>VLOOKUP($A150,'Data shares'!$C:$FB,10)*100</f>
        <v>1.06</v>
      </c>
      <c r="D150" s="49">
        <f>VLOOKUP($A150,'Data shares'!$C:$FB,66)</f>
        <v>6694125</v>
      </c>
      <c r="E150" s="49">
        <f>VLOOKUP($A150,'Data shares'!$C:$FB,67)</f>
        <v>4419375</v>
      </c>
      <c r="F150" s="50">
        <f>VLOOKUP($A150,'Data shares'!$C:$FB,69)*100</f>
        <v>51.470000000000006</v>
      </c>
      <c r="G150" s="49">
        <f>VLOOKUP($A150,'Data shares'!$C:$FB,42)</f>
        <v>1912875</v>
      </c>
      <c r="H150" s="49">
        <f>VLOOKUP($A150,'Data shares'!$C:$FB,43)</f>
        <v>1265250</v>
      </c>
      <c r="I150" s="50">
        <f>VLOOKUP($A150,'Data shares'!$C:$FB,45)*100</f>
        <v>51.190000000000005</v>
      </c>
      <c r="J150" s="49">
        <f>VLOOKUP($A150,'Data shares'!$C:$FB,58)</f>
        <v>2737125</v>
      </c>
      <c r="K150" s="49">
        <f>VLOOKUP($A150,'Data shares'!$C:$FB,59)</f>
        <v>1980000</v>
      </c>
      <c r="L150" s="50">
        <f>VLOOKUP($A150,'Data shares'!$C:$FB,61)*100</f>
        <v>38.24</v>
      </c>
      <c r="M150" s="49">
        <f>VLOOKUP($A150,'Data shares'!$C:$FB,62)</f>
        <v>2044125</v>
      </c>
      <c r="N150" s="49">
        <f>VLOOKUP($A150,'Data shares'!$C:$FB,63)</f>
        <v>1174125</v>
      </c>
      <c r="O150" s="140">
        <f>VLOOKUP($A150,'Data shares'!$C:$FB,65)*100</f>
        <v>74.099999999999994</v>
      </c>
    </row>
    <row r="151" spans="1:15" x14ac:dyDescent="0.25">
      <c r="A151" s="101" t="str">
        <f>'Data shares'!C146</f>
        <v>NBCC</v>
      </c>
      <c r="B151" s="50">
        <f>VLOOKUP($A151,'Data shares'!$C:$FB,7)</f>
        <v>105.39</v>
      </c>
      <c r="C151" s="50">
        <f>VLOOKUP($A151,'Data shares'!$C:$FB,10)*100</f>
        <v>-1.1199999999999999</v>
      </c>
      <c r="D151" s="49">
        <f>VLOOKUP($A151,'Data shares'!$C:$FB,66)</f>
        <v>22886500</v>
      </c>
      <c r="E151" s="49">
        <f>VLOOKUP($A151,'Data shares'!$C:$FB,67)</f>
        <v>13474500</v>
      </c>
      <c r="F151" s="50">
        <f>VLOOKUP($A151,'Data shares'!$C:$FB,69)*100</f>
        <v>69.849999999999994</v>
      </c>
      <c r="G151" s="49">
        <f>VLOOKUP($A151,'Data shares'!$C:$FB,42)</f>
        <v>10062000</v>
      </c>
      <c r="H151" s="49">
        <f>VLOOKUP($A151,'Data shares'!$C:$FB,43)</f>
        <v>5609500</v>
      </c>
      <c r="I151" s="50">
        <f>VLOOKUP($A151,'Data shares'!$C:$FB,45)*100</f>
        <v>79.36999999999999</v>
      </c>
      <c r="J151" s="49">
        <f>VLOOKUP($A151,'Data shares'!$C:$FB,58)</f>
        <v>9067500</v>
      </c>
      <c r="K151" s="49">
        <f>VLOOKUP($A151,'Data shares'!$C:$FB,59)</f>
        <v>5590000</v>
      </c>
      <c r="L151" s="50">
        <f>VLOOKUP($A151,'Data shares'!$C:$FB,61)*100</f>
        <v>62.21</v>
      </c>
      <c r="M151" s="49">
        <f>VLOOKUP($A151,'Data shares'!$C:$FB,62)</f>
        <v>3757000</v>
      </c>
      <c r="N151" s="49">
        <f>VLOOKUP($A151,'Data shares'!$C:$FB,63)</f>
        <v>2275000</v>
      </c>
      <c r="O151" s="140">
        <f>VLOOKUP($A151,'Data shares'!$C:$FB,65)*100</f>
        <v>65.14</v>
      </c>
    </row>
    <row r="152" spans="1:15" x14ac:dyDescent="0.25">
      <c r="A152" s="101" t="str">
        <f>'Data shares'!C147</f>
        <v>NCC</v>
      </c>
      <c r="B152" s="50">
        <f>VLOOKUP($A152,'Data shares'!$C:$FB,7)</f>
        <v>220.84</v>
      </c>
      <c r="C152" s="50">
        <f>VLOOKUP($A152,'Data shares'!$C:$FB,10)*100</f>
        <v>-0.64</v>
      </c>
      <c r="D152" s="49">
        <f>VLOOKUP($A152,'Data shares'!$C:$FB,66)</f>
        <v>8351100</v>
      </c>
      <c r="E152" s="49">
        <f>VLOOKUP($A152,'Data shares'!$C:$FB,67)</f>
        <v>11385900</v>
      </c>
      <c r="F152" s="50">
        <f>VLOOKUP($A152,'Data shares'!$C:$FB,69)*100</f>
        <v>-26.650000000000002</v>
      </c>
      <c r="G152" s="49">
        <f>VLOOKUP($A152,'Data shares'!$C:$FB,42)</f>
        <v>2494800</v>
      </c>
      <c r="H152" s="49">
        <f>VLOOKUP($A152,'Data shares'!$C:$FB,43)</f>
        <v>3010500</v>
      </c>
      <c r="I152" s="50">
        <f>VLOOKUP($A152,'Data shares'!$C:$FB,45)*100</f>
        <v>-17.130000000000003</v>
      </c>
      <c r="J152" s="49">
        <f>VLOOKUP($A152,'Data shares'!$C:$FB,58)</f>
        <v>4190400</v>
      </c>
      <c r="K152" s="49">
        <f>VLOOKUP($A152,'Data shares'!$C:$FB,59)</f>
        <v>5259600</v>
      </c>
      <c r="L152" s="50">
        <f>VLOOKUP($A152,'Data shares'!$C:$FB,61)*100</f>
        <v>-20.330000000000002</v>
      </c>
      <c r="M152" s="49">
        <f>VLOOKUP($A152,'Data shares'!$C:$FB,62)</f>
        <v>1665900</v>
      </c>
      <c r="N152" s="49">
        <f>VLOOKUP($A152,'Data shares'!$C:$FB,63)</f>
        <v>3115800</v>
      </c>
      <c r="O152" s="140">
        <f>VLOOKUP($A152,'Data shares'!$C:$FB,65)*100</f>
        <v>-46.53</v>
      </c>
    </row>
    <row r="153" spans="1:15" x14ac:dyDescent="0.25">
      <c r="A153" s="101" t="str">
        <f>'Data shares'!C148</f>
        <v>NESTLEIND</v>
      </c>
      <c r="B153" s="50">
        <f>VLOOKUP($A153,'Data shares'!$C:$FB,7)</f>
        <v>1190.3</v>
      </c>
      <c r="C153" s="50">
        <f>VLOOKUP($A153,'Data shares'!$C:$FB,10)*100</f>
        <v>2.4899999999999998</v>
      </c>
      <c r="D153" s="49">
        <f>VLOOKUP($A153,'Data shares'!$C:$FB,66)</f>
        <v>22766000</v>
      </c>
      <c r="E153" s="49">
        <f>VLOOKUP($A153,'Data shares'!$C:$FB,67)</f>
        <v>15384000</v>
      </c>
      <c r="F153" s="50">
        <f>VLOOKUP($A153,'Data shares'!$C:$FB,69)*100</f>
        <v>47.980000000000004</v>
      </c>
      <c r="G153" s="49">
        <f>VLOOKUP($A153,'Data shares'!$C:$FB,42)</f>
        <v>3933500</v>
      </c>
      <c r="H153" s="49">
        <f>VLOOKUP($A153,'Data shares'!$C:$FB,43)</f>
        <v>2702000</v>
      </c>
      <c r="I153" s="50">
        <f>VLOOKUP($A153,'Data shares'!$C:$FB,45)*100</f>
        <v>45.58</v>
      </c>
      <c r="J153" s="49">
        <f>VLOOKUP($A153,'Data shares'!$C:$FB,58)</f>
        <v>14031000</v>
      </c>
      <c r="K153" s="49">
        <f>VLOOKUP($A153,'Data shares'!$C:$FB,59)</f>
        <v>7957000</v>
      </c>
      <c r="L153" s="50">
        <f>VLOOKUP($A153,'Data shares'!$C:$FB,61)*100</f>
        <v>76.34</v>
      </c>
      <c r="M153" s="49">
        <f>VLOOKUP($A153,'Data shares'!$C:$FB,62)</f>
        <v>4801500</v>
      </c>
      <c r="N153" s="49">
        <f>VLOOKUP($A153,'Data shares'!$C:$FB,63)</f>
        <v>4725000</v>
      </c>
      <c r="O153" s="140">
        <f>VLOOKUP($A153,'Data shares'!$C:$FB,65)*100</f>
        <v>1.6199999999999999</v>
      </c>
    </row>
    <row r="154" spans="1:15" x14ac:dyDescent="0.25">
      <c r="A154" s="101" t="str">
        <f>'Data shares'!C149</f>
        <v>NHPC</v>
      </c>
      <c r="B154" s="50">
        <f>VLOOKUP($A154,'Data shares'!$C:$FB,7)</f>
        <v>82.76</v>
      </c>
      <c r="C154" s="50">
        <f>VLOOKUP($A154,'Data shares'!$C:$FB,10)*100</f>
        <v>0.82000000000000006</v>
      </c>
      <c r="D154" s="49">
        <f>VLOOKUP($A154,'Data shares'!$C:$FB,66)</f>
        <v>31366400</v>
      </c>
      <c r="E154" s="49">
        <f>VLOOKUP($A154,'Data shares'!$C:$FB,67)</f>
        <v>24313600</v>
      </c>
      <c r="F154" s="50">
        <f>VLOOKUP($A154,'Data shares'!$C:$FB,69)*100</f>
        <v>29.01</v>
      </c>
      <c r="G154" s="49">
        <f>VLOOKUP($A154,'Data shares'!$C:$FB,42)</f>
        <v>10822400</v>
      </c>
      <c r="H154" s="49">
        <f>VLOOKUP($A154,'Data shares'!$C:$FB,43)</f>
        <v>9619200</v>
      </c>
      <c r="I154" s="50">
        <f>VLOOKUP($A154,'Data shares'!$C:$FB,45)*100</f>
        <v>12.509999999999998</v>
      </c>
      <c r="J154" s="49">
        <f>VLOOKUP($A154,'Data shares'!$C:$FB,58)</f>
        <v>13523200</v>
      </c>
      <c r="K154" s="49">
        <f>VLOOKUP($A154,'Data shares'!$C:$FB,59)</f>
        <v>9817600</v>
      </c>
      <c r="L154" s="50">
        <f>VLOOKUP($A154,'Data shares'!$C:$FB,61)*100</f>
        <v>37.74</v>
      </c>
      <c r="M154" s="49">
        <f>VLOOKUP($A154,'Data shares'!$C:$FB,62)</f>
        <v>7020800</v>
      </c>
      <c r="N154" s="49">
        <f>VLOOKUP($A154,'Data shares'!$C:$FB,63)</f>
        <v>4876800</v>
      </c>
      <c r="O154" s="140">
        <f>VLOOKUP($A154,'Data shares'!$C:$FB,65)*100</f>
        <v>43.96</v>
      </c>
    </row>
    <row r="155" spans="1:15" x14ac:dyDescent="0.25">
      <c r="A155" s="101" t="str">
        <f>'Data shares'!C150</f>
        <v>NIFTY</v>
      </c>
      <c r="B155" s="50">
        <f>VLOOKUP($A155,'Data shares'!$C:$FB,7)</f>
        <v>25050.55</v>
      </c>
      <c r="C155" s="50">
        <f>VLOOKUP($A155,'Data shares'!$C:$FB,10)*100</f>
        <v>0.27999999999999997</v>
      </c>
      <c r="D155" s="49">
        <f>VLOOKUP($A155,'Data shares'!$C:$FB,66)</f>
        <v>7181374125</v>
      </c>
      <c r="E155" s="49">
        <f>VLOOKUP($A155,'Data shares'!$C:$FB,67)</f>
        <v>4307629875</v>
      </c>
      <c r="F155" s="50">
        <f>VLOOKUP($A155,'Data shares'!$C:$FB,69)*100</f>
        <v>66.710000000000008</v>
      </c>
      <c r="G155" s="49">
        <f>VLOOKUP($A155,'Data shares'!$C:$FB,42)</f>
        <v>4927275</v>
      </c>
      <c r="H155" s="49">
        <f>VLOOKUP($A155,'Data shares'!$C:$FB,43)</f>
        <v>4106025</v>
      </c>
      <c r="I155" s="50">
        <f>VLOOKUP($A155,'Data shares'!$C:$FB,45)*100</f>
        <v>20</v>
      </c>
      <c r="J155" s="49">
        <f>VLOOKUP($A155,'Data shares'!$C:$FB,58)</f>
        <v>3952442250</v>
      </c>
      <c r="K155" s="49">
        <f>VLOOKUP($A155,'Data shares'!$C:$FB,59)</f>
        <v>2362989900</v>
      </c>
      <c r="L155" s="50">
        <f>VLOOKUP($A155,'Data shares'!$C:$FB,61)*100</f>
        <v>67.259999999999991</v>
      </c>
      <c r="M155" s="49">
        <f>VLOOKUP($A155,'Data shares'!$C:$FB,62)</f>
        <v>3224004600</v>
      </c>
      <c r="N155" s="49">
        <f>VLOOKUP($A155,'Data shares'!$C:$FB,63)</f>
        <v>1940533950</v>
      </c>
      <c r="O155" s="140">
        <f>VLOOKUP($A155,'Data shares'!$C:$FB,65)*100</f>
        <v>66.14</v>
      </c>
    </row>
    <row r="156" spans="1:15" x14ac:dyDescent="0.25">
      <c r="A156" s="101" t="str">
        <f>'Data shares'!C151</f>
        <v>NIFTYNXT50</v>
      </c>
      <c r="B156" s="50">
        <f>VLOOKUP($A156,'Data shares'!$C:$FB,7)</f>
        <v>68164.3</v>
      </c>
      <c r="C156" s="50">
        <f>VLOOKUP($A156,'Data shares'!$C:$FB,10)*100</f>
        <v>0.38</v>
      </c>
      <c r="D156" s="49">
        <f>VLOOKUP($A156,'Data shares'!$C:$FB,66)</f>
        <v>23225</v>
      </c>
      <c r="E156" s="49">
        <f>VLOOKUP($A156,'Data shares'!$C:$FB,67)</f>
        <v>14725</v>
      </c>
      <c r="F156" s="50">
        <f>VLOOKUP($A156,'Data shares'!$C:$FB,69)*100</f>
        <v>57.720000000000006</v>
      </c>
      <c r="G156" s="49">
        <f>VLOOKUP($A156,'Data shares'!$C:$FB,42)</f>
        <v>2775</v>
      </c>
      <c r="H156" s="49">
        <f>VLOOKUP($A156,'Data shares'!$C:$FB,43)</f>
        <v>4425</v>
      </c>
      <c r="I156" s="50">
        <f>VLOOKUP($A156,'Data shares'!$C:$FB,45)*100</f>
        <v>-37.29</v>
      </c>
      <c r="J156" s="49">
        <f>VLOOKUP($A156,'Data shares'!$C:$FB,58)</f>
        <v>14275</v>
      </c>
      <c r="K156" s="49">
        <f>VLOOKUP($A156,'Data shares'!$C:$FB,59)</f>
        <v>5000</v>
      </c>
      <c r="L156" s="50">
        <f>VLOOKUP($A156,'Data shares'!$C:$FB,61)*100</f>
        <v>185.5</v>
      </c>
      <c r="M156" s="49">
        <f>VLOOKUP($A156,'Data shares'!$C:$FB,62)</f>
        <v>6175</v>
      </c>
      <c r="N156" s="49">
        <f>VLOOKUP($A156,'Data shares'!$C:$FB,63)</f>
        <v>5300</v>
      </c>
      <c r="O156" s="140">
        <f>VLOOKUP($A156,'Data shares'!$C:$FB,65)*100</f>
        <v>16.509999999999998</v>
      </c>
    </row>
    <row r="157" spans="1:15" x14ac:dyDescent="0.25">
      <c r="A157" s="101" t="str">
        <f>'Data shares'!C152</f>
        <v>NMDC</v>
      </c>
      <c r="B157" s="50">
        <f>VLOOKUP($A157,'Data shares'!$C:$FB,7)</f>
        <v>71.819999999999993</v>
      </c>
      <c r="C157" s="50">
        <f>VLOOKUP($A157,'Data shares'!$C:$FB,10)*100</f>
        <v>1.5599999999999998</v>
      </c>
      <c r="D157" s="49">
        <f>VLOOKUP($A157,'Data shares'!$C:$FB,66)</f>
        <v>403596000</v>
      </c>
      <c r="E157" s="49">
        <f>VLOOKUP($A157,'Data shares'!$C:$FB,67)</f>
        <v>186759000</v>
      </c>
      <c r="F157" s="50">
        <f>VLOOKUP($A157,'Data shares'!$C:$FB,69)*100</f>
        <v>116.11</v>
      </c>
      <c r="G157" s="49">
        <f>VLOOKUP($A157,'Data shares'!$C:$FB,42)</f>
        <v>81445500</v>
      </c>
      <c r="H157" s="49">
        <f>VLOOKUP($A157,'Data shares'!$C:$FB,43)</f>
        <v>52137000</v>
      </c>
      <c r="I157" s="50">
        <f>VLOOKUP($A157,'Data shares'!$C:$FB,45)*100</f>
        <v>56.210000000000008</v>
      </c>
      <c r="J157" s="49">
        <f>VLOOKUP($A157,'Data shares'!$C:$FB,58)</f>
        <v>232024500</v>
      </c>
      <c r="K157" s="49">
        <f>VLOOKUP($A157,'Data shares'!$C:$FB,59)</f>
        <v>83632500</v>
      </c>
      <c r="L157" s="50">
        <f>VLOOKUP($A157,'Data shares'!$C:$FB,61)*100</f>
        <v>177.43</v>
      </c>
      <c r="M157" s="49">
        <f>VLOOKUP($A157,'Data shares'!$C:$FB,62)</f>
        <v>90126000</v>
      </c>
      <c r="N157" s="49">
        <f>VLOOKUP($A157,'Data shares'!$C:$FB,63)</f>
        <v>50989500</v>
      </c>
      <c r="O157" s="140">
        <f>VLOOKUP($A157,'Data shares'!$C:$FB,65)*100</f>
        <v>76.75</v>
      </c>
    </row>
    <row r="158" spans="1:15" x14ac:dyDescent="0.25">
      <c r="A158" s="101" t="str">
        <f>'Data shares'!C153</f>
        <v>NTPC</v>
      </c>
      <c r="B158" s="50">
        <f>VLOOKUP($A158,'Data shares'!$C:$FB,7)</f>
        <v>342</v>
      </c>
      <c r="C158" s="50">
        <f>VLOOKUP($A158,'Data shares'!$C:$FB,10)*100</f>
        <v>2.0699999999999998</v>
      </c>
      <c r="D158" s="49">
        <f>VLOOKUP($A158,'Data shares'!$C:$FB,66)</f>
        <v>158029500</v>
      </c>
      <c r="E158" s="49">
        <f>VLOOKUP($A158,'Data shares'!$C:$FB,67)</f>
        <v>80083500</v>
      </c>
      <c r="F158" s="50">
        <f>VLOOKUP($A158,'Data shares'!$C:$FB,69)*100</f>
        <v>97.330000000000013</v>
      </c>
      <c r="G158" s="49">
        <f>VLOOKUP($A158,'Data shares'!$C:$FB,42)</f>
        <v>20650500</v>
      </c>
      <c r="H158" s="49">
        <f>VLOOKUP($A158,'Data shares'!$C:$FB,43)</f>
        <v>13939500</v>
      </c>
      <c r="I158" s="50">
        <f>VLOOKUP($A158,'Data shares'!$C:$FB,45)*100</f>
        <v>48.14</v>
      </c>
      <c r="J158" s="49">
        <f>VLOOKUP($A158,'Data shares'!$C:$FB,58)</f>
        <v>104872500</v>
      </c>
      <c r="K158" s="49">
        <f>VLOOKUP($A158,'Data shares'!$C:$FB,59)</f>
        <v>43999500</v>
      </c>
      <c r="L158" s="50">
        <f>VLOOKUP($A158,'Data shares'!$C:$FB,61)*100</f>
        <v>138.35</v>
      </c>
      <c r="M158" s="49">
        <f>VLOOKUP($A158,'Data shares'!$C:$FB,62)</f>
        <v>32506500</v>
      </c>
      <c r="N158" s="49">
        <f>VLOOKUP($A158,'Data shares'!$C:$FB,63)</f>
        <v>22144500</v>
      </c>
      <c r="O158" s="140">
        <f>VLOOKUP($A158,'Data shares'!$C:$FB,65)*100</f>
        <v>46.79</v>
      </c>
    </row>
    <row r="159" spans="1:15" x14ac:dyDescent="0.25">
      <c r="A159" s="101" t="str">
        <f>'Data shares'!C154</f>
        <v>NUVAMA</v>
      </c>
      <c r="B159" s="50">
        <f>VLOOKUP($A159,'Data shares'!$C:$FB,7)</f>
        <v>6854.5</v>
      </c>
      <c r="C159" s="50">
        <f>VLOOKUP($A159,'Data shares'!$C:$FB,10)*100</f>
        <v>0.96</v>
      </c>
      <c r="D159" s="49">
        <f>VLOOKUP($A159,'Data shares'!$C:$FB,66)</f>
        <v>1665150</v>
      </c>
      <c r="E159" s="49">
        <f>VLOOKUP($A159,'Data shares'!$C:$FB,67)</f>
        <v>1346325</v>
      </c>
      <c r="F159" s="50">
        <f>VLOOKUP($A159,'Data shares'!$C:$FB,69)*100</f>
        <v>23.68</v>
      </c>
      <c r="G159" s="49">
        <f>VLOOKUP($A159,'Data shares'!$C:$FB,42)</f>
        <v>178275</v>
      </c>
      <c r="H159" s="49">
        <f>VLOOKUP($A159,'Data shares'!$C:$FB,43)</f>
        <v>180825</v>
      </c>
      <c r="I159" s="50">
        <f>VLOOKUP($A159,'Data shares'!$C:$FB,45)*100</f>
        <v>-1.41</v>
      </c>
      <c r="J159" s="49">
        <f>VLOOKUP($A159,'Data shares'!$C:$FB,58)</f>
        <v>988725</v>
      </c>
      <c r="K159" s="49">
        <f>VLOOKUP($A159,'Data shares'!$C:$FB,59)</f>
        <v>606900</v>
      </c>
      <c r="L159" s="50">
        <f>VLOOKUP($A159,'Data shares'!$C:$FB,61)*100</f>
        <v>62.91</v>
      </c>
      <c r="M159" s="49">
        <f>VLOOKUP($A159,'Data shares'!$C:$FB,62)</f>
        <v>498150</v>
      </c>
      <c r="N159" s="49">
        <f>VLOOKUP($A159,'Data shares'!$C:$FB,63)</f>
        <v>558600</v>
      </c>
      <c r="O159" s="140">
        <f>VLOOKUP($A159,'Data shares'!$C:$FB,65)*100</f>
        <v>-10.82</v>
      </c>
    </row>
    <row r="160" spans="1:15" x14ac:dyDescent="0.25">
      <c r="A160" s="101" t="str">
        <f>'Data shares'!C155</f>
        <v>NYKAA</v>
      </c>
      <c r="B160" s="50">
        <f>VLOOKUP($A160,'Data shares'!$C:$FB,7)</f>
        <v>225.18</v>
      </c>
      <c r="C160" s="50">
        <f>VLOOKUP($A160,'Data shares'!$C:$FB,10)*100</f>
        <v>-0.73</v>
      </c>
      <c r="D160" s="49">
        <f>VLOOKUP($A160,'Data shares'!$C:$FB,66)</f>
        <v>54062500</v>
      </c>
      <c r="E160" s="49">
        <f>VLOOKUP($A160,'Data shares'!$C:$FB,67)</f>
        <v>94650000</v>
      </c>
      <c r="F160" s="50">
        <f>VLOOKUP($A160,'Data shares'!$C:$FB,69)*100</f>
        <v>-42.88</v>
      </c>
      <c r="G160" s="49">
        <f>VLOOKUP($A160,'Data shares'!$C:$FB,42)</f>
        <v>14503125</v>
      </c>
      <c r="H160" s="49">
        <f>VLOOKUP($A160,'Data shares'!$C:$FB,43)</f>
        <v>17890625</v>
      </c>
      <c r="I160" s="50">
        <f>VLOOKUP($A160,'Data shares'!$C:$FB,45)*100</f>
        <v>-18.93</v>
      </c>
      <c r="J160" s="49">
        <f>VLOOKUP($A160,'Data shares'!$C:$FB,58)</f>
        <v>28406250</v>
      </c>
      <c r="K160" s="49">
        <f>VLOOKUP($A160,'Data shares'!$C:$FB,59)</f>
        <v>58559375</v>
      </c>
      <c r="L160" s="50">
        <f>VLOOKUP($A160,'Data shares'!$C:$FB,61)*100</f>
        <v>-51.49</v>
      </c>
      <c r="M160" s="49">
        <f>VLOOKUP($A160,'Data shares'!$C:$FB,62)</f>
        <v>11153125</v>
      </c>
      <c r="N160" s="49">
        <f>VLOOKUP($A160,'Data shares'!$C:$FB,63)</f>
        <v>18200000</v>
      </c>
      <c r="O160" s="140">
        <f>VLOOKUP($A160,'Data shares'!$C:$FB,65)*100</f>
        <v>-38.72</v>
      </c>
    </row>
    <row r="161" spans="1:15" x14ac:dyDescent="0.25">
      <c r="A161" s="101" t="str">
        <f>'Data shares'!C156</f>
        <v>OBEROIRLTY</v>
      </c>
      <c r="B161" s="50">
        <f>VLOOKUP($A161,'Data shares'!$C:$FB,7)</f>
        <v>1656.9</v>
      </c>
      <c r="C161" s="50">
        <f>VLOOKUP($A161,'Data shares'!$C:$FB,10)*100</f>
        <v>0.44999999999999996</v>
      </c>
      <c r="D161" s="49">
        <f>VLOOKUP($A161,'Data shares'!$C:$FB,66)</f>
        <v>2996350</v>
      </c>
      <c r="E161" s="49">
        <f>VLOOKUP($A161,'Data shares'!$C:$FB,67)</f>
        <v>2295650</v>
      </c>
      <c r="F161" s="50">
        <f>VLOOKUP($A161,'Data shares'!$C:$FB,69)*100</f>
        <v>30.520000000000003</v>
      </c>
      <c r="G161" s="49">
        <f>VLOOKUP($A161,'Data shares'!$C:$FB,42)</f>
        <v>683200</v>
      </c>
      <c r="H161" s="49">
        <f>VLOOKUP($A161,'Data shares'!$C:$FB,43)</f>
        <v>672000</v>
      </c>
      <c r="I161" s="50">
        <f>VLOOKUP($A161,'Data shares'!$C:$FB,45)*100</f>
        <v>1.67</v>
      </c>
      <c r="J161" s="49">
        <f>VLOOKUP($A161,'Data shares'!$C:$FB,58)</f>
        <v>1851850</v>
      </c>
      <c r="K161" s="49">
        <f>VLOOKUP($A161,'Data shares'!$C:$FB,59)</f>
        <v>996450</v>
      </c>
      <c r="L161" s="50">
        <f>VLOOKUP($A161,'Data shares'!$C:$FB,61)*100</f>
        <v>85.84</v>
      </c>
      <c r="M161" s="49">
        <f>VLOOKUP($A161,'Data shares'!$C:$FB,62)</f>
        <v>461300</v>
      </c>
      <c r="N161" s="49">
        <f>VLOOKUP($A161,'Data shares'!$C:$FB,63)</f>
        <v>627200</v>
      </c>
      <c r="O161" s="140">
        <f>VLOOKUP($A161,'Data shares'!$C:$FB,65)*100</f>
        <v>-26.450000000000003</v>
      </c>
    </row>
    <row r="162" spans="1:15" x14ac:dyDescent="0.25">
      <c r="A162" s="101" t="str">
        <f>'Data shares'!C157</f>
        <v>OFSS</v>
      </c>
      <c r="B162" s="50">
        <f>VLOOKUP($A162,'Data shares'!$C:$FB,7)</f>
        <v>8763</v>
      </c>
      <c r="C162" s="50">
        <f>VLOOKUP($A162,'Data shares'!$C:$FB,10)*100</f>
        <v>1.9300000000000002</v>
      </c>
      <c r="D162" s="49">
        <f>VLOOKUP($A162,'Data shares'!$C:$FB,66)</f>
        <v>2551350</v>
      </c>
      <c r="E162" s="49">
        <f>VLOOKUP($A162,'Data shares'!$C:$FB,67)</f>
        <v>782325</v>
      </c>
      <c r="F162" s="50">
        <f>VLOOKUP($A162,'Data shares'!$C:$FB,69)*100</f>
        <v>226.12</v>
      </c>
      <c r="G162" s="49">
        <f>VLOOKUP($A162,'Data shares'!$C:$FB,42)</f>
        <v>357525</v>
      </c>
      <c r="H162" s="49">
        <f>VLOOKUP($A162,'Data shares'!$C:$FB,43)</f>
        <v>114375</v>
      </c>
      <c r="I162" s="50">
        <f>VLOOKUP($A162,'Data shares'!$C:$FB,45)*100</f>
        <v>212.59</v>
      </c>
      <c r="J162" s="49">
        <f>VLOOKUP($A162,'Data shares'!$C:$FB,58)</f>
        <v>1633875</v>
      </c>
      <c r="K162" s="49">
        <f>VLOOKUP($A162,'Data shares'!$C:$FB,59)</f>
        <v>540975</v>
      </c>
      <c r="L162" s="50">
        <f>VLOOKUP($A162,'Data shares'!$C:$FB,61)*100</f>
        <v>202.02</v>
      </c>
      <c r="M162" s="49">
        <f>VLOOKUP($A162,'Data shares'!$C:$FB,62)</f>
        <v>559950</v>
      </c>
      <c r="N162" s="49">
        <f>VLOOKUP($A162,'Data shares'!$C:$FB,63)</f>
        <v>126975</v>
      </c>
      <c r="O162" s="140">
        <f>VLOOKUP($A162,'Data shares'!$C:$FB,65)*100</f>
        <v>340.99</v>
      </c>
    </row>
    <row r="163" spans="1:15" x14ac:dyDescent="0.25">
      <c r="A163" s="101" t="str">
        <f>'Data shares'!C158</f>
        <v>OIL</v>
      </c>
      <c r="B163" s="50">
        <f>VLOOKUP($A163,'Data shares'!$C:$FB,7)</f>
        <v>408</v>
      </c>
      <c r="C163" s="50">
        <f>VLOOKUP($A163,'Data shares'!$C:$FB,10)*100</f>
        <v>-0.02</v>
      </c>
      <c r="D163" s="49">
        <f>VLOOKUP($A163,'Data shares'!$C:$FB,66)</f>
        <v>8443400</v>
      </c>
      <c r="E163" s="49">
        <f>VLOOKUP($A163,'Data shares'!$C:$FB,67)</f>
        <v>7855400</v>
      </c>
      <c r="F163" s="50">
        <f>VLOOKUP($A163,'Data shares'!$C:$FB,69)*100</f>
        <v>7.4899999999999993</v>
      </c>
      <c r="G163" s="49">
        <f>VLOOKUP($A163,'Data shares'!$C:$FB,42)</f>
        <v>3263400</v>
      </c>
      <c r="H163" s="49">
        <f>VLOOKUP($A163,'Data shares'!$C:$FB,43)</f>
        <v>1584800</v>
      </c>
      <c r="I163" s="50">
        <f>VLOOKUP($A163,'Data shares'!$C:$FB,45)*100</f>
        <v>105.91999999999999</v>
      </c>
      <c r="J163" s="49">
        <f>VLOOKUP($A163,'Data shares'!$C:$FB,58)</f>
        <v>3612000</v>
      </c>
      <c r="K163" s="49">
        <f>VLOOKUP($A163,'Data shares'!$C:$FB,59)</f>
        <v>4529000</v>
      </c>
      <c r="L163" s="50">
        <f>VLOOKUP($A163,'Data shares'!$C:$FB,61)*100</f>
        <v>-20.25</v>
      </c>
      <c r="M163" s="49">
        <f>VLOOKUP($A163,'Data shares'!$C:$FB,62)</f>
        <v>1568000</v>
      </c>
      <c r="N163" s="49">
        <f>VLOOKUP($A163,'Data shares'!$C:$FB,63)</f>
        <v>1741600</v>
      </c>
      <c r="O163" s="140">
        <f>VLOOKUP($A163,'Data shares'!$C:$FB,65)*100</f>
        <v>-9.9699999999999989</v>
      </c>
    </row>
    <row r="164" spans="1:15" x14ac:dyDescent="0.25">
      <c r="A164" s="101" t="str">
        <f>'Data shares'!C159</f>
        <v>ONGC</v>
      </c>
      <c r="B164" s="50">
        <f>VLOOKUP($A164,'Data shares'!$C:$FB,7)</f>
        <v>237.93</v>
      </c>
      <c r="C164" s="50">
        <f>VLOOKUP($A164,'Data shares'!$C:$FB,10)*100</f>
        <v>0</v>
      </c>
      <c r="D164" s="49">
        <f>VLOOKUP($A164,'Data shares'!$C:$FB,66)</f>
        <v>63893250</v>
      </c>
      <c r="E164" s="49">
        <f>VLOOKUP($A164,'Data shares'!$C:$FB,67)</f>
        <v>45033750</v>
      </c>
      <c r="F164" s="50">
        <f>VLOOKUP($A164,'Data shares'!$C:$FB,69)*100</f>
        <v>41.88</v>
      </c>
      <c r="G164" s="49">
        <f>VLOOKUP($A164,'Data shares'!$C:$FB,42)</f>
        <v>7391250</v>
      </c>
      <c r="H164" s="49">
        <f>VLOOKUP($A164,'Data shares'!$C:$FB,43)</f>
        <v>7431750</v>
      </c>
      <c r="I164" s="50">
        <f>VLOOKUP($A164,'Data shares'!$C:$FB,45)*100</f>
        <v>-0.54</v>
      </c>
      <c r="J164" s="49">
        <f>VLOOKUP($A164,'Data shares'!$C:$FB,58)</f>
        <v>41125500</v>
      </c>
      <c r="K164" s="49">
        <f>VLOOKUP($A164,'Data shares'!$C:$FB,59)</f>
        <v>24579000</v>
      </c>
      <c r="L164" s="50">
        <f>VLOOKUP($A164,'Data shares'!$C:$FB,61)*100</f>
        <v>67.320000000000007</v>
      </c>
      <c r="M164" s="49">
        <f>VLOOKUP($A164,'Data shares'!$C:$FB,62)</f>
        <v>15376500</v>
      </c>
      <c r="N164" s="49">
        <f>VLOOKUP($A164,'Data shares'!$C:$FB,63)</f>
        <v>13023000</v>
      </c>
      <c r="O164" s="140">
        <f>VLOOKUP($A164,'Data shares'!$C:$FB,65)*100</f>
        <v>18.07</v>
      </c>
    </row>
    <row r="165" spans="1:15" x14ac:dyDescent="0.25">
      <c r="A165" s="101" t="str">
        <f>'Data shares'!C160</f>
        <v>PAGEIND</v>
      </c>
      <c r="B165" s="50">
        <f>VLOOKUP($A165,'Data shares'!$C:$FB,7)</f>
        <v>45385</v>
      </c>
      <c r="C165" s="50">
        <f>VLOOKUP($A165,'Data shares'!$C:$FB,10)*100</f>
        <v>-0.55999999999999994</v>
      </c>
      <c r="D165" s="49">
        <f>VLOOKUP($A165,'Data shares'!$C:$FB,66)</f>
        <v>244950</v>
      </c>
      <c r="E165" s="49">
        <f>VLOOKUP($A165,'Data shares'!$C:$FB,67)</f>
        <v>346710</v>
      </c>
      <c r="F165" s="50">
        <f>VLOOKUP($A165,'Data shares'!$C:$FB,69)*100</f>
        <v>-29.349999999999998</v>
      </c>
      <c r="G165" s="49">
        <f>VLOOKUP($A165,'Data shares'!$C:$FB,42)</f>
        <v>38325</v>
      </c>
      <c r="H165" s="49">
        <f>VLOOKUP($A165,'Data shares'!$C:$FB,43)</f>
        <v>36810</v>
      </c>
      <c r="I165" s="50">
        <f>VLOOKUP($A165,'Data shares'!$C:$FB,45)*100</f>
        <v>4.12</v>
      </c>
      <c r="J165" s="49">
        <f>VLOOKUP($A165,'Data shares'!$C:$FB,58)</f>
        <v>136395</v>
      </c>
      <c r="K165" s="49">
        <f>VLOOKUP($A165,'Data shares'!$C:$FB,59)</f>
        <v>213930</v>
      </c>
      <c r="L165" s="50">
        <f>VLOOKUP($A165,'Data shares'!$C:$FB,61)*100</f>
        <v>-36.24</v>
      </c>
      <c r="M165" s="49">
        <f>VLOOKUP($A165,'Data shares'!$C:$FB,62)</f>
        <v>70230</v>
      </c>
      <c r="N165" s="49">
        <f>VLOOKUP($A165,'Data shares'!$C:$FB,63)</f>
        <v>95970</v>
      </c>
      <c r="O165" s="140">
        <f>VLOOKUP($A165,'Data shares'!$C:$FB,65)*100</f>
        <v>-26.82</v>
      </c>
    </row>
    <row r="166" spans="1:15" x14ac:dyDescent="0.25">
      <c r="A166" s="101" t="str">
        <f>'Data shares'!C161</f>
        <v>PATANJALI</v>
      </c>
      <c r="B166" s="50">
        <f>VLOOKUP($A166,'Data shares'!$C:$FB,7)</f>
        <v>1813.8</v>
      </c>
      <c r="C166" s="50">
        <f>VLOOKUP($A166,'Data shares'!$C:$FB,10)*100</f>
        <v>1.34</v>
      </c>
      <c r="D166" s="49">
        <f>VLOOKUP($A166,'Data shares'!$C:$FB,66)</f>
        <v>6134700</v>
      </c>
      <c r="E166" s="49">
        <f>VLOOKUP($A166,'Data shares'!$C:$FB,67)</f>
        <v>6315600</v>
      </c>
      <c r="F166" s="50">
        <f>VLOOKUP($A166,'Data shares'!$C:$FB,69)*100</f>
        <v>-2.86</v>
      </c>
      <c r="G166" s="49">
        <f>VLOOKUP($A166,'Data shares'!$C:$FB,42)</f>
        <v>1713300</v>
      </c>
      <c r="H166" s="49">
        <f>VLOOKUP($A166,'Data shares'!$C:$FB,43)</f>
        <v>2938200</v>
      </c>
      <c r="I166" s="50">
        <f>VLOOKUP($A166,'Data shares'!$C:$FB,45)*100</f>
        <v>-41.69</v>
      </c>
      <c r="J166" s="49">
        <f>VLOOKUP($A166,'Data shares'!$C:$FB,58)</f>
        <v>3449100</v>
      </c>
      <c r="K166" s="49">
        <f>VLOOKUP($A166,'Data shares'!$C:$FB,59)</f>
        <v>2278500</v>
      </c>
      <c r="L166" s="50">
        <f>VLOOKUP($A166,'Data shares'!$C:$FB,61)*100</f>
        <v>51.38</v>
      </c>
      <c r="M166" s="49">
        <f>VLOOKUP($A166,'Data shares'!$C:$FB,62)</f>
        <v>972300</v>
      </c>
      <c r="N166" s="49">
        <f>VLOOKUP($A166,'Data shares'!$C:$FB,63)</f>
        <v>1098900</v>
      </c>
      <c r="O166" s="140">
        <f>VLOOKUP($A166,'Data shares'!$C:$FB,65)*100</f>
        <v>-11.52</v>
      </c>
    </row>
    <row r="167" spans="1:15" x14ac:dyDescent="0.25">
      <c r="A167" s="101" t="str">
        <f>'Data shares'!C162</f>
        <v>PAYTM</v>
      </c>
      <c r="B167" s="50">
        <f>VLOOKUP($A167,'Data shares'!$C:$FB,7)</f>
        <v>1248</v>
      </c>
      <c r="C167" s="50">
        <f>VLOOKUP($A167,'Data shares'!$C:$FB,10)*100</f>
        <v>1.78</v>
      </c>
      <c r="D167" s="49">
        <f>VLOOKUP($A167,'Data shares'!$C:$FB,66)</f>
        <v>87068150</v>
      </c>
      <c r="E167" s="49">
        <f>VLOOKUP($A167,'Data shares'!$C:$FB,67)</f>
        <v>120800950</v>
      </c>
      <c r="F167" s="50">
        <f>VLOOKUP($A167,'Data shares'!$C:$FB,69)*100</f>
        <v>-27.92</v>
      </c>
      <c r="G167" s="49">
        <f>VLOOKUP($A167,'Data shares'!$C:$FB,42)</f>
        <v>9148775</v>
      </c>
      <c r="H167" s="49">
        <f>VLOOKUP($A167,'Data shares'!$C:$FB,43)</f>
        <v>14678350</v>
      </c>
      <c r="I167" s="50">
        <f>VLOOKUP($A167,'Data shares'!$C:$FB,45)*100</f>
        <v>-37.669999999999995</v>
      </c>
      <c r="J167" s="49">
        <f>VLOOKUP($A167,'Data shares'!$C:$FB,58)</f>
        <v>53306350</v>
      </c>
      <c r="K167" s="49">
        <f>VLOOKUP($A167,'Data shares'!$C:$FB,59)</f>
        <v>73285900</v>
      </c>
      <c r="L167" s="50">
        <f>VLOOKUP($A167,'Data shares'!$C:$FB,61)*100</f>
        <v>-27.26</v>
      </c>
      <c r="M167" s="49">
        <f>VLOOKUP($A167,'Data shares'!$C:$FB,62)</f>
        <v>24613025</v>
      </c>
      <c r="N167" s="49">
        <f>VLOOKUP($A167,'Data shares'!$C:$FB,63)</f>
        <v>32836700</v>
      </c>
      <c r="O167" s="140">
        <f>VLOOKUP($A167,'Data shares'!$C:$FB,65)*100</f>
        <v>-25.040000000000003</v>
      </c>
    </row>
    <row r="168" spans="1:15" x14ac:dyDescent="0.25">
      <c r="A168" s="101" t="str">
        <f>'Data shares'!C163</f>
        <v>PERSISTENT</v>
      </c>
      <c r="B168" s="50">
        <f>VLOOKUP($A168,'Data shares'!$C:$FB,7)</f>
        <v>5345</v>
      </c>
      <c r="C168" s="50">
        <f>VLOOKUP($A168,'Data shares'!$C:$FB,10)*100</f>
        <v>2.0699999999999998</v>
      </c>
      <c r="D168" s="49">
        <f>VLOOKUP($A168,'Data shares'!$C:$FB,66)</f>
        <v>7317500</v>
      </c>
      <c r="E168" s="49">
        <f>VLOOKUP($A168,'Data shares'!$C:$FB,67)</f>
        <v>3029300</v>
      </c>
      <c r="F168" s="50">
        <f>VLOOKUP($A168,'Data shares'!$C:$FB,69)*100</f>
        <v>141.56</v>
      </c>
      <c r="G168" s="49">
        <f>VLOOKUP($A168,'Data shares'!$C:$FB,42)</f>
        <v>913500</v>
      </c>
      <c r="H168" s="49">
        <f>VLOOKUP($A168,'Data shares'!$C:$FB,43)</f>
        <v>428600</v>
      </c>
      <c r="I168" s="50">
        <f>VLOOKUP($A168,'Data shares'!$C:$FB,45)*100</f>
        <v>113.14</v>
      </c>
      <c r="J168" s="49">
        <f>VLOOKUP($A168,'Data shares'!$C:$FB,58)</f>
        <v>4668100</v>
      </c>
      <c r="K168" s="49">
        <f>VLOOKUP($A168,'Data shares'!$C:$FB,59)</f>
        <v>1956100</v>
      </c>
      <c r="L168" s="50">
        <f>VLOOKUP($A168,'Data shares'!$C:$FB,61)*100</f>
        <v>138.64000000000001</v>
      </c>
      <c r="M168" s="49">
        <f>VLOOKUP($A168,'Data shares'!$C:$FB,62)</f>
        <v>1735900</v>
      </c>
      <c r="N168" s="49">
        <f>VLOOKUP($A168,'Data shares'!$C:$FB,63)</f>
        <v>644600</v>
      </c>
      <c r="O168" s="140">
        <f>VLOOKUP($A168,'Data shares'!$C:$FB,65)*100</f>
        <v>169.3</v>
      </c>
    </row>
    <row r="169" spans="1:15" x14ac:dyDescent="0.25">
      <c r="A169" s="101" t="str">
        <f>'Data shares'!C164</f>
        <v>PETRONET</v>
      </c>
      <c r="B169" s="50">
        <f>VLOOKUP($A169,'Data shares'!$C:$FB,7)</f>
        <v>280.14999999999998</v>
      </c>
      <c r="C169" s="50">
        <f>VLOOKUP($A169,'Data shares'!$C:$FB,10)*100</f>
        <v>-0.97</v>
      </c>
      <c r="D169" s="49">
        <f>VLOOKUP($A169,'Data shares'!$C:$FB,66)</f>
        <v>14790600</v>
      </c>
      <c r="E169" s="49">
        <f>VLOOKUP($A169,'Data shares'!$C:$FB,67)</f>
        <v>36810000</v>
      </c>
      <c r="F169" s="50">
        <f>VLOOKUP($A169,'Data shares'!$C:$FB,69)*100</f>
        <v>-59.819999999999993</v>
      </c>
      <c r="G169" s="49">
        <f>VLOOKUP($A169,'Data shares'!$C:$FB,42)</f>
        <v>3313800</v>
      </c>
      <c r="H169" s="49">
        <f>VLOOKUP($A169,'Data shares'!$C:$FB,43)</f>
        <v>5545800</v>
      </c>
      <c r="I169" s="50">
        <f>VLOOKUP($A169,'Data shares'!$C:$FB,45)*100</f>
        <v>-40.25</v>
      </c>
      <c r="J169" s="49">
        <f>VLOOKUP($A169,'Data shares'!$C:$FB,58)</f>
        <v>5043600</v>
      </c>
      <c r="K169" s="49">
        <f>VLOOKUP($A169,'Data shares'!$C:$FB,59)</f>
        <v>19429200</v>
      </c>
      <c r="L169" s="50">
        <f>VLOOKUP($A169,'Data shares'!$C:$FB,61)*100</f>
        <v>-74.039999999999992</v>
      </c>
      <c r="M169" s="49">
        <f>VLOOKUP($A169,'Data shares'!$C:$FB,62)</f>
        <v>6433200</v>
      </c>
      <c r="N169" s="49">
        <f>VLOOKUP($A169,'Data shares'!$C:$FB,63)</f>
        <v>11835000</v>
      </c>
      <c r="O169" s="140">
        <f>VLOOKUP($A169,'Data shares'!$C:$FB,65)*100</f>
        <v>-45.64</v>
      </c>
    </row>
    <row r="170" spans="1:15" x14ac:dyDescent="0.25">
      <c r="A170" s="101" t="str">
        <f>'Data shares'!C165</f>
        <v>PFC</v>
      </c>
      <c r="B170" s="50">
        <f>VLOOKUP($A170,'Data shares'!$C:$FB,7)</f>
        <v>403.4</v>
      </c>
      <c r="C170" s="50">
        <f>VLOOKUP($A170,'Data shares'!$C:$FB,10)*100</f>
        <v>-1.6099999999999999</v>
      </c>
      <c r="D170" s="49">
        <f>VLOOKUP($A170,'Data shares'!$C:$FB,66)</f>
        <v>64645100</v>
      </c>
      <c r="E170" s="49">
        <f>VLOOKUP($A170,'Data shares'!$C:$FB,67)</f>
        <v>43676100</v>
      </c>
      <c r="F170" s="50">
        <f>VLOOKUP($A170,'Data shares'!$C:$FB,69)*100</f>
        <v>48.010000000000005</v>
      </c>
      <c r="G170" s="49">
        <f>VLOOKUP($A170,'Data shares'!$C:$FB,42)</f>
        <v>14586000</v>
      </c>
      <c r="H170" s="49">
        <f>VLOOKUP($A170,'Data shares'!$C:$FB,43)</f>
        <v>7386600</v>
      </c>
      <c r="I170" s="50">
        <f>VLOOKUP($A170,'Data shares'!$C:$FB,45)*100</f>
        <v>97.47</v>
      </c>
      <c r="J170" s="49">
        <f>VLOOKUP($A170,'Data shares'!$C:$FB,58)</f>
        <v>32224400</v>
      </c>
      <c r="K170" s="49">
        <f>VLOOKUP($A170,'Data shares'!$C:$FB,59)</f>
        <v>24173500</v>
      </c>
      <c r="L170" s="50">
        <f>VLOOKUP($A170,'Data shares'!$C:$FB,61)*100</f>
        <v>33.300000000000004</v>
      </c>
      <c r="M170" s="49">
        <f>VLOOKUP($A170,'Data shares'!$C:$FB,62)</f>
        <v>17834700</v>
      </c>
      <c r="N170" s="49">
        <f>VLOOKUP($A170,'Data shares'!$C:$FB,63)</f>
        <v>12116000</v>
      </c>
      <c r="O170" s="140">
        <f>VLOOKUP($A170,'Data shares'!$C:$FB,65)*100</f>
        <v>47.199999999999996</v>
      </c>
    </row>
    <row r="171" spans="1:15" x14ac:dyDescent="0.25">
      <c r="A171" s="101" t="str">
        <f>'Data shares'!C166</f>
        <v>PGEL</v>
      </c>
      <c r="B171" s="50">
        <f>VLOOKUP($A171,'Data shares'!$C:$FB,7)</f>
        <v>536.6</v>
      </c>
      <c r="C171" s="50">
        <f>VLOOKUP($A171,'Data shares'!$C:$FB,10)*100</f>
        <v>-0.67999999999999994</v>
      </c>
      <c r="D171" s="49">
        <f>VLOOKUP($A171,'Data shares'!$C:$FB,66)</f>
        <v>134081500</v>
      </c>
      <c r="E171" s="49">
        <f>VLOOKUP($A171,'Data shares'!$C:$FB,67)</f>
        <v>2342900</v>
      </c>
      <c r="F171" s="50">
        <f>VLOOKUP($A171,'Data shares'!$C:$FB,69)*100</f>
        <v>5622.89</v>
      </c>
      <c r="G171" s="49">
        <f>VLOOKUP($A171,'Data shares'!$C:$FB,42)</f>
        <v>17905300</v>
      </c>
      <c r="H171" s="49">
        <f>VLOOKUP($A171,'Data shares'!$C:$FB,43)</f>
        <v>713300</v>
      </c>
      <c r="I171" s="50">
        <f>VLOOKUP($A171,'Data shares'!$C:$FB,45)*100</f>
        <v>2410.21</v>
      </c>
      <c r="J171" s="49">
        <f>VLOOKUP($A171,'Data shares'!$C:$FB,58)</f>
        <v>82518800</v>
      </c>
      <c r="K171" s="49">
        <f>VLOOKUP($A171,'Data shares'!$C:$FB,59)</f>
        <v>1154300</v>
      </c>
      <c r="L171" s="50">
        <f>VLOOKUP($A171,'Data shares'!$C:$FB,61)*100</f>
        <v>7048.8200000000006</v>
      </c>
      <c r="M171" s="49">
        <f>VLOOKUP($A171,'Data shares'!$C:$FB,62)</f>
        <v>33657400</v>
      </c>
      <c r="N171" s="49">
        <f>VLOOKUP($A171,'Data shares'!$C:$FB,63)</f>
        <v>475300</v>
      </c>
      <c r="O171" s="140">
        <f>VLOOKUP($A171,'Data shares'!$C:$FB,65)*100</f>
        <v>6981.3</v>
      </c>
    </row>
    <row r="172" spans="1:15" x14ac:dyDescent="0.25">
      <c r="A172" s="101" t="str">
        <f>'Data shares'!C167</f>
        <v>PHOENIXLTD</v>
      </c>
      <c r="B172" s="50">
        <f>VLOOKUP($A172,'Data shares'!$C:$FB,7)</f>
        <v>1563.5</v>
      </c>
      <c r="C172" s="50">
        <f>VLOOKUP($A172,'Data shares'!$C:$FB,10)*100</f>
        <v>4</v>
      </c>
      <c r="D172" s="49">
        <f>VLOOKUP($A172,'Data shares'!$C:$FB,66)</f>
        <v>7923650</v>
      </c>
      <c r="E172" s="49">
        <f>VLOOKUP($A172,'Data shares'!$C:$FB,67)</f>
        <v>2130100</v>
      </c>
      <c r="F172" s="50">
        <f>VLOOKUP($A172,'Data shares'!$C:$FB,69)*100</f>
        <v>271.98</v>
      </c>
      <c r="G172" s="49">
        <f>VLOOKUP($A172,'Data shares'!$C:$FB,42)</f>
        <v>1568000</v>
      </c>
      <c r="H172" s="49">
        <f>VLOOKUP($A172,'Data shares'!$C:$FB,43)</f>
        <v>593600</v>
      </c>
      <c r="I172" s="50">
        <f>VLOOKUP($A172,'Data shares'!$C:$FB,45)*100</f>
        <v>164.15</v>
      </c>
      <c r="J172" s="49">
        <f>VLOOKUP($A172,'Data shares'!$C:$FB,58)</f>
        <v>4840850</v>
      </c>
      <c r="K172" s="49">
        <f>VLOOKUP($A172,'Data shares'!$C:$FB,59)</f>
        <v>1079400</v>
      </c>
      <c r="L172" s="50">
        <f>VLOOKUP($A172,'Data shares'!$C:$FB,61)*100</f>
        <v>348.48</v>
      </c>
      <c r="M172" s="49">
        <f>VLOOKUP($A172,'Data shares'!$C:$FB,62)</f>
        <v>1514800</v>
      </c>
      <c r="N172" s="49">
        <f>VLOOKUP($A172,'Data shares'!$C:$FB,63)</f>
        <v>457100</v>
      </c>
      <c r="O172" s="140">
        <f>VLOOKUP($A172,'Data shares'!$C:$FB,65)*100</f>
        <v>231.39</v>
      </c>
    </row>
    <row r="173" spans="1:15" x14ac:dyDescent="0.25">
      <c r="A173" s="101" t="str">
        <f>'Data shares'!C168</f>
        <v>PIDILITIND</v>
      </c>
      <c r="B173" s="50">
        <f>VLOOKUP($A173,'Data shares'!$C:$FB,7)</f>
        <v>3084.6</v>
      </c>
      <c r="C173" s="50">
        <f>VLOOKUP($A173,'Data shares'!$C:$FB,10)*100</f>
        <v>-0.33999999999999997</v>
      </c>
      <c r="D173" s="49">
        <f>VLOOKUP($A173,'Data shares'!$C:$FB,66)</f>
        <v>1066500</v>
      </c>
      <c r="E173" s="49">
        <f>VLOOKUP($A173,'Data shares'!$C:$FB,67)</f>
        <v>2163250</v>
      </c>
      <c r="F173" s="50">
        <f>VLOOKUP($A173,'Data shares'!$C:$FB,69)*100</f>
        <v>-50.7</v>
      </c>
      <c r="G173" s="49">
        <f>VLOOKUP($A173,'Data shares'!$C:$FB,42)</f>
        <v>253250</v>
      </c>
      <c r="H173" s="49">
        <f>VLOOKUP($A173,'Data shares'!$C:$FB,43)</f>
        <v>396500</v>
      </c>
      <c r="I173" s="50">
        <f>VLOOKUP($A173,'Data shares'!$C:$FB,45)*100</f>
        <v>-36.130000000000003</v>
      </c>
      <c r="J173" s="49">
        <f>VLOOKUP($A173,'Data shares'!$C:$FB,58)</f>
        <v>629000</v>
      </c>
      <c r="K173" s="49">
        <f>VLOOKUP($A173,'Data shares'!$C:$FB,59)</f>
        <v>1300500</v>
      </c>
      <c r="L173" s="50">
        <f>VLOOKUP($A173,'Data shares'!$C:$FB,61)*100</f>
        <v>-51.629999999999995</v>
      </c>
      <c r="M173" s="49">
        <f>VLOOKUP($A173,'Data shares'!$C:$FB,62)</f>
        <v>184250</v>
      </c>
      <c r="N173" s="49">
        <f>VLOOKUP($A173,'Data shares'!$C:$FB,63)</f>
        <v>466250</v>
      </c>
      <c r="O173" s="140">
        <f>VLOOKUP($A173,'Data shares'!$C:$FB,65)*100</f>
        <v>-60.480000000000004</v>
      </c>
    </row>
    <row r="174" spans="1:15" x14ac:dyDescent="0.25">
      <c r="A174" s="101" t="str">
        <f>'Data shares'!C169</f>
        <v>PIIND</v>
      </c>
      <c r="B174" s="50">
        <f>VLOOKUP($A174,'Data shares'!$C:$FB,7)</f>
        <v>3796.8</v>
      </c>
      <c r="C174" s="50">
        <f>VLOOKUP($A174,'Data shares'!$C:$FB,10)*100</f>
        <v>0.84</v>
      </c>
      <c r="D174" s="49">
        <f>VLOOKUP($A174,'Data shares'!$C:$FB,66)</f>
        <v>1768900</v>
      </c>
      <c r="E174" s="49">
        <f>VLOOKUP($A174,'Data shares'!$C:$FB,67)</f>
        <v>1367450</v>
      </c>
      <c r="F174" s="50">
        <f>VLOOKUP($A174,'Data shares'!$C:$FB,69)*100</f>
        <v>29.360000000000003</v>
      </c>
      <c r="G174" s="49">
        <f>VLOOKUP($A174,'Data shares'!$C:$FB,42)</f>
        <v>384650</v>
      </c>
      <c r="H174" s="49">
        <f>VLOOKUP($A174,'Data shares'!$C:$FB,43)</f>
        <v>246575</v>
      </c>
      <c r="I174" s="50">
        <f>VLOOKUP($A174,'Data shares'!$C:$FB,45)*100</f>
        <v>56.000000000000007</v>
      </c>
      <c r="J174" s="49">
        <f>VLOOKUP($A174,'Data shares'!$C:$FB,58)</f>
        <v>1083950</v>
      </c>
      <c r="K174" s="49">
        <f>VLOOKUP($A174,'Data shares'!$C:$FB,59)</f>
        <v>765975</v>
      </c>
      <c r="L174" s="50">
        <f>VLOOKUP($A174,'Data shares'!$C:$FB,61)*100</f>
        <v>41.510000000000005</v>
      </c>
      <c r="M174" s="49">
        <f>VLOOKUP($A174,'Data shares'!$C:$FB,62)</f>
        <v>300300</v>
      </c>
      <c r="N174" s="49">
        <f>VLOOKUP($A174,'Data shares'!$C:$FB,63)</f>
        <v>354900</v>
      </c>
      <c r="O174" s="140">
        <f>VLOOKUP($A174,'Data shares'!$C:$FB,65)*100</f>
        <v>-15.379999999999999</v>
      </c>
    </row>
    <row r="175" spans="1:15" x14ac:dyDescent="0.25">
      <c r="A175" s="101" t="str">
        <f>'Data shares'!C170</f>
        <v>PNB</v>
      </c>
      <c r="B175" s="50">
        <f>VLOOKUP($A175,'Data shares'!$C:$FB,7)</f>
        <v>107.11</v>
      </c>
      <c r="C175" s="50">
        <f>VLOOKUP($A175,'Data shares'!$C:$FB,10)*100</f>
        <v>-0.73</v>
      </c>
      <c r="D175" s="49">
        <f>VLOOKUP($A175,'Data shares'!$C:$FB,66)</f>
        <v>176560000</v>
      </c>
      <c r="E175" s="49">
        <f>VLOOKUP($A175,'Data shares'!$C:$FB,67)</f>
        <v>197320000</v>
      </c>
      <c r="F175" s="50">
        <f>VLOOKUP($A175,'Data shares'!$C:$FB,69)*100</f>
        <v>-10.52</v>
      </c>
      <c r="G175" s="49">
        <f>VLOOKUP($A175,'Data shares'!$C:$FB,42)</f>
        <v>36704000</v>
      </c>
      <c r="H175" s="49">
        <f>VLOOKUP($A175,'Data shares'!$C:$FB,43)</f>
        <v>41160000</v>
      </c>
      <c r="I175" s="50">
        <f>VLOOKUP($A175,'Data shares'!$C:$FB,45)*100</f>
        <v>-10.83</v>
      </c>
      <c r="J175" s="49">
        <f>VLOOKUP($A175,'Data shares'!$C:$FB,58)</f>
        <v>88264000</v>
      </c>
      <c r="K175" s="49">
        <f>VLOOKUP($A175,'Data shares'!$C:$FB,59)</f>
        <v>99048000</v>
      </c>
      <c r="L175" s="50">
        <f>VLOOKUP($A175,'Data shares'!$C:$FB,61)*100</f>
        <v>-10.89</v>
      </c>
      <c r="M175" s="49">
        <f>VLOOKUP($A175,'Data shares'!$C:$FB,62)</f>
        <v>51592000</v>
      </c>
      <c r="N175" s="49">
        <f>VLOOKUP($A175,'Data shares'!$C:$FB,63)</f>
        <v>57112000</v>
      </c>
      <c r="O175" s="140">
        <f>VLOOKUP($A175,'Data shares'!$C:$FB,65)*100</f>
        <v>-9.67</v>
      </c>
    </row>
    <row r="176" spans="1:15" x14ac:dyDescent="0.25">
      <c r="A176" s="101" t="str">
        <f>'Data shares'!C171</f>
        <v>PNBHOUSING</v>
      </c>
      <c r="B176" s="50">
        <f>VLOOKUP($A176,'Data shares'!$C:$FB,7)</f>
        <v>808.45</v>
      </c>
      <c r="C176" s="50">
        <f>VLOOKUP($A176,'Data shares'!$C:$FB,10)*100</f>
        <v>-1.1299999999999999</v>
      </c>
      <c r="D176" s="49">
        <f>VLOOKUP($A176,'Data shares'!$C:$FB,66)</f>
        <v>18549700</v>
      </c>
      <c r="E176" s="49">
        <f>VLOOKUP($A176,'Data shares'!$C:$FB,67)</f>
        <v>65846950</v>
      </c>
      <c r="F176" s="50">
        <f>VLOOKUP($A176,'Data shares'!$C:$FB,69)*100</f>
        <v>-71.83</v>
      </c>
      <c r="G176" s="49">
        <f>VLOOKUP($A176,'Data shares'!$C:$FB,42)</f>
        <v>3560050</v>
      </c>
      <c r="H176" s="49">
        <f>VLOOKUP($A176,'Data shares'!$C:$FB,43)</f>
        <v>11729250</v>
      </c>
      <c r="I176" s="50">
        <f>VLOOKUP($A176,'Data shares'!$C:$FB,45)*100</f>
        <v>-69.650000000000006</v>
      </c>
      <c r="J176" s="49">
        <f>VLOOKUP($A176,'Data shares'!$C:$FB,58)</f>
        <v>10870600</v>
      </c>
      <c r="K176" s="49">
        <f>VLOOKUP($A176,'Data shares'!$C:$FB,59)</f>
        <v>40032200</v>
      </c>
      <c r="L176" s="50">
        <f>VLOOKUP($A176,'Data shares'!$C:$FB,61)*100</f>
        <v>-72.850000000000009</v>
      </c>
      <c r="M176" s="49">
        <f>VLOOKUP($A176,'Data shares'!$C:$FB,62)</f>
        <v>4119050</v>
      </c>
      <c r="N176" s="49">
        <f>VLOOKUP($A176,'Data shares'!$C:$FB,63)</f>
        <v>14085500</v>
      </c>
      <c r="O176" s="140">
        <f>VLOOKUP($A176,'Data shares'!$C:$FB,65)*100</f>
        <v>-70.760000000000005</v>
      </c>
    </row>
    <row r="177" spans="1:15" x14ac:dyDescent="0.25">
      <c r="A177" s="101" t="str">
        <f>'Data shares'!C172</f>
        <v>POLICYBZR</v>
      </c>
      <c r="B177" s="50">
        <f>VLOOKUP($A177,'Data shares'!$C:$FB,7)</f>
        <v>1921.8</v>
      </c>
      <c r="C177" s="50">
        <f>VLOOKUP($A177,'Data shares'!$C:$FB,10)*100</f>
        <v>0.41000000000000003</v>
      </c>
      <c r="D177" s="49">
        <f>VLOOKUP($A177,'Data shares'!$C:$FB,66)</f>
        <v>4113200</v>
      </c>
      <c r="E177" s="49">
        <f>VLOOKUP($A177,'Data shares'!$C:$FB,67)</f>
        <v>4594450</v>
      </c>
      <c r="F177" s="50">
        <f>VLOOKUP($A177,'Data shares'!$C:$FB,69)*100</f>
        <v>-10.47</v>
      </c>
      <c r="G177" s="49">
        <f>VLOOKUP($A177,'Data shares'!$C:$FB,42)</f>
        <v>1033900</v>
      </c>
      <c r="H177" s="49">
        <f>VLOOKUP($A177,'Data shares'!$C:$FB,43)</f>
        <v>1145900</v>
      </c>
      <c r="I177" s="50">
        <f>VLOOKUP($A177,'Data shares'!$C:$FB,45)*100</f>
        <v>-9.77</v>
      </c>
      <c r="J177" s="49">
        <f>VLOOKUP($A177,'Data shares'!$C:$FB,58)</f>
        <v>2292150</v>
      </c>
      <c r="K177" s="49">
        <f>VLOOKUP($A177,'Data shares'!$C:$FB,59)</f>
        <v>2576000</v>
      </c>
      <c r="L177" s="50">
        <f>VLOOKUP($A177,'Data shares'!$C:$FB,61)*100</f>
        <v>-11.020000000000001</v>
      </c>
      <c r="M177" s="49">
        <f>VLOOKUP($A177,'Data shares'!$C:$FB,62)</f>
        <v>787150</v>
      </c>
      <c r="N177" s="49">
        <f>VLOOKUP($A177,'Data shares'!$C:$FB,63)</f>
        <v>872550</v>
      </c>
      <c r="O177" s="140">
        <f>VLOOKUP($A177,'Data shares'!$C:$FB,65)*100</f>
        <v>-9.7900000000000009</v>
      </c>
    </row>
    <row r="178" spans="1:15" x14ac:dyDescent="0.25">
      <c r="A178" s="101" t="str">
        <f>'Data shares'!C173</f>
        <v>POLYCAB</v>
      </c>
      <c r="B178" s="50">
        <f>VLOOKUP($A178,'Data shares'!$C:$FB,7)</f>
        <v>7158</v>
      </c>
      <c r="C178" s="50">
        <f>VLOOKUP($A178,'Data shares'!$C:$FB,10)*100</f>
        <v>0.57999999999999996</v>
      </c>
      <c r="D178" s="49">
        <f>VLOOKUP($A178,'Data shares'!$C:$FB,66)</f>
        <v>3430750</v>
      </c>
      <c r="E178" s="49">
        <f>VLOOKUP($A178,'Data shares'!$C:$FB,67)</f>
        <v>1999375</v>
      </c>
      <c r="F178" s="50">
        <f>VLOOKUP($A178,'Data shares'!$C:$FB,69)*100</f>
        <v>71.59</v>
      </c>
      <c r="G178" s="49">
        <f>VLOOKUP($A178,'Data shares'!$C:$FB,42)</f>
        <v>368625</v>
      </c>
      <c r="H178" s="49">
        <f>VLOOKUP($A178,'Data shares'!$C:$FB,43)</f>
        <v>266375</v>
      </c>
      <c r="I178" s="50">
        <f>VLOOKUP($A178,'Data shares'!$C:$FB,45)*100</f>
        <v>38.39</v>
      </c>
      <c r="J178" s="49">
        <f>VLOOKUP($A178,'Data shares'!$C:$FB,58)</f>
        <v>2225625</v>
      </c>
      <c r="K178" s="49">
        <f>VLOOKUP($A178,'Data shares'!$C:$FB,59)</f>
        <v>1139000</v>
      </c>
      <c r="L178" s="50">
        <f>VLOOKUP($A178,'Data shares'!$C:$FB,61)*100</f>
        <v>95.399999999999991</v>
      </c>
      <c r="M178" s="49">
        <f>VLOOKUP($A178,'Data shares'!$C:$FB,62)</f>
        <v>836500</v>
      </c>
      <c r="N178" s="49">
        <f>VLOOKUP($A178,'Data shares'!$C:$FB,63)</f>
        <v>594000</v>
      </c>
      <c r="O178" s="140">
        <f>VLOOKUP($A178,'Data shares'!$C:$FB,65)*100</f>
        <v>40.82</v>
      </c>
    </row>
    <row r="179" spans="1:15" x14ac:dyDescent="0.25">
      <c r="A179" s="101" t="str">
        <f>'Data shares'!C174</f>
        <v>POONAWALLA</v>
      </c>
      <c r="B179" s="50">
        <f>VLOOKUP($A179,'Data shares'!$C:$FB,7)</f>
        <v>462.8</v>
      </c>
      <c r="C179" s="50">
        <f>VLOOKUP($A179,'Data shares'!$C:$FB,10)*100</f>
        <v>-1.48</v>
      </c>
      <c r="D179" s="49">
        <f>VLOOKUP($A179,'Data shares'!$C:$FB,66)</f>
        <v>3196000</v>
      </c>
      <c r="E179" s="49">
        <f>VLOOKUP($A179,'Data shares'!$C:$FB,67)</f>
        <v>4421700</v>
      </c>
      <c r="F179" s="50">
        <f>VLOOKUP($A179,'Data shares'!$C:$FB,69)*100</f>
        <v>-27.72</v>
      </c>
      <c r="G179" s="49">
        <f>VLOOKUP($A179,'Data shares'!$C:$FB,42)</f>
        <v>778600</v>
      </c>
      <c r="H179" s="49">
        <f>VLOOKUP($A179,'Data shares'!$C:$FB,43)</f>
        <v>1395700</v>
      </c>
      <c r="I179" s="50">
        <f>VLOOKUP($A179,'Data shares'!$C:$FB,45)*100</f>
        <v>-44.21</v>
      </c>
      <c r="J179" s="49">
        <f>VLOOKUP($A179,'Data shares'!$C:$FB,58)</f>
        <v>1416100</v>
      </c>
      <c r="K179" s="49">
        <f>VLOOKUP($A179,'Data shares'!$C:$FB,59)</f>
        <v>2072300</v>
      </c>
      <c r="L179" s="50">
        <f>VLOOKUP($A179,'Data shares'!$C:$FB,61)*100</f>
        <v>-31.669999999999998</v>
      </c>
      <c r="M179" s="49">
        <f>VLOOKUP($A179,'Data shares'!$C:$FB,62)</f>
        <v>1001300</v>
      </c>
      <c r="N179" s="49">
        <f>VLOOKUP($A179,'Data shares'!$C:$FB,63)</f>
        <v>953700</v>
      </c>
      <c r="O179" s="140">
        <f>VLOOKUP($A179,'Data shares'!$C:$FB,65)*100</f>
        <v>4.99</v>
      </c>
    </row>
    <row r="180" spans="1:15" x14ac:dyDescent="0.25">
      <c r="A180" s="101" t="str">
        <f>'Data shares'!C175</f>
        <v>POWERGRID</v>
      </c>
      <c r="B180" s="50">
        <f>VLOOKUP($A180,'Data shares'!$C:$FB,7)</f>
        <v>288.39999999999998</v>
      </c>
      <c r="C180" s="50">
        <f>VLOOKUP($A180,'Data shares'!$C:$FB,10)*100</f>
        <v>0.13999999999999999</v>
      </c>
      <c r="D180" s="49">
        <f>VLOOKUP($A180,'Data shares'!$C:$FB,66)</f>
        <v>20491500</v>
      </c>
      <c r="E180" s="49">
        <f>VLOOKUP($A180,'Data shares'!$C:$FB,67)</f>
        <v>25137000</v>
      </c>
      <c r="F180" s="50">
        <f>VLOOKUP($A180,'Data shares'!$C:$FB,69)*100</f>
        <v>-18.48</v>
      </c>
      <c r="G180" s="49">
        <f>VLOOKUP($A180,'Data shares'!$C:$FB,42)</f>
        <v>5378900</v>
      </c>
      <c r="H180" s="49">
        <f>VLOOKUP($A180,'Data shares'!$C:$FB,43)</f>
        <v>4957100</v>
      </c>
      <c r="I180" s="50">
        <f>VLOOKUP($A180,'Data shares'!$C:$FB,45)*100</f>
        <v>8.51</v>
      </c>
      <c r="J180" s="49">
        <f>VLOOKUP($A180,'Data shares'!$C:$FB,58)</f>
        <v>10934500</v>
      </c>
      <c r="K180" s="49">
        <f>VLOOKUP($A180,'Data shares'!$C:$FB,59)</f>
        <v>13927000</v>
      </c>
      <c r="L180" s="50">
        <f>VLOOKUP($A180,'Data shares'!$C:$FB,61)*100</f>
        <v>-21.490000000000002</v>
      </c>
      <c r="M180" s="49">
        <f>VLOOKUP($A180,'Data shares'!$C:$FB,62)</f>
        <v>4178100</v>
      </c>
      <c r="N180" s="49">
        <f>VLOOKUP($A180,'Data shares'!$C:$FB,63)</f>
        <v>6252900</v>
      </c>
      <c r="O180" s="140">
        <f>VLOOKUP($A180,'Data shares'!$C:$FB,65)*100</f>
        <v>-33.18</v>
      </c>
    </row>
    <row r="181" spans="1:15" x14ac:dyDescent="0.25">
      <c r="A181" s="101" t="str">
        <f>'Data shares'!C176</f>
        <v>PPLPHARMA</v>
      </c>
      <c r="B181" s="50">
        <f>VLOOKUP($A181,'Data shares'!$C:$FB,7)</f>
        <v>191.79</v>
      </c>
      <c r="C181" s="50">
        <f>VLOOKUP($A181,'Data shares'!$C:$FB,10)*100</f>
        <v>-1.25</v>
      </c>
      <c r="D181" s="49">
        <f>VLOOKUP($A181,'Data shares'!$C:$FB,66)</f>
        <v>9427500</v>
      </c>
      <c r="E181" s="49">
        <f>VLOOKUP($A181,'Data shares'!$C:$FB,67)</f>
        <v>12430000</v>
      </c>
      <c r="F181" s="50">
        <f>VLOOKUP($A181,'Data shares'!$C:$FB,69)*100</f>
        <v>-24.16</v>
      </c>
      <c r="G181" s="49">
        <f>VLOOKUP($A181,'Data shares'!$C:$FB,42)</f>
        <v>2602500</v>
      </c>
      <c r="H181" s="49">
        <f>VLOOKUP($A181,'Data shares'!$C:$FB,43)</f>
        <v>2915000</v>
      </c>
      <c r="I181" s="50">
        <f>VLOOKUP($A181,'Data shares'!$C:$FB,45)*100</f>
        <v>-10.72</v>
      </c>
      <c r="J181" s="49">
        <f>VLOOKUP($A181,'Data shares'!$C:$FB,58)</f>
        <v>4352500</v>
      </c>
      <c r="K181" s="49">
        <f>VLOOKUP($A181,'Data shares'!$C:$FB,59)</f>
        <v>7102500</v>
      </c>
      <c r="L181" s="50">
        <f>VLOOKUP($A181,'Data shares'!$C:$FB,61)*100</f>
        <v>-38.72</v>
      </c>
      <c r="M181" s="49">
        <f>VLOOKUP($A181,'Data shares'!$C:$FB,62)</f>
        <v>2472500</v>
      </c>
      <c r="N181" s="49">
        <f>VLOOKUP($A181,'Data shares'!$C:$FB,63)</f>
        <v>2412500</v>
      </c>
      <c r="O181" s="140">
        <f>VLOOKUP($A181,'Data shares'!$C:$FB,65)*100</f>
        <v>2.4899999999999998</v>
      </c>
    </row>
    <row r="182" spans="1:15" x14ac:dyDescent="0.25">
      <c r="A182" s="101" t="str">
        <f>'Data shares'!C177</f>
        <v>PRESTIGE</v>
      </c>
      <c r="B182" s="50">
        <f>VLOOKUP($A182,'Data shares'!$C:$FB,7)</f>
        <v>1626.6</v>
      </c>
      <c r="C182" s="50">
        <f>VLOOKUP($A182,'Data shares'!$C:$FB,10)*100</f>
        <v>-0.6</v>
      </c>
      <c r="D182" s="49">
        <f>VLOOKUP($A182,'Data shares'!$C:$FB,66)</f>
        <v>2678850</v>
      </c>
      <c r="E182" s="49">
        <f>VLOOKUP($A182,'Data shares'!$C:$FB,67)</f>
        <v>4000050</v>
      </c>
      <c r="F182" s="50">
        <f>VLOOKUP($A182,'Data shares'!$C:$FB,69)*100</f>
        <v>-33.03</v>
      </c>
      <c r="G182" s="49">
        <f>VLOOKUP($A182,'Data shares'!$C:$FB,42)</f>
        <v>879750</v>
      </c>
      <c r="H182" s="49">
        <f>VLOOKUP($A182,'Data shares'!$C:$FB,43)</f>
        <v>828000</v>
      </c>
      <c r="I182" s="50">
        <f>VLOOKUP($A182,'Data shares'!$C:$FB,45)*100</f>
        <v>6.25</v>
      </c>
      <c r="J182" s="49">
        <f>VLOOKUP($A182,'Data shares'!$C:$FB,58)</f>
        <v>1404900</v>
      </c>
      <c r="K182" s="49">
        <f>VLOOKUP($A182,'Data shares'!$C:$FB,59)</f>
        <v>1636650</v>
      </c>
      <c r="L182" s="50">
        <f>VLOOKUP($A182,'Data shares'!$C:$FB,61)*100</f>
        <v>-14.16</v>
      </c>
      <c r="M182" s="49">
        <f>VLOOKUP($A182,'Data shares'!$C:$FB,62)</f>
        <v>394200</v>
      </c>
      <c r="N182" s="49">
        <f>VLOOKUP($A182,'Data shares'!$C:$FB,63)</f>
        <v>1535400</v>
      </c>
      <c r="O182" s="140">
        <f>VLOOKUP($A182,'Data shares'!$C:$FB,65)*100</f>
        <v>-74.33</v>
      </c>
    </row>
    <row r="183" spans="1:15" x14ac:dyDescent="0.25">
      <c r="A183" s="101" t="str">
        <f>'Data shares'!C178</f>
        <v>RBLBANK</v>
      </c>
      <c r="B183" s="50">
        <f>VLOOKUP($A183,'Data shares'!$C:$FB,7)</f>
        <v>256.60000000000002</v>
      </c>
      <c r="C183" s="50">
        <f>VLOOKUP($A183,'Data shares'!$C:$FB,10)*100</f>
        <v>-1.97</v>
      </c>
      <c r="D183" s="49">
        <f>VLOOKUP($A183,'Data shares'!$C:$FB,66)</f>
        <v>1511300</v>
      </c>
      <c r="E183" s="49">
        <f>VLOOKUP($A183,'Data shares'!$C:$FB,67)</f>
        <v>1489075</v>
      </c>
      <c r="F183" s="50">
        <f>VLOOKUP($A183,'Data shares'!$C:$FB,69)*100</f>
        <v>1.49</v>
      </c>
      <c r="G183" s="49">
        <f>VLOOKUP($A183,'Data shares'!$C:$FB,42)</f>
        <v>993775</v>
      </c>
      <c r="H183" s="49">
        <f>VLOOKUP($A183,'Data shares'!$C:$FB,43)</f>
        <v>1063625</v>
      </c>
      <c r="I183" s="50">
        <f>VLOOKUP($A183,'Data shares'!$C:$FB,45)*100</f>
        <v>-6.5699999999999994</v>
      </c>
      <c r="J183" s="49">
        <f>VLOOKUP($A183,'Data shares'!$C:$FB,58)</f>
        <v>438150</v>
      </c>
      <c r="K183" s="49">
        <f>VLOOKUP($A183,'Data shares'!$C:$FB,59)</f>
        <v>336550</v>
      </c>
      <c r="L183" s="50">
        <f>VLOOKUP($A183,'Data shares'!$C:$FB,61)*100</f>
        <v>30.19</v>
      </c>
      <c r="M183" s="49">
        <f>VLOOKUP($A183,'Data shares'!$C:$FB,62)</f>
        <v>79375</v>
      </c>
      <c r="N183" s="49">
        <f>VLOOKUP($A183,'Data shares'!$C:$FB,63)</f>
        <v>88900</v>
      </c>
      <c r="O183" s="140">
        <f>VLOOKUP($A183,'Data shares'!$C:$FB,65)*100</f>
        <v>-10.71</v>
      </c>
    </row>
    <row r="184" spans="1:15" x14ac:dyDescent="0.25">
      <c r="A184" s="101" t="str">
        <f>'Data shares'!C179</f>
        <v>RECLTD</v>
      </c>
      <c r="B184" s="50">
        <f>VLOOKUP($A184,'Data shares'!$C:$FB,7)</f>
        <v>380.85</v>
      </c>
      <c r="C184" s="50">
        <f>VLOOKUP($A184,'Data shares'!$C:$FB,10)*100</f>
        <v>-0.38</v>
      </c>
      <c r="D184" s="49">
        <f>VLOOKUP($A184,'Data shares'!$C:$FB,66)</f>
        <v>30763200</v>
      </c>
      <c r="E184" s="49">
        <f>VLOOKUP($A184,'Data shares'!$C:$FB,67)</f>
        <v>36297975</v>
      </c>
      <c r="F184" s="50">
        <f>VLOOKUP($A184,'Data shares'!$C:$FB,69)*100</f>
        <v>-15.25</v>
      </c>
      <c r="G184" s="49">
        <f>VLOOKUP($A184,'Data shares'!$C:$FB,42)</f>
        <v>8194425</v>
      </c>
      <c r="H184" s="49">
        <f>VLOOKUP($A184,'Data shares'!$C:$FB,43)</f>
        <v>8181675</v>
      </c>
      <c r="I184" s="50">
        <f>VLOOKUP($A184,'Data shares'!$C:$FB,45)*100</f>
        <v>0.16</v>
      </c>
      <c r="J184" s="49">
        <f>VLOOKUP($A184,'Data shares'!$C:$FB,58)</f>
        <v>15766650</v>
      </c>
      <c r="K184" s="49">
        <f>VLOOKUP($A184,'Data shares'!$C:$FB,59)</f>
        <v>20856450</v>
      </c>
      <c r="L184" s="50">
        <f>VLOOKUP($A184,'Data shares'!$C:$FB,61)*100</f>
        <v>-24.4</v>
      </c>
      <c r="M184" s="49">
        <f>VLOOKUP($A184,'Data shares'!$C:$FB,62)</f>
        <v>6802125</v>
      </c>
      <c r="N184" s="49">
        <f>VLOOKUP($A184,'Data shares'!$C:$FB,63)</f>
        <v>7259850</v>
      </c>
      <c r="O184" s="140">
        <f>VLOOKUP($A184,'Data shares'!$C:$FB,65)*100</f>
        <v>-6.3</v>
      </c>
    </row>
    <row r="185" spans="1:15" x14ac:dyDescent="0.25">
      <c r="A185" s="101" t="str">
        <f>'Data shares'!C180</f>
        <v>RELIANCE</v>
      </c>
      <c r="B185" s="50">
        <f>VLOOKUP($A185,'Data shares'!$C:$FB,7)</f>
        <v>1413</v>
      </c>
      <c r="C185" s="50">
        <f>VLOOKUP($A185,'Data shares'!$C:$FB,10)*100</f>
        <v>-0.5</v>
      </c>
      <c r="D185" s="49">
        <f>VLOOKUP($A185,'Data shares'!$C:$FB,66)</f>
        <v>161876500</v>
      </c>
      <c r="E185" s="49">
        <f>VLOOKUP($A185,'Data shares'!$C:$FB,67)</f>
        <v>321371000</v>
      </c>
      <c r="F185" s="50">
        <f>VLOOKUP($A185,'Data shares'!$C:$FB,69)*100</f>
        <v>-49.63</v>
      </c>
      <c r="G185" s="49">
        <f>VLOOKUP($A185,'Data shares'!$C:$FB,42)</f>
        <v>15315000</v>
      </c>
      <c r="H185" s="49">
        <f>VLOOKUP($A185,'Data shares'!$C:$FB,43)</f>
        <v>25985500</v>
      </c>
      <c r="I185" s="50">
        <f>VLOOKUP($A185,'Data shares'!$C:$FB,45)*100</f>
        <v>-41.06</v>
      </c>
      <c r="J185" s="49">
        <f>VLOOKUP($A185,'Data shares'!$C:$FB,58)</f>
        <v>97591500</v>
      </c>
      <c r="K185" s="49">
        <f>VLOOKUP($A185,'Data shares'!$C:$FB,59)</f>
        <v>199288500</v>
      </c>
      <c r="L185" s="50">
        <f>VLOOKUP($A185,'Data shares'!$C:$FB,61)*100</f>
        <v>-51.03</v>
      </c>
      <c r="M185" s="49">
        <f>VLOOKUP($A185,'Data shares'!$C:$FB,62)</f>
        <v>48970000</v>
      </c>
      <c r="N185" s="49">
        <f>VLOOKUP($A185,'Data shares'!$C:$FB,63)</f>
        <v>96097000</v>
      </c>
      <c r="O185" s="140">
        <f>VLOOKUP($A185,'Data shares'!$C:$FB,65)*100</f>
        <v>-49.04</v>
      </c>
    </row>
    <row r="186" spans="1:15" x14ac:dyDescent="0.25">
      <c r="A186" s="101" t="str">
        <f>'Data shares'!C181</f>
        <v>RVNL</v>
      </c>
      <c r="B186" s="50">
        <f>VLOOKUP($A186,'Data shares'!$C:$FB,7)</f>
        <v>330.8</v>
      </c>
      <c r="C186" s="50">
        <f>VLOOKUP($A186,'Data shares'!$C:$FB,10)*100</f>
        <v>0.92999999999999994</v>
      </c>
      <c r="D186" s="49">
        <f>VLOOKUP($A186,'Data shares'!$C:$FB,66)</f>
        <v>19324250</v>
      </c>
      <c r="E186" s="49">
        <f>VLOOKUP($A186,'Data shares'!$C:$FB,67)</f>
        <v>14907750</v>
      </c>
      <c r="F186" s="50">
        <f>VLOOKUP($A186,'Data shares'!$C:$FB,69)*100</f>
        <v>29.630000000000003</v>
      </c>
      <c r="G186" s="49">
        <f>VLOOKUP($A186,'Data shares'!$C:$FB,42)</f>
        <v>7000125</v>
      </c>
      <c r="H186" s="49">
        <f>VLOOKUP($A186,'Data shares'!$C:$FB,43)</f>
        <v>5044875</v>
      </c>
      <c r="I186" s="50">
        <f>VLOOKUP($A186,'Data shares'!$C:$FB,45)*100</f>
        <v>38.76</v>
      </c>
      <c r="J186" s="49">
        <f>VLOOKUP($A186,'Data shares'!$C:$FB,58)</f>
        <v>8765625</v>
      </c>
      <c r="K186" s="49">
        <f>VLOOKUP($A186,'Data shares'!$C:$FB,59)</f>
        <v>7194000</v>
      </c>
      <c r="L186" s="50">
        <f>VLOOKUP($A186,'Data shares'!$C:$FB,61)*100</f>
        <v>21.85</v>
      </c>
      <c r="M186" s="49">
        <f>VLOOKUP($A186,'Data shares'!$C:$FB,62)</f>
        <v>3558500</v>
      </c>
      <c r="N186" s="49">
        <f>VLOOKUP($A186,'Data shares'!$C:$FB,63)</f>
        <v>2668875</v>
      </c>
      <c r="O186" s="140">
        <f>VLOOKUP($A186,'Data shares'!$C:$FB,65)*100</f>
        <v>33.33</v>
      </c>
    </row>
    <row r="187" spans="1:15" x14ac:dyDescent="0.25">
      <c r="A187" s="101" t="str">
        <f>'Data shares'!C182</f>
        <v>SAIL</v>
      </c>
      <c r="B187" s="50">
        <f>VLOOKUP($A187,'Data shares'!$C:$FB,7)</f>
        <v>124.09</v>
      </c>
      <c r="C187" s="50">
        <f>VLOOKUP($A187,'Data shares'!$C:$FB,10)*100</f>
        <v>0.89999999999999991</v>
      </c>
      <c r="D187" s="49">
        <f>VLOOKUP($A187,'Data shares'!$C:$FB,66)</f>
        <v>134847700</v>
      </c>
      <c r="E187" s="49">
        <f>VLOOKUP($A187,'Data shares'!$C:$FB,67)</f>
        <v>47531100</v>
      </c>
      <c r="F187" s="50">
        <f>VLOOKUP($A187,'Data shares'!$C:$FB,69)*100</f>
        <v>183.7</v>
      </c>
      <c r="G187" s="49">
        <f>VLOOKUP($A187,'Data shares'!$C:$FB,42)</f>
        <v>56724300</v>
      </c>
      <c r="H187" s="49">
        <f>VLOOKUP($A187,'Data shares'!$C:$FB,43)</f>
        <v>18160800</v>
      </c>
      <c r="I187" s="50">
        <f>VLOOKUP($A187,'Data shares'!$C:$FB,45)*100</f>
        <v>212.34000000000003</v>
      </c>
      <c r="J187" s="49">
        <f>VLOOKUP($A187,'Data shares'!$C:$FB,58)</f>
        <v>54092300</v>
      </c>
      <c r="K187" s="49">
        <f>VLOOKUP($A187,'Data shares'!$C:$FB,59)</f>
        <v>18344100</v>
      </c>
      <c r="L187" s="50">
        <f>VLOOKUP($A187,'Data shares'!$C:$FB,61)*100</f>
        <v>194.88</v>
      </c>
      <c r="M187" s="49">
        <f>VLOOKUP($A187,'Data shares'!$C:$FB,62)</f>
        <v>24031100</v>
      </c>
      <c r="N187" s="49">
        <f>VLOOKUP($A187,'Data shares'!$C:$FB,63)</f>
        <v>11026200</v>
      </c>
      <c r="O187" s="140">
        <f>VLOOKUP($A187,'Data shares'!$C:$FB,65)*100</f>
        <v>117.95</v>
      </c>
    </row>
    <row r="188" spans="1:15" x14ac:dyDescent="0.25">
      <c r="A188" s="101" t="str">
        <f>'Data shares'!C183</f>
        <v>SBICARD</v>
      </c>
      <c r="B188" s="50">
        <f>VLOOKUP($A188,'Data shares'!$C:$FB,7)</f>
        <v>818.1</v>
      </c>
      <c r="C188" s="50">
        <f>VLOOKUP($A188,'Data shares'!$C:$FB,10)*100</f>
        <v>-0.24</v>
      </c>
      <c r="D188" s="49">
        <f>VLOOKUP($A188,'Data shares'!$C:$FB,66)</f>
        <v>6124000</v>
      </c>
      <c r="E188" s="49">
        <f>VLOOKUP($A188,'Data shares'!$C:$FB,67)</f>
        <v>8419200</v>
      </c>
      <c r="F188" s="50">
        <f>VLOOKUP($A188,'Data shares'!$C:$FB,69)*100</f>
        <v>-27.26</v>
      </c>
      <c r="G188" s="49">
        <f>VLOOKUP($A188,'Data shares'!$C:$FB,42)</f>
        <v>1649600</v>
      </c>
      <c r="H188" s="49">
        <f>VLOOKUP($A188,'Data shares'!$C:$FB,43)</f>
        <v>1948800</v>
      </c>
      <c r="I188" s="50">
        <f>VLOOKUP($A188,'Data shares'!$C:$FB,45)*100</f>
        <v>-15.35</v>
      </c>
      <c r="J188" s="49">
        <f>VLOOKUP($A188,'Data shares'!$C:$FB,58)</f>
        <v>2627200</v>
      </c>
      <c r="K188" s="49">
        <f>VLOOKUP($A188,'Data shares'!$C:$FB,59)</f>
        <v>4496800</v>
      </c>
      <c r="L188" s="50">
        <f>VLOOKUP($A188,'Data shares'!$C:$FB,61)*100</f>
        <v>-41.58</v>
      </c>
      <c r="M188" s="49">
        <f>VLOOKUP($A188,'Data shares'!$C:$FB,62)</f>
        <v>1847200</v>
      </c>
      <c r="N188" s="49">
        <f>VLOOKUP($A188,'Data shares'!$C:$FB,63)</f>
        <v>1973600</v>
      </c>
      <c r="O188" s="140">
        <f>VLOOKUP($A188,'Data shares'!$C:$FB,65)*100</f>
        <v>-6.4</v>
      </c>
    </row>
    <row r="189" spans="1:15" x14ac:dyDescent="0.25">
      <c r="A189" s="101" t="str">
        <f>'Data shares'!C223</f>
        <v>ZYDUSLIFE</v>
      </c>
      <c r="B189" s="50">
        <f>VLOOKUP($A189,'Data shares'!$C:$FB,7)</f>
        <v>983.3</v>
      </c>
      <c r="C189" s="50">
        <f>VLOOKUP($A189,'Data shares'!$C:$FB,10)*100</f>
        <v>-0.62</v>
      </c>
      <c r="D189" s="49">
        <f>VLOOKUP($A189,'Data shares'!$C:$FB,66)</f>
        <v>4051800</v>
      </c>
      <c r="E189" s="49">
        <f>VLOOKUP($A189,'Data shares'!$C:$FB,67)</f>
        <v>5055300</v>
      </c>
      <c r="F189" s="50">
        <f>VLOOKUP($A189,'Data shares'!$C:$FB,69)*100</f>
        <v>-19.850000000000001</v>
      </c>
      <c r="G189" s="49">
        <f>VLOOKUP($A189,'Data shares'!$C:$FB,42)</f>
        <v>1198800</v>
      </c>
      <c r="H189" s="49">
        <f>VLOOKUP($A189,'Data shares'!$C:$FB,43)</f>
        <v>1120500</v>
      </c>
      <c r="I189" s="50">
        <f>VLOOKUP($A189,'Data shares'!$C:$FB,45)*100</f>
        <v>6.99</v>
      </c>
      <c r="J189" s="49">
        <f>VLOOKUP($A189,'Data shares'!$C:$FB,58)</f>
        <v>1919700</v>
      </c>
      <c r="K189" s="49">
        <f>VLOOKUP($A189,'Data shares'!$C:$FB,59)</f>
        <v>2870100</v>
      </c>
      <c r="L189" s="50">
        <f>VLOOKUP($A189,'Data shares'!$C:$FB,61)*100</f>
        <v>-33.11</v>
      </c>
      <c r="M189" s="49">
        <f>VLOOKUP($A189,'Data shares'!$C:$FB,62)</f>
        <v>933300</v>
      </c>
      <c r="N189" s="49">
        <f>VLOOKUP($A189,'Data shares'!$C:$FB,63)</f>
        <v>1064700</v>
      </c>
      <c r="O189" s="140">
        <f>VLOOKUP($A189,'Data shares'!$C:$FB,65)*100</f>
        <v>-12.34</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15824552601</v>
      </c>
      <c r="E209" s="133">
        <f>SUM(E7:E172)</f>
        <v>12759446492</v>
      </c>
      <c r="F209" s="134">
        <f>(D209-E209)/E209</f>
        <v>0.2402224979682136</v>
      </c>
      <c r="G209" s="133">
        <f>SUM(G7:G172)</f>
        <v>2124378672</v>
      </c>
      <c r="H209" s="133">
        <f>SUM(H7:H172)</f>
        <v>2695598758</v>
      </c>
      <c r="I209" s="134">
        <f>(G209-H209)/H209</f>
        <v>-0.21190842454008876</v>
      </c>
      <c r="J209" s="133">
        <f>SUM(J7:J172)</f>
        <v>8506159872</v>
      </c>
      <c r="K209" s="133">
        <f>SUM(K7:K172)</f>
        <v>6253904775</v>
      </c>
      <c r="L209" s="134">
        <f>(J209-K209)/K209</f>
        <v>0.36013581562728542</v>
      </c>
      <c r="M209" s="133">
        <f>SUM(M7:M172)</f>
        <v>5194014057</v>
      </c>
      <c r="N209" s="133">
        <f>SUM(N7:N172)</f>
        <v>3809942959</v>
      </c>
      <c r="O209" s="134">
        <f>(M209-N209)/N209</f>
        <v>0.36327869285562181</v>
      </c>
    </row>
    <row r="210" spans="1:15" x14ac:dyDescent="0.25">
      <c r="A210" s="133" t="s">
        <v>398</v>
      </c>
      <c r="B210" s="133"/>
      <c r="C210" s="133"/>
      <c r="D210" s="133">
        <f>D209/10000000</f>
        <v>1582.4552601</v>
      </c>
      <c r="E210" s="133">
        <f>E209/10000000</f>
        <v>1275.9446492</v>
      </c>
      <c r="F210" s="134">
        <f>(D210-E210)/E210</f>
        <v>0.24022249796821366</v>
      </c>
      <c r="G210" s="133">
        <f>G209/10000000</f>
        <v>212.4378672</v>
      </c>
      <c r="H210" s="133">
        <f>H209/10000000</f>
        <v>269.55987579999999</v>
      </c>
      <c r="I210" s="134">
        <f>(G210-H210)/H210</f>
        <v>-0.21190842454008874</v>
      </c>
      <c r="J210" s="133">
        <f>J209/10000000</f>
        <v>850.61598719999995</v>
      </c>
      <c r="K210" s="133">
        <f>K209/10000000</f>
        <v>625.39047749999997</v>
      </c>
      <c r="L210" s="134">
        <f>(J210-K210)/K210</f>
        <v>0.36013581562728542</v>
      </c>
      <c r="M210" s="133">
        <f>M209/10000000</f>
        <v>519.40140570000005</v>
      </c>
      <c r="N210" s="133">
        <f>N209/10000000</f>
        <v>380.9942959</v>
      </c>
      <c r="O210" s="134">
        <f>(M210-N210)/N210</f>
        <v>0.36327869285562198</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45889</v>
      </c>
      <c r="C6" s="76" t="s">
        <v>322</v>
      </c>
      <c r="D6" s="76" t="s">
        <v>328</v>
      </c>
      <c r="E6" s="3">
        <f>B6</f>
        <v>45889</v>
      </c>
      <c r="F6" s="76" t="s">
        <v>322</v>
      </c>
      <c r="G6" s="76" t="s">
        <v>328</v>
      </c>
      <c r="H6" s="3">
        <f>E6</f>
        <v>45889</v>
      </c>
      <c r="I6" s="76" t="s">
        <v>333</v>
      </c>
      <c r="J6" s="3">
        <f>E6</f>
        <v>45889</v>
      </c>
      <c r="K6" s="76" t="s">
        <v>333</v>
      </c>
      <c r="L6" s="3">
        <f>E6</f>
        <v>45889</v>
      </c>
      <c r="M6" s="76" t="s">
        <v>333</v>
      </c>
      <c r="N6" s="3">
        <f>E6</f>
        <v>45889</v>
      </c>
      <c r="O6" s="76" t="s">
        <v>333</v>
      </c>
    </row>
    <row r="7" spans="1:19" x14ac:dyDescent="0.25">
      <c r="A7" s="105" t="str">
        <f>'Data shares'!C2</f>
        <v>360ONE</v>
      </c>
      <c r="B7" s="143">
        <f>VLOOKUP($A7,'Data shares'!$C:$FA,118)</f>
        <v>0.57999999999999996</v>
      </c>
      <c r="C7" s="143">
        <f>VLOOKUP($A7,'Data shares'!$C:$FA,119)</f>
        <v>0.64</v>
      </c>
      <c r="D7" s="143">
        <f>VLOOKUP($A7,'Data shares'!$C:$FA,121)*100</f>
        <v>-9.379999999999999</v>
      </c>
      <c r="E7" s="143">
        <f>VLOOKUP($A7,'Data shares'!$C:$FA,124)</f>
        <v>0.34</v>
      </c>
      <c r="F7" s="143">
        <f>VLOOKUP($A7,'Data shares'!$C:$FA,125)</f>
        <v>0.22</v>
      </c>
      <c r="G7" s="143">
        <f>VLOOKUP($A7,'Data shares'!$C:$FA,127)*100</f>
        <v>54.55</v>
      </c>
      <c r="H7" s="103">
        <f>VLOOKUP($A7,'OI(Volume)'!$A$7:$O$427,8)</f>
        <v>1219500</v>
      </c>
      <c r="I7" s="103">
        <f>VLOOKUP($A7,'OI(Volume)'!$A$7:$O$427,9)</f>
        <v>-500</v>
      </c>
      <c r="J7" s="103">
        <f>VLOOKUP($A7,'OI(Volume)'!$A$7:$O$427,11)</f>
        <v>706000</v>
      </c>
      <c r="K7" s="103">
        <f>VLOOKUP($A7,'OI(Volume)'!$A$7:$O$427,12)</f>
        <v>-75500</v>
      </c>
      <c r="L7" s="103">
        <f>VLOOKUP($A7,'OI(Value)'!$A$7:$O$306,8,0)</f>
        <v>134</v>
      </c>
      <c r="M7" s="103">
        <f>VLOOKUP($A7,'OI(Value)'!$A$7:$O$306,9,0)</f>
        <v>0</v>
      </c>
      <c r="N7" s="103">
        <f>VLOOKUP($A7,'OI(Value)'!$A$7:$O$306,11,0)</f>
        <v>78</v>
      </c>
      <c r="O7" s="103">
        <f>VLOOKUP($A7,'OI(Value)'!$A$7:$O$306,12,0)</f>
        <v>-8</v>
      </c>
      <c r="P7" s="179">
        <f>VLOOKUP(A7,'OI(Value)'!A7:O182,8,0)</f>
        <v>134</v>
      </c>
      <c r="Q7" s="179">
        <f>VLOOKUP(A7,'OI(Value)'!A7:O182,9,0)</f>
        <v>0</v>
      </c>
      <c r="R7" s="179">
        <f>VLOOKUP(A7,'OI(Value)'!A7:O182,11,0)</f>
        <v>78</v>
      </c>
      <c r="S7" s="179">
        <f>VLOOKUP(A7,'OI(Value)'!A7:O182,12,0)</f>
        <v>-8</v>
      </c>
    </row>
    <row r="8" spans="1:19" x14ac:dyDescent="0.25">
      <c r="A8" s="105" t="str">
        <f>'Data shares'!C3</f>
        <v>ABB</v>
      </c>
      <c r="B8" s="143">
        <f>VLOOKUP($A8,'Data shares'!$C:$FA,118)</f>
        <v>0.57999999999999996</v>
      </c>
      <c r="C8" s="143">
        <f>VLOOKUP($A8,'Data shares'!$C:$FA,119)</f>
        <v>0.56999999999999995</v>
      </c>
      <c r="D8" s="143">
        <f>VLOOKUP($A8,'Data shares'!$C:$FA,121)*100</f>
        <v>1.7500000000000002</v>
      </c>
      <c r="E8" s="143">
        <f>VLOOKUP($A8,'Data shares'!$C:$FA,124)</f>
        <v>0.28999999999999998</v>
      </c>
      <c r="F8" s="143">
        <f>VLOOKUP($A8,'Data shares'!$C:$FA,125)</f>
        <v>0.35</v>
      </c>
      <c r="G8" s="143">
        <f>VLOOKUP($A8,'Data shares'!$C:$FA,127)*100</f>
        <v>-17.14</v>
      </c>
      <c r="H8" s="103">
        <f>VLOOKUP($A8,'OI(Volume)'!$A$7:$O$427,8)</f>
        <v>1889500</v>
      </c>
      <c r="I8" s="103">
        <f>VLOOKUP($A8,'OI(Volume)'!$A$7:$O$427,9)</f>
        <v>-64375</v>
      </c>
      <c r="J8" s="103">
        <f>VLOOKUP($A8,'OI(Volume)'!$A$7:$O$427,11)</f>
        <v>1093625</v>
      </c>
      <c r="K8" s="103">
        <f>VLOOKUP($A8,'OI(Volume)'!$A$7:$O$427,12)</f>
        <v>-26500</v>
      </c>
      <c r="L8" s="103">
        <f>VLOOKUP($A8,'OI(Value)'!$A$7:$O$306,8,0)</f>
        <v>970</v>
      </c>
      <c r="M8" s="103">
        <f>VLOOKUP($A8,'OI(Value)'!$A$7:$O$306,9,0)</f>
        <v>-33</v>
      </c>
      <c r="N8" s="103">
        <f>VLOOKUP($A8,'OI(Value)'!$A$7:$O$306,11,0)</f>
        <v>561</v>
      </c>
      <c r="O8" s="103">
        <f>VLOOKUP($A8,'OI(Value)'!$A$7:$O$306,12,0)</f>
        <v>-14</v>
      </c>
      <c r="P8" s="179">
        <f>VLOOKUP(A8,'OI(Value)'!A8:O209,8,0)</f>
        <v>970</v>
      </c>
      <c r="Q8" s="179">
        <f>VLOOKUP(A8,'OI(Value)'!A8:O209,9,0)</f>
        <v>-33</v>
      </c>
      <c r="R8" s="179">
        <f>VLOOKUP(A8,'OI(Value)'!A8:O209,11,0)</f>
        <v>561</v>
      </c>
      <c r="S8" s="179">
        <f>VLOOKUP(A8,'OI(Value)'!A8:O209,11,0)</f>
        <v>561</v>
      </c>
    </row>
    <row r="9" spans="1:19" x14ac:dyDescent="0.25">
      <c r="A9" s="105" t="str">
        <f>'Data shares'!C4</f>
        <v>ABCAPITAL</v>
      </c>
      <c r="B9" s="143">
        <f>VLOOKUP($A9,'Data shares'!$C:$FA,118)</f>
        <v>0.69</v>
      </c>
      <c r="C9" s="143">
        <f>VLOOKUP($A9,'Data shares'!$C:$FA,119)</f>
        <v>0.76</v>
      </c>
      <c r="D9" s="143">
        <f>VLOOKUP($A9,'Data shares'!$C:$FA,121)*100</f>
        <v>-9.2100000000000009</v>
      </c>
      <c r="E9" s="143">
        <f>VLOOKUP($A9,'Data shares'!$C:$FA,124)</f>
        <v>0.5</v>
      </c>
      <c r="F9" s="143">
        <f>VLOOKUP($A9,'Data shares'!$C:$FA,125)</f>
        <v>0.56999999999999995</v>
      </c>
      <c r="G9" s="143">
        <f>VLOOKUP($A9,'Data shares'!$C:$FA,127)*100</f>
        <v>-12.280000000000001</v>
      </c>
      <c r="H9" s="103">
        <f>VLOOKUP($A9,'OI(Volume)'!$A$7:$O$427,8)</f>
        <v>25959400</v>
      </c>
      <c r="I9" s="103">
        <f>VLOOKUP($A9,'OI(Volume)'!$A$7:$O$427,9)</f>
        <v>1943700</v>
      </c>
      <c r="J9" s="103">
        <f>VLOOKUP($A9,'OI(Volume)'!$A$7:$O$427,11)</f>
        <v>17905600</v>
      </c>
      <c r="K9" s="103">
        <f>VLOOKUP($A9,'OI(Volume)'!$A$7:$O$427,12)</f>
        <v>-350300</v>
      </c>
      <c r="L9" s="103">
        <f>VLOOKUP($A9,'OI(Value)'!$A$7:$O$306,8,0)</f>
        <v>738</v>
      </c>
      <c r="M9" s="103">
        <f>VLOOKUP($A9,'OI(Value)'!$A$7:$O$306,9,0)</f>
        <v>55</v>
      </c>
      <c r="N9" s="103">
        <f>VLOOKUP($A9,'OI(Value)'!$A$7:$O$306,11,0)</f>
        <v>509</v>
      </c>
      <c r="O9" s="103">
        <f>VLOOKUP($A9,'OI(Value)'!$A$7:$O$306,12,0)</f>
        <v>-10</v>
      </c>
      <c r="P9" s="179">
        <f>VLOOKUP(A9,'OI(Value)'!A9:O210,8,0)</f>
        <v>738</v>
      </c>
      <c r="Q9" s="179">
        <f>VLOOKUP(A9,'OI(Value)'!A9:O210,9,0)</f>
        <v>55</v>
      </c>
      <c r="R9" s="179">
        <f>VLOOKUP(A9,'OI(Value)'!A9:O210,11,0)</f>
        <v>509</v>
      </c>
      <c r="S9" s="179">
        <f>VLOOKUP(A9,'OI(Value)'!A9:O210,11,0)</f>
        <v>509</v>
      </c>
    </row>
    <row r="10" spans="1:19" x14ac:dyDescent="0.25">
      <c r="A10" s="105" t="str">
        <f>'Data shares'!C5</f>
        <v>ABFRL</v>
      </c>
      <c r="B10" s="143">
        <f>VLOOKUP($A10,'Data shares'!$C:$FA,118)</f>
        <v>0.64</v>
      </c>
      <c r="C10" s="143">
        <f>VLOOKUP($A10,'Data shares'!$C:$FA,119)</f>
        <v>0.62</v>
      </c>
      <c r="D10" s="143">
        <f>VLOOKUP($A10,'Data shares'!$C:$FA,121)*100</f>
        <v>3.2300000000000004</v>
      </c>
      <c r="E10" s="143">
        <f>VLOOKUP($A10,'Data shares'!$C:$FA,124)</f>
        <v>0.15</v>
      </c>
      <c r="F10" s="143">
        <f>VLOOKUP($A10,'Data shares'!$C:$FA,125)</f>
        <v>0.31</v>
      </c>
      <c r="G10" s="143">
        <f>VLOOKUP($A10,'Data shares'!$C:$FA,127)*100</f>
        <v>-51.61</v>
      </c>
      <c r="H10" s="103">
        <f>VLOOKUP($A10,'OI(Volume)'!$A$7:$O$427,8)</f>
        <v>20436000</v>
      </c>
      <c r="I10" s="103">
        <f>VLOOKUP($A10,'OI(Volume)'!$A$7:$O$427,9)</f>
        <v>-1027000</v>
      </c>
      <c r="J10" s="103">
        <f>VLOOKUP($A10,'OI(Volume)'!$A$7:$O$427,11)</f>
        <v>12984400</v>
      </c>
      <c r="K10" s="103">
        <f>VLOOKUP($A10,'OI(Volume)'!$A$7:$O$427,12)</f>
        <v>-364000</v>
      </c>
      <c r="L10" s="103">
        <f>VLOOKUP($A10,'OI(Value)'!$A$7:$O$306,8,0)</f>
        <v>156</v>
      </c>
      <c r="M10" s="103">
        <f>VLOOKUP($A10,'OI(Value)'!$A$7:$O$306,9,0)</f>
        <v>-8</v>
      </c>
      <c r="N10" s="103">
        <f>VLOOKUP($A10,'OI(Value)'!$A$7:$O$306,11,0)</f>
        <v>99</v>
      </c>
      <c r="O10" s="103">
        <f>VLOOKUP($A10,'OI(Value)'!$A$7:$O$306,12,0)</f>
        <v>-3</v>
      </c>
      <c r="P10" s="179">
        <f>VLOOKUP(A10,'OI(Value)'!A10:O211,8,0)</f>
        <v>156</v>
      </c>
      <c r="Q10" s="179">
        <f>VLOOKUP(A10,'OI(Value)'!A10:O211,9,0)</f>
        <v>-8</v>
      </c>
      <c r="R10" s="179">
        <f>VLOOKUP(A10,'OI(Value)'!A10:O211,11,0)</f>
        <v>99</v>
      </c>
      <c r="S10" s="179">
        <f>VLOOKUP(A10,'OI(Value)'!A10:O211,11,0)</f>
        <v>99</v>
      </c>
    </row>
    <row r="11" spans="1:19" x14ac:dyDescent="0.25">
      <c r="A11" s="105" t="str">
        <f>'Data shares'!C6</f>
        <v>ADANIENSOL</v>
      </c>
      <c r="B11" s="143">
        <f>VLOOKUP($A11,'Data shares'!$C:$FA,118)</f>
        <v>0.72</v>
      </c>
      <c r="C11" s="143">
        <f>VLOOKUP($A11,'Data shares'!$C:$FA,119)</f>
        <v>0.72</v>
      </c>
      <c r="D11" s="143">
        <f>VLOOKUP($A11,'Data shares'!$C:$FA,121)*100</f>
        <v>0</v>
      </c>
      <c r="E11" s="143">
        <f>VLOOKUP($A11,'Data shares'!$C:$FA,124)</f>
        <v>0.62</v>
      </c>
      <c r="F11" s="143">
        <f>VLOOKUP($A11,'Data shares'!$C:$FA,125)</f>
        <v>0.62</v>
      </c>
      <c r="G11" s="143">
        <f>VLOOKUP($A11,'Data shares'!$C:$FA,127)*100</f>
        <v>0</v>
      </c>
      <c r="H11" s="103">
        <f>VLOOKUP($A11,'OI(Volume)'!$A$7:$O$427,8)</f>
        <v>3582900</v>
      </c>
      <c r="I11" s="103">
        <f>VLOOKUP($A11,'OI(Volume)'!$A$7:$O$427,9)</f>
        <v>93825</v>
      </c>
      <c r="J11" s="103">
        <f>VLOOKUP($A11,'OI(Volume)'!$A$7:$O$427,11)</f>
        <v>2570400</v>
      </c>
      <c r="K11" s="103">
        <f>VLOOKUP($A11,'OI(Volume)'!$A$7:$O$427,12)</f>
        <v>65475</v>
      </c>
      <c r="L11" s="103">
        <f>VLOOKUP($A11,'OI(Value)'!$A$7:$O$306,8,0)</f>
        <v>296</v>
      </c>
      <c r="M11" s="103">
        <f>VLOOKUP($A11,'OI(Value)'!$A$7:$O$306,9,0)</f>
        <v>8</v>
      </c>
      <c r="N11" s="103">
        <f>VLOOKUP($A11,'OI(Value)'!$A$7:$O$306,11,0)</f>
        <v>212</v>
      </c>
      <c r="O11" s="103">
        <f>VLOOKUP($A11,'OI(Value)'!$A$7:$O$306,12,0)</f>
        <v>5</v>
      </c>
      <c r="P11" s="179">
        <f>VLOOKUP(A11,'OI(Value)'!A11:O212,8,0)</f>
        <v>296</v>
      </c>
      <c r="Q11" s="179">
        <f>VLOOKUP(A11,'OI(Value)'!A11:O212,9,0)</f>
        <v>8</v>
      </c>
      <c r="R11" s="179">
        <f>VLOOKUP(A11,'OI(Value)'!A11:O212,11,0)</f>
        <v>212</v>
      </c>
      <c r="S11" s="179">
        <f>VLOOKUP(A11,'OI(Value)'!A11:O212,11,0)</f>
        <v>212</v>
      </c>
    </row>
    <row r="12" spans="1:19" x14ac:dyDescent="0.25">
      <c r="A12" s="105" t="str">
        <f>'Data shares'!C7</f>
        <v>ADANIENT</v>
      </c>
      <c r="B12" s="143">
        <f>VLOOKUP($A12,'Data shares'!$C:$FA,118)</f>
        <v>0.93</v>
      </c>
      <c r="C12" s="143">
        <f>VLOOKUP($A12,'Data shares'!$C:$FA,119)</f>
        <v>0.97</v>
      </c>
      <c r="D12" s="143">
        <f>VLOOKUP($A12,'Data shares'!$C:$FA,121)*100</f>
        <v>-4.12</v>
      </c>
      <c r="E12" s="143">
        <f>VLOOKUP($A12,'Data shares'!$C:$FA,124)</f>
        <v>0.52</v>
      </c>
      <c r="F12" s="143">
        <f>VLOOKUP($A12,'Data shares'!$C:$FA,125)</f>
        <v>0.53</v>
      </c>
      <c r="G12" s="143">
        <f>VLOOKUP($A12,'Data shares'!$C:$FA,127)*100</f>
        <v>-1.8900000000000001</v>
      </c>
      <c r="H12" s="103">
        <f>VLOOKUP($A12,'OI(Volume)'!$A$7:$O$427,8)</f>
        <v>9311100</v>
      </c>
      <c r="I12" s="103">
        <f>VLOOKUP($A12,'OI(Volume)'!$A$7:$O$427,9)</f>
        <v>242700</v>
      </c>
      <c r="J12" s="103">
        <f>VLOOKUP($A12,'OI(Volume)'!$A$7:$O$427,11)</f>
        <v>8688000</v>
      </c>
      <c r="K12" s="103">
        <f>VLOOKUP($A12,'OI(Volume)'!$A$7:$O$427,12)</f>
        <v>-85800</v>
      </c>
      <c r="L12" s="103">
        <f>VLOOKUP($A12,'OI(Value)'!$A$7:$O$306,8,0)</f>
        <v>2222</v>
      </c>
      <c r="M12" s="103">
        <f>VLOOKUP($A12,'OI(Value)'!$A$7:$O$306,9,0)</f>
        <v>58</v>
      </c>
      <c r="N12" s="103">
        <f>VLOOKUP($A12,'OI(Value)'!$A$7:$O$306,11,0)</f>
        <v>2073</v>
      </c>
      <c r="O12" s="103">
        <f>VLOOKUP($A12,'OI(Value)'!$A$7:$O$306,12,0)</f>
        <v>-20</v>
      </c>
      <c r="P12" s="179">
        <f>VLOOKUP(A12,'OI(Value)'!A12:O213,8,0)</f>
        <v>2222</v>
      </c>
      <c r="Q12" s="179">
        <f>VLOOKUP(A12,'OI(Value)'!A12:O213,9,0)</f>
        <v>58</v>
      </c>
      <c r="R12" s="179">
        <f>VLOOKUP(A12,'OI(Value)'!A12:O213,11,0)</f>
        <v>2073</v>
      </c>
      <c r="S12" s="179">
        <f>VLOOKUP(A12,'OI(Value)'!A12:O213,11,0)</f>
        <v>2073</v>
      </c>
    </row>
    <row r="13" spans="1:19" x14ac:dyDescent="0.25">
      <c r="A13" s="105" t="str">
        <f>'Data shares'!C8</f>
        <v>ADANIGREEN</v>
      </c>
      <c r="B13" s="143">
        <f>VLOOKUP($A13,'Data shares'!$C:$FA,118)</f>
        <v>0.78</v>
      </c>
      <c r="C13" s="143">
        <f>VLOOKUP($A13,'Data shares'!$C:$FA,119)</f>
        <v>0.76</v>
      </c>
      <c r="D13" s="143">
        <f>VLOOKUP($A13,'Data shares'!$C:$FA,121)*100</f>
        <v>2.63</v>
      </c>
      <c r="E13" s="143">
        <f>VLOOKUP($A13,'Data shares'!$C:$FA,124)</f>
        <v>0.53</v>
      </c>
      <c r="F13" s="143">
        <f>VLOOKUP($A13,'Data shares'!$C:$FA,125)</f>
        <v>0.41</v>
      </c>
      <c r="G13" s="143">
        <f>VLOOKUP($A13,'Data shares'!$C:$FA,127)*100</f>
        <v>29.270000000000003</v>
      </c>
      <c r="H13" s="103">
        <f>VLOOKUP($A13,'OI(Volume)'!$A$7:$O$427,8)</f>
        <v>5215200</v>
      </c>
      <c r="I13" s="103">
        <f>VLOOKUP($A13,'OI(Volume)'!$A$7:$O$427,9)</f>
        <v>-91200</v>
      </c>
      <c r="J13" s="103">
        <f>VLOOKUP($A13,'OI(Volume)'!$A$7:$O$427,11)</f>
        <v>4059600</v>
      </c>
      <c r="K13" s="103">
        <f>VLOOKUP($A13,'OI(Volume)'!$A$7:$O$427,12)</f>
        <v>6000</v>
      </c>
      <c r="L13" s="103">
        <f>VLOOKUP($A13,'OI(Value)'!$A$7:$O$306,8,0)</f>
        <v>509</v>
      </c>
      <c r="M13" s="103">
        <f>VLOOKUP($A13,'OI(Value)'!$A$7:$O$306,9,0)</f>
        <v>-9</v>
      </c>
      <c r="N13" s="103">
        <f>VLOOKUP($A13,'OI(Value)'!$A$7:$O$306,11,0)</f>
        <v>396</v>
      </c>
      <c r="O13" s="103">
        <f>VLOOKUP($A13,'OI(Value)'!$A$7:$O$306,12,0)</f>
        <v>1</v>
      </c>
      <c r="P13" s="179">
        <f>VLOOKUP(A13,'OI(Value)'!A13:O214,8,0)</f>
        <v>509</v>
      </c>
      <c r="Q13" s="179">
        <f>VLOOKUP(A13,'OI(Value)'!A13:O214,9,0)</f>
        <v>-9</v>
      </c>
      <c r="R13" s="179">
        <f>VLOOKUP(A13,'OI(Value)'!A13:O214,11,0)</f>
        <v>396</v>
      </c>
      <c r="S13" s="179">
        <f>VLOOKUP(A13,'OI(Value)'!A13:O214,11,0)</f>
        <v>396</v>
      </c>
    </row>
    <row r="14" spans="1:19" x14ac:dyDescent="0.25">
      <c r="A14" s="105" t="str">
        <f>'Data shares'!C9</f>
        <v>ADANIPORTS</v>
      </c>
      <c r="B14" s="143">
        <f>VLOOKUP($A14,'Data shares'!$C:$FA,118)</f>
        <v>0.76</v>
      </c>
      <c r="C14" s="143">
        <f>VLOOKUP($A14,'Data shares'!$C:$FA,119)</f>
        <v>0.77</v>
      </c>
      <c r="D14" s="143">
        <f>VLOOKUP($A14,'Data shares'!$C:$FA,121)*100</f>
        <v>-1.3</v>
      </c>
      <c r="E14" s="143">
        <f>VLOOKUP($A14,'Data shares'!$C:$FA,124)</f>
        <v>0.55000000000000004</v>
      </c>
      <c r="F14" s="143">
        <f>VLOOKUP($A14,'Data shares'!$C:$FA,125)</f>
        <v>0.38</v>
      </c>
      <c r="G14" s="143">
        <f>VLOOKUP($A14,'Data shares'!$C:$FA,127)*100</f>
        <v>44.74</v>
      </c>
      <c r="H14" s="103">
        <f>VLOOKUP($A14,'OI(Volume)'!$A$7:$O$427,8)</f>
        <v>9014550</v>
      </c>
      <c r="I14" s="103">
        <f>VLOOKUP($A14,'OI(Volume)'!$A$7:$O$427,9)</f>
        <v>-147250</v>
      </c>
      <c r="J14" s="103">
        <f>VLOOKUP($A14,'OI(Volume)'!$A$7:$O$427,11)</f>
        <v>6855675</v>
      </c>
      <c r="K14" s="103">
        <f>VLOOKUP($A14,'OI(Volume)'!$A$7:$O$427,12)</f>
        <v>-212800</v>
      </c>
      <c r="L14" s="103">
        <f>VLOOKUP($A14,'OI(Value)'!$A$7:$O$306,8,0)</f>
        <v>1236</v>
      </c>
      <c r="M14" s="103">
        <f>VLOOKUP($A14,'OI(Value)'!$A$7:$O$306,9,0)</f>
        <v>-20</v>
      </c>
      <c r="N14" s="103">
        <f>VLOOKUP($A14,'OI(Value)'!$A$7:$O$306,11,0)</f>
        <v>940</v>
      </c>
      <c r="O14" s="103">
        <f>VLOOKUP($A14,'OI(Value)'!$A$7:$O$306,12,0)</f>
        <v>-29</v>
      </c>
      <c r="P14" s="179">
        <f>VLOOKUP(A14,'OI(Value)'!A14:O215,8,0)</f>
        <v>1236</v>
      </c>
      <c r="Q14" s="179">
        <f>VLOOKUP(A14,'OI(Value)'!A14:O215,9,0)</f>
        <v>-20</v>
      </c>
      <c r="R14" s="179">
        <f>VLOOKUP(A14,'OI(Value)'!A14:O215,11,0)</f>
        <v>940</v>
      </c>
      <c r="S14" s="179">
        <f>VLOOKUP(A14,'OI(Value)'!A14:O215,11,0)</f>
        <v>940</v>
      </c>
    </row>
    <row r="15" spans="1:19" x14ac:dyDescent="0.25">
      <c r="A15" s="105" t="str">
        <f>'Data shares'!C10</f>
        <v>ALKEM</v>
      </c>
      <c r="B15" s="143">
        <f>VLOOKUP($A15,'Data shares'!$C:$FA,118)</f>
        <v>0.77</v>
      </c>
      <c r="C15" s="143">
        <f>VLOOKUP($A15,'Data shares'!$C:$FA,119)</f>
        <v>0.93</v>
      </c>
      <c r="D15" s="143">
        <f>VLOOKUP($A15,'Data shares'!$C:$FA,121)*100</f>
        <v>-17.2</v>
      </c>
      <c r="E15" s="143">
        <f>VLOOKUP($A15,'Data shares'!$C:$FA,124)</f>
        <v>0.28999999999999998</v>
      </c>
      <c r="F15" s="143">
        <f>VLOOKUP($A15,'Data shares'!$C:$FA,125)</f>
        <v>0.41</v>
      </c>
      <c r="G15" s="143">
        <f>VLOOKUP($A15,'Data shares'!$C:$FA,127)*100</f>
        <v>-29.270000000000003</v>
      </c>
      <c r="H15" s="103">
        <f>VLOOKUP($A15,'OI(Volume)'!$A$7:$O$427,8)</f>
        <v>626750</v>
      </c>
      <c r="I15" s="103">
        <f>VLOOKUP($A15,'OI(Volume)'!$A$7:$O$427,9)</f>
        <v>82625</v>
      </c>
      <c r="J15" s="103">
        <f>VLOOKUP($A15,'OI(Volume)'!$A$7:$O$427,11)</f>
        <v>482500</v>
      </c>
      <c r="K15" s="103">
        <f>VLOOKUP($A15,'OI(Volume)'!$A$7:$O$427,12)</f>
        <v>-22250</v>
      </c>
      <c r="L15" s="103">
        <f>VLOOKUP($A15,'OI(Value)'!$A$7:$O$306,8,0)</f>
        <v>338</v>
      </c>
      <c r="M15" s="103">
        <f>VLOOKUP($A15,'OI(Value)'!$A$7:$O$306,9,0)</f>
        <v>45</v>
      </c>
      <c r="N15" s="103">
        <f>VLOOKUP($A15,'OI(Value)'!$A$7:$O$306,11,0)</f>
        <v>260</v>
      </c>
      <c r="O15" s="103">
        <f>VLOOKUP($A15,'OI(Value)'!$A$7:$O$306,12,0)</f>
        <v>-12</v>
      </c>
      <c r="P15" s="179">
        <f>VLOOKUP(A15,'OI(Value)'!A15:O216,8,0)</f>
        <v>338</v>
      </c>
      <c r="Q15" s="179">
        <f>VLOOKUP(A15,'OI(Value)'!A15:O216,9,0)</f>
        <v>45</v>
      </c>
      <c r="R15" s="179">
        <f>VLOOKUP(A15,'OI(Value)'!A15:O216,11,0)</f>
        <v>260</v>
      </c>
      <c r="S15" s="179">
        <f>VLOOKUP(A15,'OI(Value)'!A15:O216,11,0)</f>
        <v>260</v>
      </c>
    </row>
    <row r="16" spans="1:19" x14ac:dyDescent="0.25">
      <c r="A16" s="105" t="str">
        <f>'Data shares'!C11</f>
        <v>AMBER</v>
      </c>
      <c r="B16" s="143">
        <f>VLOOKUP($A16,'Data shares'!$C:$FA,118)</f>
        <v>0.5</v>
      </c>
      <c r="C16" s="143">
        <f>VLOOKUP($A16,'Data shares'!$C:$FA,119)</f>
        <v>0.55000000000000004</v>
      </c>
      <c r="D16" s="143">
        <f>VLOOKUP($A16,'Data shares'!$C:$FA,121)*100</f>
        <v>-9.09</v>
      </c>
      <c r="E16" s="143">
        <f>VLOOKUP($A16,'Data shares'!$C:$FA,124)</f>
        <v>0.57999999999999996</v>
      </c>
      <c r="F16" s="143">
        <f>VLOOKUP($A16,'Data shares'!$C:$FA,125)</f>
        <v>0.83</v>
      </c>
      <c r="G16" s="143">
        <f>VLOOKUP($A16,'Data shares'!$C:$FA,127)*100</f>
        <v>-30.12</v>
      </c>
      <c r="H16" s="103">
        <f>VLOOKUP($A16,'OI(Volume)'!$A$7:$O$427,8)</f>
        <v>1011600</v>
      </c>
      <c r="I16" s="103">
        <f>VLOOKUP($A16,'OI(Volume)'!$A$7:$O$427,9)</f>
        <v>-13100</v>
      </c>
      <c r="J16" s="103">
        <f>VLOOKUP($A16,'OI(Volume)'!$A$7:$O$427,11)</f>
        <v>500900</v>
      </c>
      <c r="K16" s="103">
        <f>VLOOKUP($A16,'OI(Volume)'!$A$7:$O$427,12)</f>
        <v>-64400</v>
      </c>
      <c r="L16" s="103">
        <f>VLOOKUP($A16,'OI(Value)'!$A$7:$O$306,8,0)</f>
        <v>747</v>
      </c>
      <c r="M16" s="103">
        <f>VLOOKUP($A16,'OI(Value)'!$A$7:$O$306,9,0)</f>
        <v>-10</v>
      </c>
      <c r="N16" s="103">
        <f>VLOOKUP($A16,'OI(Value)'!$A$7:$O$306,11,0)</f>
        <v>370</v>
      </c>
      <c r="O16" s="103">
        <f>VLOOKUP($A16,'OI(Value)'!$A$7:$O$306,12,0)</f>
        <v>-48</v>
      </c>
      <c r="P16" s="179">
        <f>VLOOKUP(A16,'OI(Value)'!A16:O217,8,0)</f>
        <v>747</v>
      </c>
      <c r="Q16" s="179">
        <f>VLOOKUP(A16,'OI(Value)'!A16:O217,9,0)</f>
        <v>-10</v>
      </c>
      <c r="R16" s="179">
        <f>VLOOKUP(A16,'OI(Value)'!A16:O217,11,0)</f>
        <v>370</v>
      </c>
      <c r="S16" s="179">
        <f>VLOOKUP(A16,'OI(Value)'!A16:O217,11,0)</f>
        <v>370</v>
      </c>
    </row>
    <row r="17" spans="1:19" x14ac:dyDescent="0.25">
      <c r="A17" s="105" t="str">
        <f>'Data shares'!C12</f>
        <v>AMBUJACEM</v>
      </c>
      <c r="B17" s="143">
        <f>VLOOKUP($A17,'Data shares'!$C:$FA,118)</f>
        <v>0.55000000000000004</v>
      </c>
      <c r="C17" s="143">
        <f>VLOOKUP($A17,'Data shares'!$C:$FA,119)</f>
        <v>0.54</v>
      </c>
      <c r="D17" s="143">
        <f>VLOOKUP($A17,'Data shares'!$C:$FA,121)*100</f>
        <v>1.8499999999999999</v>
      </c>
      <c r="E17" s="143">
        <f>VLOOKUP($A17,'Data shares'!$C:$FA,124)</f>
        <v>0.41</v>
      </c>
      <c r="F17" s="143">
        <f>VLOOKUP($A17,'Data shares'!$C:$FA,125)</f>
        <v>0.37</v>
      </c>
      <c r="G17" s="143">
        <f>VLOOKUP($A17,'Data shares'!$C:$FA,127)*100</f>
        <v>10.81</v>
      </c>
      <c r="H17" s="103">
        <f>VLOOKUP($A17,'OI(Volume)'!$A$7:$O$427,8)</f>
        <v>11236050</v>
      </c>
      <c r="I17" s="103">
        <f>VLOOKUP($A17,'OI(Volume)'!$A$7:$O$427,9)</f>
        <v>282450</v>
      </c>
      <c r="J17" s="103">
        <f>VLOOKUP($A17,'OI(Volume)'!$A$7:$O$427,11)</f>
        <v>6159300</v>
      </c>
      <c r="K17" s="103">
        <f>VLOOKUP($A17,'OI(Volume)'!$A$7:$O$427,12)</f>
        <v>264600</v>
      </c>
      <c r="L17" s="103">
        <f>VLOOKUP($A17,'OI(Value)'!$A$7:$O$306,8,0)</f>
        <v>665</v>
      </c>
      <c r="M17" s="103">
        <f>VLOOKUP($A17,'OI(Value)'!$A$7:$O$306,9,0)</f>
        <v>17</v>
      </c>
      <c r="N17" s="103">
        <f>VLOOKUP($A17,'OI(Value)'!$A$7:$O$306,11,0)</f>
        <v>365</v>
      </c>
      <c r="O17" s="103">
        <f>VLOOKUP($A17,'OI(Value)'!$A$7:$O$306,12,0)</f>
        <v>16</v>
      </c>
      <c r="P17" s="179">
        <f>VLOOKUP(A17,'OI(Value)'!A17:O218,8,0)</f>
        <v>665</v>
      </c>
      <c r="Q17" s="179">
        <f>VLOOKUP(A17,'OI(Value)'!A17:O218,9,0)</f>
        <v>17</v>
      </c>
      <c r="R17" s="179">
        <f>VLOOKUP(A17,'OI(Value)'!A17:O218,11,0)</f>
        <v>365</v>
      </c>
      <c r="S17" s="179">
        <f>VLOOKUP(A17,'OI(Value)'!A17:O218,11,0)</f>
        <v>365</v>
      </c>
    </row>
    <row r="18" spans="1:19" x14ac:dyDescent="0.25">
      <c r="A18" s="105" t="str">
        <f>'Data shares'!C13</f>
        <v>ANGELONE</v>
      </c>
      <c r="B18" s="143">
        <f>VLOOKUP($A18,'Data shares'!$C:$FA,118)</f>
        <v>0.9</v>
      </c>
      <c r="C18" s="143">
        <f>VLOOKUP($A18,'Data shares'!$C:$FA,119)</f>
        <v>0.87</v>
      </c>
      <c r="D18" s="143">
        <f>VLOOKUP($A18,'Data shares'!$C:$FA,121)*100</f>
        <v>3.45</v>
      </c>
      <c r="E18" s="143">
        <f>VLOOKUP($A18,'Data shares'!$C:$FA,124)</f>
        <v>0.56000000000000005</v>
      </c>
      <c r="F18" s="143">
        <f>VLOOKUP($A18,'Data shares'!$C:$FA,125)</f>
        <v>0.62</v>
      </c>
      <c r="G18" s="143">
        <f>VLOOKUP($A18,'Data shares'!$C:$FA,127)*100</f>
        <v>-9.68</v>
      </c>
      <c r="H18" s="103">
        <f>VLOOKUP($A18,'OI(Volume)'!$A$7:$O$427,8)</f>
        <v>1589750</v>
      </c>
      <c r="I18" s="103">
        <f>VLOOKUP($A18,'OI(Volume)'!$A$7:$O$427,9)</f>
        <v>-65500</v>
      </c>
      <c r="J18" s="103">
        <f>VLOOKUP($A18,'OI(Volume)'!$A$7:$O$427,11)</f>
        <v>1438250</v>
      </c>
      <c r="K18" s="103">
        <f>VLOOKUP($A18,'OI(Volume)'!$A$7:$O$427,12)</f>
        <v>3750</v>
      </c>
      <c r="L18" s="103">
        <f>VLOOKUP($A18,'OI(Value)'!$A$7:$O$306,8,0)</f>
        <v>433</v>
      </c>
      <c r="M18" s="103">
        <f>VLOOKUP($A18,'OI(Value)'!$A$7:$O$306,9,0)</f>
        <v>-18</v>
      </c>
      <c r="N18" s="103">
        <f>VLOOKUP($A18,'OI(Value)'!$A$7:$O$306,11,0)</f>
        <v>392</v>
      </c>
      <c r="O18" s="103">
        <f>VLOOKUP($A18,'OI(Value)'!$A$7:$O$306,12,0)</f>
        <v>1</v>
      </c>
      <c r="P18" s="179">
        <f>VLOOKUP(A18,'OI(Value)'!A18:O219,8,0)</f>
        <v>433</v>
      </c>
      <c r="Q18" s="179">
        <f>VLOOKUP(A18,'OI(Value)'!A18:O219,9,0)</f>
        <v>-18</v>
      </c>
      <c r="R18" s="179">
        <f>VLOOKUP(A18,'OI(Value)'!A18:O219,11,0)</f>
        <v>392</v>
      </c>
      <c r="S18" s="179">
        <f>VLOOKUP(A18,'OI(Value)'!A18:O219,11,0)</f>
        <v>392</v>
      </c>
    </row>
    <row r="19" spans="1:19" x14ac:dyDescent="0.25">
      <c r="A19" s="105" t="str">
        <f>'Data shares'!C14</f>
        <v>APLAPOLLO</v>
      </c>
      <c r="B19" s="143">
        <f>VLOOKUP($A19,'Data shares'!$C:$FA,118)</f>
        <v>1.0900000000000001</v>
      </c>
      <c r="C19" s="143">
        <f>VLOOKUP($A19,'Data shares'!$C:$FA,119)</f>
        <v>1.05</v>
      </c>
      <c r="D19" s="143">
        <f>VLOOKUP($A19,'Data shares'!$C:$FA,121)*100</f>
        <v>3.81</v>
      </c>
      <c r="E19" s="143">
        <f>VLOOKUP($A19,'Data shares'!$C:$FA,124)</f>
        <v>0.36</v>
      </c>
      <c r="F19" s="143">
        <f>VLOOKUP($A19,'Data shares'!$C:$FA,125)</f>
        <v>0.37</v>
      </c>
      <c r="G19" s="143">
        <f>VLOOKUP($A19,'Data shares'!$C:$FA,127)*100</f>
        <v>-2.7</v>
      </c>
      <c r="H19" s="103">
        <f>VLOOKUP($A19,'OI(Volume)'!$A$7:$O$427,8)</f>
        <v>1663200</v>
      </c>
      <c r="I19" s="103">
        <f>VLOOKUP($A19,'OI(Volume)'!$A$7:$O$427,9)</f>
        <v>-23100</v>
      </c>
      <c r="J19" s="103">
        <f>VLOOKUP($A19,'OI(Volume)'!$A$7:$O$427,11)</f>
        <v>1817900</v>
      </c>
      <c r="K19" s="103">
        <f>VLOOKUP($A19,'OI(Volume)'!$A$7:$O$427,12)</f>
        <v>46900</v>
      </c>
      <c r="L19" s="103">
        <f>VLOOKUP($A19,'OI(Value)'!$A$7:$O$306,8,0)</f>
        <v>271</v>
      </c>
      <c r="M19" s="103">
        <f>VLOOKUP($A19,'OI(Value)'!$A$7:$O$306,9,0)</f>
        <v>-4</v>
      </c>
      <c r="N19" s="103">
        <f>VLOOKUP($A19,'OI(Value)'!$A$7:$O$306,11,0)</f>
        <v>296</v>
      </c>
      <c r="O19" s="103">
        <f>VLOOKUP($A19,'OI(Value)'!$A$7:$O$306,12,0)</f>
        <v>8</v>
      </c>
      <c r="P19" s="179">
        <f>VLOOKUP(A19,'OI(Value)'!A19:O220,8,0)</f>
        <v>271</v>
      </c>
      <c r="Q19" s="179">
        <f>VLOOKUP(A19,'OI(Value)'!A19:O220,9,0)</f>
        <v>-4</v>
      </c>
      <c r="R19" s="179">
        <f>VLOOKUP(A19,'OI(Value)'!A19:O220,11,0)</f>
        <v>296</v>
      </c>
      <c r="S19" s="179">
        <f>VLOOKUP(A19,'OI(Value)'!A19:O220,11,0)</f>
        <v>296</v>
      </c>
    </row>
    <row r="20" spans="1:19" x14ac:dyDescent="0.25">
      <c r="A20" s="105" t="str">
        <f>'Data shares'!C15</f>
        <v>APOLLOHOSP</v>
      </c>
      <c r="B20" s="143">
        <f>VLOOKUP($A20,'Data shares'!$C:$FA,118)</f>
        <v>1.18</v>
      </c>
      <c r="C20" s="143">
        <f>VLOOKUP($A20,'Data shares'!$C:$FA,119)</f>
        <v>1.1299999999999999</v>
      </c>
      <c r="D20" s="143">
        <f>VLOOKUP($A20,'Data shares'!$C:$FA,121)*100</f>
        <v>4.42</v>
      </c>
      <c r="E20" s="143">
        <f>VLOOKUP($A20,'Data shares'!$C:$FA,124)</f>
        <v>0.63</v>
      </c>
      <c r="F20" s="143">
        <f>VLOOKUP($A20,'Data shares'!$C:$FA,125)</f>
        <v>0.93</v>
      </c>
      <c r="G20" s="143">
        <f>VLOOKUP($A20,'Data shares'!$C:$FA,127)*100</f>
        <v>-32.26</v>
      </c>
      <c r="H20" s="103">
        <f>VLOOKUP($A20,'OI(Volume)'!$A$7:$O$427,8)</f>
        <v>2044000</v>
      </c>
      <c r="I20" s="103">
        <f>VLOOKUP($A20,'OI(Volume)'!$A$7:$O$427,9)</f>
        <v>18750</v>
      </c>
      <c r="J20" s="103">
        <f>VLOOKUP($A20,'OI(Volume)'!$A$7:$O$427,11)</f>
        <v>2415625</v>
      </c>
      <c r="K20" s="103">
        <f>VLOOKUP($A20,'OI(Volume)'!$A$7:$O$427,12)</f>
        <v>134500</v>
      </c>
      <c r="L20" s="103">
        <f>VLOOKUP($A20,'OI(Value)'!$A$7:$O$306,8,0)</f>
        <v>1612</v>
      </c>
      <c r="M20" s="103">
        <f>VLOOKUP($A20,'OI(Value)'!$A$7:$O$306,9,0)</f>
        <v>15</v>
      </c>
      <c r="N20" s="103">
        <f>VLOOKUP($A20,'OI(Value)'!$A$7:$O$306,11,0)</f>
        <v>1905</v>
      </c>
      <c r="O20" s="103">
        <f>VLOOKUP($A20,'OI(Value)'!$A$7:$O$306,12,0)</f>
        <v>106</v>
      </c>
      <c r="P20" s="179">
        <f>VLOOKUP(A20,'OI(Value)'!A20:O221,8,0)</f>
        <v>1612</v>
      </c>
      <c r="Q20" s="179">
        <f>VLOOKUP(A20,'OI(Value)'!A20:O221,9,0)</f>
        <v>15</v>
      </c>
      <c r="R20" s="179">
        <f>VLOOKUP(A20,'OI(Value)'!A20:O221,11,0)</f>
        <v>1905</v>
      </c>
      <c r="S20" s="179">
        <f>VLOOKUP(A20,'OI(Value)'!A20:O221,11,0)</f>
        <v>1905</v>
      </c>
    </row>
    <row r="21" spans="1:19" x14ac:dyDescent="0.25">
      <c r="A21" s="105" t="str">
        <f>'Data shares'!C16</f>
        <v>ASHOKLEY</v>
      </c>
      <c r="B21" s="143">
        <f>VLOOKUP($A21,'Data shares'!$C:$FA,118)</f>
        <v>1.1000000000000001</v>
      </c>
      <c r="C21" s="143">
        <f>VLOOKUP($A21,'Data shares'!$C:$FA,119)</f>
        <v>1.08</v>
      </c>
      <c r="D21" s="143">
        <f>VLOOKUP($A21,'Data shares'!$C:$FA,121)*100</f>
        <v>1.8499999999999999</v>
      </c>
      <c r="E21" s="143">
        <f>VLOOKUP($A21,'Data shares'!$C:$FA,124)</f>
        <v>0.67</v>
      </c>
      <c r="F21" s="143">
        <f>VLOOKUP($A21,'Data shares'!$C:$FA,125)</f>
        <v>0.57999999999999996</v>
      </c>
      <c r="G21" s="143">
        <f>VLOOKUP($A21,'Data shares'!$C:$FA,127)*100</f>
        <v>15.52</v>
      </c>
      <c r="H21" s="103">
        <f>VLOOKUP($A21,'OI(Volume)'!$A$7:$O$427,8)</f>
        <v>51740000</v>
      </c>
      <c r="I21" s="103">
        <f>VLOOKUP($A21,'OI(Volume)'!$A$7:$O$427,9)</f>
        <v>-415000</v>
      </c>
      <c r="J21" s="103">
        <f>VLOOKUP($A21,'OI(Volume)'!$A$7:$O$427,11)</f>
        <v>56955000</v>
      </c>
      <c r="K21" s="103">
        <f>VLOOKUP($A21,'OI(Volume)'!$A$7:$O$427,12)</f>
        <v>460000</v>
      </c>
      <c r="L21" s="103">
        <f>VLOOKUP($A21,'OI(Value)'!$A$7:$O$306,8,0)</f>
        <v>689</v>
      </c>
      <c r="M21" s="103">
        <f>VLOOKUP($A21,'OI(Value)'!$A$7:$O$306,9,0)</f>
        <v>-6</v>
      </c>
      <c r="N21" s="103">
        <f>VLOOKUP($A21,'OI(Value)'!$A$7:$O$306,11,0)</f>
        <v>758</v>
      </c>
      <c r="O21" s="103">
        <f>VLOOKUP($A21,'OI(Value)'!$A$7:$O$306,12,0)</f>
        <v>6</v>
      </c>
      <c r="P21" s="179">
        <f>VLOOKUP(A21,'OI(Value)'!A21:O222,8,0)</f>
        <v>689</v>
      </c>
      <c r="Q21" s="179">
        <f>VLOOKUP(A21,'OI(Value)'!A21:O222,9,0)</f>
        <v>-6</v>
      </c>
      <c r="R21" s="179">
        <f>VLOOKUP(A21,'OI(Value)'!A21:O222,11,0)</f>
        <v>758</v>
      </c>
      <c r="S21" s="179">
        <f>VLOOKUP(A21,'OI(Value)'!A21:O222,11,0)</f>
        <v>758</v>
      </c>
    </row>
    <row r="22" spans="1:19" x14ac:dyDescent="0.25">
      <c r="A22" s="105" t="str">
        <f>'Data shares'!C17</f>
        <v>ASIANPAINT</v>
      </c>
      <c r="B22" s="143">
        <f>VLOOKUP($A22,'Data shares'!$C:$FA,118)</f>
        <v>0.63</v>
      </c>
      <c r="C22" s="143">
        <f>VLOOKUP($A22,'Data shares'!$C:$FA,119)</f>
        <v>0.61</v>
      </c>
      <c r="D22" s="143">
        <f>VLOOKUP($A22,'Data shares'!$C:$FA,121)*100</f>
        <v>3.2800000000000002</v>
      </c>
      <c r="E22" s="143">
        <f>VLOOKUP($A22,'Data shares'!$C:$FA,124)</f>
        <v>0.6</v>
      </c>
      <c r="F22" s="143">
        <f>VLOOKUP($A22,'Data shares'!$C:$FA,125)</f>
        <v>0.52</v>
      </c>
      <c r="G22" s="143">
        <f>VLOOKUP($A22,'Data shares'!$C:$FA,127)*100</f>
        <v>15.379999999999999</v>
      </c>
      <c r="H22" s="103">
        <f>VLOOKUP($A22,'OI(Volume)'!$A$7:$O$427,8)</f>
        <v>6602500</v>
      </c>
      <c r="I22" s="103">
        <f>VLOOKUP($A22,'OI(Volume)'!$A$7:$O$427,9)</f>
        <v>-139000</v>
      </c>
      <c r="J22" s="103">
        <f>VLOOKUP($A22,'OI(Volume)'!$A$7:$O$427,11)</f>
        <v>4156500</v>
      </c>
      <c r="K22" s="103">
        <f>VLOOKUP($A22,'OI(Volume)'!$A$7:$O$427,12)</f>
        <v>71250</v>
      </c>
      <c r="L22" s="103">
        <f>VLOOKUP($A22,'OI(Value)'!$A$7:$O$306,8,0)</f>
        <v>1697</v>
      </c>
      <c r="M22" s="103">
        <f>VLOOKUP($A22,'OI(Value)'!$A$7:$O$306,9,0)</f>
        <v>-36</v>
      </c>
      <c r="N22" s="103">
        <f>VLOOKUP($A22,'OI(Value)'!$A$7:$O$306,11,0)</f>
        <v>1068</v>
      </c>
      <c r="O22" s="103">
        <f>VLOOKUP($A22,'OI(Value)'!$A$7:$O$306,12,0)</f>
        <v>18</v>
      </c>
      <c r="P22" s="179">
        <f>VLOOKUP(A22,'OI(Value)'!A22:O223,8,0)</f>
        <v>1697</v>
      </c>
      <c r="Q22" s="179">
        <f>VLOOKUP(A22,'OI(Value)'!A22:O223,9,0)</f>
        <v>-36</v>
      </c>
      <c r="R22" s="179">
        <f>VLOOKUP(A22,'OI(Value)'!A22:O223,11,0)</f>
        <v>1068</v>
      </c>
      <c r="S22" s="179">
        <f>VLOOKUP(A22,'OI(Value)'!A22:O223,11,0)</f>
        <v>1068</v>
      </c>
    </row>
    <row r="23" spans="1:19" x14ac:dyDescent="0.25">
      <c r="A23" s="105" t="str">
        <f>'Data shares'!C18</f>
        <v>ASTRAL</v>
      </c>
      <c r="B23" s="143">
        <f>VLOOKUP($A23,'Data shares'!$C:$FA,118)</f>
        <v>0.89</v>
      </c>
      <c r="C23" s="143">
        <f>VLOOKUP($A23,'Data shares'!$C:$FA,119)</f>
        <v>0.89</v>
      </c>
      <c r="D23" s="143">
        <f>VLOOKUP($A23,'Data shares'!$C:$FA,121)*100</f>
        <v>0</v>
      </c>
      <c r="E23" s="143">
        <f>VLOOKUP($A23,'Data shares'!$C:$FA,124)</f>
        <v>0.37</v>
      </c>
      <c r="F23" s="143">
        <f>VLOOKUP($A23,'Data shares'!$C:$FA,125)</f>
        <v>0.48</v>
      </c>
      <c r="G23" s="143">
        <f>VLOOKUP($A23,'Data shares'!$C:$FA,127)*100</f>
        <v>-22.919999999999998</v>
      </c>
      <c r="H23" s="103">
        <f>VLOOKUP($A23,'OI(Volume)'!$A$7:$O$427,8)</f>
        <v>3594225</v>
      </c>
      <c r="I23" s="103">
        <f>VLOOKUP($A23,'OI(Volume)'!$A$7:$O$427,9)</f>
        <v>6375</v>
      </c>
      <c r="J23" s="103">
        <f>VLOOKUP($A23,'OI(Volume)'!$A$7:$O$427,11)</f>
        <v>3208750</v>
      </c>
      <c r="K23" s="103">
        <f>VLOOKUP($A23,'OI(Volume)'!$A$7:$O$427,12)</f>
        <v>3825</v>
      </c>
      <c r="L23" s="103">
        <f>VLOOKUP($A23,'OI(Value)'!$A$7:$O$306,8,0)</f>
        <v>503</v>
      </c>
      <c r="M23" s="103">
        <f>VLOOKUP($A23,'OI(Value)'!$A$7:$O$306,9,0)</f>
        <v>1</v>
      </c>
      <c r="N23" s="103">
        <f>VLOOKUP($A23,'OI(Value)'!$A$7:$O$306,11,0)</f>
        <v>449</v>
      </c>
      <c r="O23" s="103">
        <f>VLOOKUP($A23,'OI(Value)'!$A$7:$O$306,12,0)</f>
        <v>1</v>
      </c>
      <c r="P23" s="179">
        <f>VLOOKUP(A23,'OI(Value)'!A23:O224,8,0)</f>
        <v>503</v>
      </c>
      <c r="Q23" s="179">
        <f>VLOOKUP(A23,'OI(Value)'!A23:O224,9,0)</f>
        <v>1</v>
      </c>
      <c r="R23" s="179">
        <f>VLOOKUP(A23,'OI(Value)'!A23:O224,11,0)</f>
        <v>449</v>
      </c>
      <c r="S23" s="179">
        <f>VLOOKUP(A23,'OI(Value)'!A23:O224,11,0)</f>
        <v>449</v>
      </c>
    </row>
    <row r="24" spans="1:19" x14ac:dyDescent="0.25">
      <c r="A24" s="105" t="str">
        <f>'Data shares'!C19</f>
        <v>ATGL</v>
      </c>
      <c r="B24" s="143">
        <f>VLOOKUP($A24,'Data shares'!$C:$FA,118)</f>
        <v>0.88</v>
      </c>
      <c r="C24" s="143">
        <f>VLOOKUP($A24,'Data shares'!$C:$FA,119)</f>
        <v>0.82</v>
      </c>
      <c r="D24" s="143">
        <f>VLOOKUP($A24,'Data shares'!$C:$FA,121)*100</f>
        <v>7.32</v>
      </c>
      <c r="E24" s="143">
        <f>VLOOKUP($A24,'Data shares'!$C:$FA,124)</f>
        <v>0.33</v>
      </c>
      <c r="F24" s="143">
        <f>VLOOKUP($A24,'Data shares'!$C:$FA,125)</f>
        <v>0.28000000000000003</v>
      </c>
      <c r="G24" s="143">
        <f>VLOOKUP($A24,'Data shares'!$C:$FA,127)*100</f>
        <v>17.86</v>
      </c>
      <c r="H24" s="103">
        <f>VLOOKUP($A24,'OI(Volume)'!$A$7:$O$427,8)</f>
        <v>1484875</v>
      </c>
      <c r="I24" s="103">
        <f>VLOOKUP($A24,'OI(Volume)'!$A$7:$O$427,9)</f>
        <v>-147875</v>
      </c>
      <c r="J24" s="103">
        <f>VLOOKUP($A24,'OI(Volume)'!$A$7:$O$427,11)</f>
        <v>1305500</v>
      </c>
      <c r="K24" s="103">
        <f>VLOOKUP($A24,'OI(Volume)'!$A$7:$O$427,12)</f>
        <v>-34125</v>
      </c>
      <c r="L24" s="103">
        <f>VLOOKUP($A24,'OI(Value)'!$A$7:$O$306,8,0)</f>
        <v>94</v>
      </c>
      <c r="M24" s="103">
        <f>VLOOKUP($A24,'OI(Value)'!$A$7:$O$306,9,0)</f>
        <v>-9</v>
      </c>
      <c r="N24" s="103">
        <f>VLOOKUP($A24,'OI(Value)'!$A$7:$O$306,11,0)</f>
        <v>83</v>
      </c>
      <c r="O24" s="103">
        <f>VLOOKUP($A24,'OI(Value)'!$A$7:$O$306,12,0)</f>
        <v>-2</v>
      </c>
      <c r="P24" s="179">
        <f>VLOOKUP(A24,'OI(Value)'!A24:O225,8,0)</f>
        <v>94</v>
      </c>
      <c r="Q24" s="179">
        <f>VLOOKUP(A24,'OI(Value)'!A24:O225,9,0)</f>
        <v>-9</v>
      </c>
      <c r="R24" s="179">
        <f>VLOOKUP(A24,'OI(Value)'!A24:O225,11,0)</f>
        <v>83</v>
      </c>
      <c r="S24" s="179">
        <f>VLOOKUP(A24,'OI(Value)'!A24:O225,11,0)</f>
        <v>83</v>
      </c>
    </row>
    <row r="25" spans="1:19" x14ac:dyDescent="0.25">
      <c r="A25" s="105" t="str">
        <f>'Data shares'!C20</f>
        <v>AUBANK</v>
      </c>
      <c r="B25" s="143">
        <f>VLOOKUP($A25,'Data shares'!$C:$FA,118)</f>
        <v>0.59</v>
      </c>
      <c r="C25" s="143">
        <f>VLOOKUP($A25,'Data shares'!$C:$FA,119)</f>
        <v>0.57999999999999996</v>
      </c>
      <c r="D25" s="143">
        <f>VLOOKUP($A25,'Data shares'!$C:$FA,121)*100</f>
        <v>1.72</v>
      </c>
      <c r="E25" s="143">
        <f>VLOOKUP($A25,'Data shares'!$C:$FA,124)</f>
        <v>0.51</v>
      </c>
      <c r="F25" s="143">
        <f>VLOOKUP($A25,'Data shares'!$C:$FA,125)</f>
        <v>0.5</v>
      </c>
      <c r="G25" s="143">
        <f>VLOOKUP($A25,'Data shares'!$C:$FA,127)*100</f>
        <v>2</v>
      </c>
      <c r="H25" s="103">
        <f>VLOOKUP($A25,'OI(Volume)'!$A$7:$O$427,8)</f>
        <v>9251000</v>
      </c>
      <c r="I25" s="103">
        <f>VLOOKUP($A25,'OI(Volume)'!$A$7:$O$427,9)</f>
        <v>38000</v>
      </c>
      <c r="J25" s="103">
        <f>VLOOKUP($A25,'OI(Volume)'!$A$7:$O$427,11)</f>
        <v>5492000</v>
      </c>
      <c r="K25" s="103">
        <f>VLOOKUP($A25,'OI(Volume)'!$A$7:$O$427,12)</f>
        <v>146000</v>
      </c>
      <c r="L25" s="103">
        <f>VLOOKUP($A25,'OI(Value)'!$A$7:$O$306,8,0)</f>
        <v>701</v>
      </c>
      <c r="M25" s="103">
        <f>VLOOKUP($A25,'OI(Value)'!$A$7:$O$306,9,0)</f>
        <v>3</v>
      </c>
      <c r="N25" s="103">
        <f>VLOOKUP($A25,'OI(Value)'!$A$7:$O$306,11,0)</f>
        <v>416</v>
      </c>
      <c r="O25" s="103">
        <f>VLOOKUP($A25,'OI(Value)'!$A$7:$O$306,12,0)</f>
        <v>11</v>
      </c>
      <c r="P25" s="179">
        <f>VLOOKUP(A25,'OI(Value)'!A25:O226,8,0)</f>
        <v>701</v>
      </c>
      <c r="Q25" s="179">
        <f>VLOOKUP(A25,'OI(Value)'!A25:O226,9,0)</f>
        <v>3</v>
      </c>
      <c r="R25" s="179">
        <f>VLOOKUP(A25,'OI(Value)'!A25:O226,11,0)</f>
        <v>416</v>
      </c>
      <c r="S25" s="179">
        <f>VLOOKUP(A25,'OI(Value)'!A25:O226,11,0)</f>
        <v>416</v>
      </c>
    </row>
    <row r="26" spans="1:19" x14ac:dyDescent="0.25">
      <c r="A26" s="105" t="str">
        <f>'Data shares'!C21</f>
        <v>AUROPHARMA</v>
      </c>
      <c r="B26" s="143">
        <f>VLOOKUP($A26,'Data shares'!$C:$FA,118)</f>
        <v>0.56000000000000005</v>
      </c>
      <c r="C26" s="143">
        <f>VLOOKUP($A26,'Data shares'!$C:$FA,119)</f>
        <v>0.75</v>
      </c>
      <c r="D26" s="143">
        <f>VLOOKUP($A26,'Data shares'!$C:$FA,121)*100</f>
        <v>-25.330000000000002</v>
      </c>
      <c r="E26" s="143">
        <f>VLOOKUP($A26,'Data shares'!$C:$FA,124)</f>
        <v>0.61</v>
      </c>
      <c r="F26" s="143">
        <f>VLOOKUP($A26,'Data shares'!$C:$FA,125)</f>
        <v>0.82</v>
      </c>
      <c r="G26" s="143">
        <f>VLOOKUP($A26,'Data shares'!$C:$FA,127)*100</f>
        <v>-25.61</v>
      </c>
      <c r="H26" s="103">
        <f>VLOOKUP($A26,'OI(Volume)'!$A$7:$O$427,8)</f>
        <v>7649400</v>
      </c>
      <c r="I26" s="103">
        <f>VLOOKUP($A26,'OI(Volume)'!$A$7:$O$427,9)</f>
        <v>3437500</v>
      </c>
      <c r="J26" s="103">
        <f>VLOOKUP($A26,'OI(Volume)'!$A$7:$O$427,11)</f>
        <v>4263050</v>
      </c>
      <c r="K26" s="103">
        <f>VLOOKUP($A26,'OI(Volume)'!$A$7:$O$427,12)</f>
        <v>1115400</v>
      </c>
      <c r="L26" s="103">
        <f>VLOOKUP($A26,'OI(Value)'!$A$7:$O$306,8,0)</f>
        <v>802</v>
      </c>
      <c r="M26" s="103">
        <f>VLOOKUP($A26,'OI(Value)'!$A$7:$O$306,9,0)</f>
        <v>361</v>
      </c>
      <c r="N26" s="103">
        <f>VLOOKUP($A26,'OI(Value)'!$A$7:$O$306,11,0)</f>
        <v>447</v>
      </c>
      <c r="O26" s="103">
        <f>VLOOKUP($A26,'OI(Value)'!$A$7:$O$306,12,0)</f>
        <v>117</v>
      </c>
      <c r="P26" s="179">
        <f>VLOOKUP(A26,'OI(Value)'!A26:O227,8,0)</f>
        <v>802</v>
      </c>
      <c r="Q26" s="179">
        <f>VLOOKUP(A26,'OI(Value)'!A26:O227,9,0)</f>
        <v>361</v>
      </c>
      <c r="R26" s="179">
        <f>VLOOKUP(A26,'OI(Value)'!A26:O227,11,0)</f>
        <v>447</v>
      </c>
      <c r="S26" s="179">
        <f>VLOOKUP(A26,'OI(Value)'!A26:O227,11,0)</f>
        <v>447</v>
      </c>
    </row>
    <row r="27" spans="1:19" x14ac:dyDescent="0.25">
      <c r="A27" s="105" t="str">
        <f>'Data shares'!C22</f>
        <v>AXISBANK</v>
      </c>
      <c r="B27" s="143">
        <f>VLOOKUP($A27,'Data shares'!$C:$FA,118)</f>
        <v>0.55000000000000004</v>
      </c>
      <c r="C27" s="143">
        <f>VLOOKUP($A27,'Data shares'!$C:$FA,119)</f>
        <v>0.56000000000000005</v>
      </c>
      <c r="D27" s="143">
        <f>VLOOKUP($A27,'Data shares'!$C:$FA,121)*100</f>
        <v>-1.79</v>
      </c>
      <c r="E27" s="143">
        <f>VLOOKUP($A27,'Data shares'!$C:$FA,124)</f>
        <v>0.54</v>
      </c>
      <c r="F27" s="143">
        <f>VLOOKUP($A27,'Data shares'!$C:$FA,125)</f>
        <v>0.53</v>
      </c>
      <c r="G27" s="143">
        <f>VLOOKUP($A27,'Data shares'!$C:$FA,127)*100</f>
        <v>1.8900000000000001</v>
      </c>
      <c r="H27" s="103">
        <f>VLOOKUP($A27,'OI(Volume)'!$A$7:$O$427,8)</f>
        <v>21047500</v>
      </c>
      <c r="I27" s="103">
        <f>VLOOKUP($A27,'OI(Volume)'!$A$7:$O$427,9)</f>
        <v>969375</v>
      </c>
      <c r="J27" s="103">
        <f>VLOOKUP($A27,'OI(Volume)'!$A$7:$O$427,11)</f>
        <v>11648125</v>
      </c>
      <c r="K27" s="103">
        <f>VLOOKUP($A27,'OI(Volume)'!$A$7:$O$427,12)</f>
        <v>355625</v>
      </c>
      <c r="L27" s="103">
        <f>VLOOKUP($A27,'OI(Value)'!$A$7:$O$306,8,0)</f>
        <v>2278</v>
      </c>
      <c r="M27" s="103">
        <f>VLOOKUP($A27,'OI(Value)'!$A$7:$O$306,9,0)</f>
        <v>105</v>
      </c>
      <c r="N27" s="103">
        <f>VLOOKUP($A27,'OI(Value)'!$A$7:$O$306,11,0)</f>
        <v>1260</v>
      </c>
      <c r="O27" s="103">
        <f>VLOOKUP($A27,'OI(Value)'!$A$7:$O$306,12,0)</f>
        <v>38</v>
      </c>
      <c r="P27" s="179">
        <f>VLOOKUP(A27,'OI(Value)'!A27:O228,8,0)</f>
        <v>2278</v>
      </c>
      <c r="Q27" s="179">
        <f>VLOOKUP(A27,'OI(Value)'!A27:O228,9,0)</f>
        <v>105</v>
      </c>
      <c r="R27" s="179">
        <f>VLOOKUP(A27,'OI(Value)'!A27:O228,11,0)</f>
        <v>1260</v>
      </c>
      <c r="S27" s="179">
        <f>VLOOKUP(A27,'OI(Value)'!A27:O228,11,0)</f>
        <v>1260</v>
      </c>
    </row>
    <row r="28" spans="1:19" x14ac:dyDescent="0.25">
      <c r="A28" s="105" t="str">
        <f>'Data shares'!C23</f>
        <v>BAJAJ-AUTO</v>
      </c>
      <c r="B28" s="143">
        <f>VLOOKUP($A28,'Data shares'!$C:$FA,118)</f>
        <v>0.83</v>
      </c>
      <c r="C28" s="143">
        <f>VLOOKUP($A28,'Data shares'!$C:$FA,119)</f>
        <v>0.77</v>
      </c>
      <c r="D28" s="143">
        <f>VLOOKUP($A28,'Data shares'!$C:$FA,121)*100</f>
        <v>7.79</v>
      </c>
      <c r="E28" s="143">
        <f>VLOOKUP($A28,'Data shares'!$C:$FA,124)</f>
        <v>0.52</v>
      </c>
      <c r="F28" s="143">
        <f>VLOOKUP($A28,'Data shares'!$C:$FA,125)</f>
        <v>0.41</v>
      </c>
      <c r="G28" s="143">
        <f>VLOOKUP($A28,'Data shares'!$C:$FA,127)*100</f>
        <v>26.83</v>
      </c>
      <c r="H28" s="103">
        <f>VLOOKUP($A28,'OI(Volume)'!$A$7:$O$427,8)</f>
        <v>1481475</v>
      </c>
      <c r="I28" s="103">
        <f>VLOOKUP($A28,'OI(Volume)'!$A$7:$O$427,9)</f>
        <v>-76725</v>
      </c>
      <c r="J28" s="103">
        <f>VLOOKUP($A28,'OI(Volume)'!$A$7:$O$427,11)</f>
        <v>1233975</v>
      </c>
      <c r="K28" s="103">
        <f>VLOOKUP($A28,'OI(Volume)'!$A$7:$O$427,12)</f>
        <v>30900</v>
      </c>
      <c r="L28" s="103">
        <f>VLOOKUP($A28,'OI(Value)'!$A$7:$O$306,8,0)</f>
        <v>1308</v>
      </c>
      <c r="M28" s="103">
        <f>VLOOKUP($A28,'OI(Value)'!$A$7:$O$306,9,0)</f>
        <v>-68</v>
      </c>
      <c r="N28" s="103">
        <f>VLOOKUP($A28,'OI(Value)'!$A$7:$O$306,11,0)</f>
        <v>1089</v>
      </c>
      <c r="O28" s="103">
        <f>VLOOKUP($A28,'OI(Value)'!$A$7:$O$306,12,0)</f>
        <v>27</v>
      </c>
      <c r="P28" s="179">
        <f>VLOOKUP(A28,'OI(Value)'!A28:O229,8,0)</f>
        <v>1308</v>
      </c>
      <c r="Q28" s="179">
        <f>VLOOKUP(A28,'OI(Value)'!A28:O229,9,0)</f>
        <v>-68</v>
      </c>
      <c r="R28" s="179">
        <f>VLOOKUP(A28,'OI(Value)'!A28:O229,11,0)</f>
        <v>1089</v>
      </c>
      <c r="S28" s="179">
        <f>VLOOKUP(A28,'OI(Value)'!A28:O229,11,0)</f>
        <v>1089</v>
      </c>
    </row>
    <row r="29" spans="1:19" x14ac:dyDescent="0.25">
      <c r="A29" s="105" t="str">
        <f>'Data shares'!C24</f>
        <v>BAJAJFINSV</v>
      </c>
      <c r="B29" s="143">
        <f>VLOOKUP($A29,'Data shares'!$C:$FA,118)</f>
        <v>0.71</v>
      </c>
      <c r="C29" s="143">
        <f>VLOOKUP($A29,'Data shares'!$C:$FA,119)</f>
        <v>0.79</v>
      </c>
      <c r="D29" s="143">
        <f>VLOOKUP($A29,'Data shares'!$C:$FA,121)*100</f>
        <v>-10.130000000000001</v>
      </c>
      <c r="E29" s="143">
        <f>VLOOKUP($A29,'Data shares'!$C:$FA,124)</f>
        <v>0.48</v>
      </c>
      <c r="F29" s="143">
        <f>VLOOKUP($A29,'Data shares'!$C:$FA,125)</f>
        <v>0.63</v>
      </c>
      <c r="G29" s="143">
        <f>VLOOKUP($A29,'Data shares'!$C:$FA,127)*100</f>
        <v>-23.810000000000002</v>
      </c>
      <c r="H29" s="103">
        <f>VLOOKUP($A29,'OI(Volume)'!$A$7:$O$427,8)</f>
        <v>6388500</v>
      </c>
      <c r="I29" s="103">
        <f>VLOOKUP($A29,'OI(Volume)'!$A$7:$O$427,9)</f>
        <v>573500</v>
      </c>
      <c r="J29" s="103">
        <f>VLOOKUP($A29,'OI(Volume)'!$A$7:$O$427,11)</f>
        <v>4542500</v>
      </c>
      <c r="K29" s="103">
        <f>VLOOKUP($A29,'OI(Volume)'!$A$7:$O$427,12)</f>
        <v>-79000</v>
      </c>
      <c r="L29" s="103">
        <f>VLOOKUP($A29,'OI(Value)'!$A$7:$O$306,8,0)</f>
        <v>1254</v>
      </c>
      <c r="M29" s="103">
        <f>VLOOKUP($A29,'OI(Value)'!$A$7:$O$306,9,0)</f>
        <v>113</v>
      </c>
      <c r="N29" s="103">
        <f>VLOOKUP($A29,'OI(Value)'!$A$7:$O$306,11,0)</f>
        <v>892</v>
      </c>
      <c r="O29" s="103">
        <f>VLOOKUP($A29,'OI(Value)'!$A$7:$O$306,12,0)</f>
        <v>-16</v>
      </c>
      <c r="P29" s="179">
        <f>VLOOKUP(A29,'OI(Value)'!A29:O230,8,0)</f>
        <v>1254</v>
      </c>
      <c r="Q29" s="179">
        <f>VLOOKUP(A29,'OI(Value)'!A29:O230,9,0)</f>
        <v>113</v>
      </c>
      <c r="R29" s="179">
        <f>VLOOKUP(A29,'OI(Value)'!A29:O230,11,0)</f>
        <v>892</v>
      </c>
      <c r="S29" s="179">
        <f>VLOOKUP(A29,'OI(Value)'!A29:O230,11,0)</f>
        <v>892</v>
      </c>
    </row>
    <row r="30" spans="1:19" x14ac:dyDescent="0.25">
      <c r="A30" s="105" t="str">
        <f>'Data shares'!C25</f>
        <v>BAJFINANCE</v>
      </c>
      <c r="B30" s="143">
        <f>VLOOKUP($A30,'Data shares'!$C:$FA,118)</f>
        <v>0.53</v>
      </c>
      <c r="C30" s="143">
        <f>VLOOKUP($A30,'Data shares'!$C:$FA,119)</f>
        <v>0.57999999999999996</v>
      </c>
      <c r="D30" s="143">
        <f>VLOOKUP($A30,'Data shares'!$C:$FA,121)*100</f>
        <v>-8.6199999999999992</v>
      </c>
      <c r="E30" s="143">
        <f>VLOOKUP($A30,'Data shares'!$C:$FA,124)</f>
        <v>0.55000000000000004</v>
      </c>
      <c r="F30" s="143">
        <f>VLOOKUP($A30,'Data shares'!$C:$FA,125)</f>
        <v>0.55000000000000004</v>
      </c>
      <c r="G30" s="143">
        <f>VLOOKUP($A30,'Data shares'!$C:$FA,127)*100</f>
        <v>0</v>
      </c>
      <c r="H30" s="103">
        <f>VLOOKUP($A30,'OI(Volume)'!$A$7:$O$427,8)</f>
        <v>29713500</v>
      </c>
      <c r="I30" s="103">
        <f>VLOOKUP($A30,'OI(Volume)'!$A$7:$O$427,9)</f>
        <v>3462750</v>
      </c>
      <c r="J30" s="103">
        <f>VLOOKUP($A30,'OI(Volume)'!$A$7:$O$427,11)</f>
        <v>15764250</v>
      </c>
      <c r="K30" s="103">
        <f>VLOOKUP($A30,'OI(Volume)'!$A$7:$O$427,12)</f>
        <v>441750</v>
      </c>
      <c r="L30" s="103">
        <f>VLOOKUP($A30,'OI(Value)'!$A$7:$O$306,8,0)</f>
        <v>2638</v>
      </c>
      <c r="M30" s="103">
        <f>VLOOKUP($A30,'OI(Value)'!$A$7:$O$306,9,0)</f>
        <v>307</v>
      </c>
      <c r="N30" s="103">
        <f>VLOOKUP($A30,'OI(Value)'!$A$7:$O$306,11,0)</f>
        <v>1400</v>
      </c>
      <c r="O30" s="103">
        <f>VLOOKUP($A30,'OI(Value)'!$A$7:$O$306,12,0)</f>
        <v>39</v>
      </c>
      <c r="P30" s="179">
        <f>VLOOKUP(A30,'OI(Value)'!A30:O231,8,0)</f>
        <v>2638</v>
      </c>
      <c r="Q30" s="179">
        <f>VLOOKUP(A30,'OI(Value)'!A30:O231,9,0)</f>
        <v>307</v>
      </c>
      <c r="R30" s="179">
        <f>VLOOKUP(A30,'OI(Value)'!A30:O231,11,0)</f>
        <v>1400</v>
      </c>
      <c r="S30" s="179">
        <f>VLOOKUP(A30,'OI(Value)'!A30:O231,11,0)</f>
        <v>1400</v>
      </c>
    </row>
    <row r="31" spans="1:19" x14ac:dyDescent="0.25">
      <c r="A31" s="105" t="str">
        <f>'Data shares'!C26</f>
        <v>BANDHANBNK</v>
      </c>
      <c r="B31" s="143">
        <f>VLOOKUP($A31,'Data shares'!$C:$FA,118)</f>
        <v>0.74</v>
      </c>
      <c r="C31" s="143">
        <f>VLOOKUP($A31,'Data shares'!$C:$FA,119)</f>
        <v>0.76</v>
      </c>
      <c r="D31" s="143">
        <f>VLOOKUP($A31,'Data shares'!$C:$FA,121)*100</f>
        <v>-2.63</v>
      </c>
      <c r="E31" s="143">
        <f>VLOOKUP($A31,'Data shares'!$C:$FA,124)</f>
        <v>0.73</v>
      </c>
      <c r="F31" s="143">
        <f>VLOOKUP($A31,'Data shares'!$C:$FA,125)</f>
        <v>0.63</v>
      </c>
      <c r="G31" s="143">
        <f>VLOOKUP($A31,'Data shares'!$C:$FA,127)*100</f>
        <v>15.870000000000001</v>
      </c>
      <c r="H31" s="103">
        <f>VLOOKUP($A31,'OI(Volume)'!$A$7:$O$427,8)</f>
        <v>23137200</v>
      </c>
      <c r="I31" s="103">
        <f>VLOOKUP($A31,'OI(Volume)'!$A$7:$O$427,9)</f>
        <v>86400</v>
      </c>
      <c r="J31" s="103">
        <f>VLOOKUP($A31,'OI(Volume)'!$A$7:$O$427,11)</f>
        <v>17157600</v>
      </c>
      <c r="K31" s="103">
        <f>VLOOKUP($A31,'OI(Volume)'!$A$7:$O$427,12)</f>
        <v>-403200</v>
      </c>
      <c r="L31" s="103">
        <f>VLOOKUP($A31,'OI(Value)'!$A$7:$O$306,8,0)</f>
        <v>404</v>
      </c>
      <c r="M31" s="103">
        <f>VLOOKUP($A31,'OI(Value)'!$A$7:$O$306,9,0)</f>
        <v>2</v>
      </c>
      <c r="N31" s="103">
        <f>VLOOKUP($A31,'OI(Value)'!$A$7:$O$306,11,0)</f>
        <v>300</v>
      </c>
      <c r="O31" s="103">
        <f>VLOOKUP($A31,'OI(Value)'!$A$7:$O$306,12,0)</f>
        <v>-7</v>
      </c>
      <c r="P31" s="179">
        <f>VLOOKUP(A31,'OI(Value)'!A31:O232,8,0)</f>
        <v>404</v>
      </c>
      <c r="Q31" s="179">
        <f>VLOOKUP(A31,'OI(Value)'!A31:O232,9,0)</f>
        <v>2</v>
      </c>
      <c r="R31" s="179">
        <f>VLOOKUP(A31,'OI(Value)'!A31:O232,11,0)</f>
        <v>300</v>
      </c>
      <c r="S31" s="179">
        <f>VLOOKUP(A31,'OI(Value)'!A31:O232,11,0)</f>
        <v>300</v>
      </c>
    </row>
    <row r="32" spans="1:19" x14ac:dyDescent="0.25">
      <c r="A32" s="105" t="str">
        <f>'Data shares'!C27</f>
        <v>BANKBARODA</v>
      </c>
      <c r="B32" s="143">
        <f>VLOOKUP($A32,'Data shares'!$C:$FA,118)</f>
        <v>0.93</v>
      </c>
      <c r="C32" s="143">
        <f>VLOOKUP($A32,'Data shares'!$C:$FA,119)</f>
        <v>0.98</v>
      </c>
      <c r="D32" s="143">
        <f>VLOOKUP($A32,'Data shares'!$C:$FA,121)*100</f>
        <v>-5.0999999999999996</v>
      </c>
      <c r="E32" s="143">
        <f>VLOOKUP($A32,'Data shares'!$C:$FA,124)</f>
        <v>0.61</v>
      </c>
      <c r="F32" s="143">
        <f>VLOOKUP($A32,'Data shares'!$C:$FA,125)</f>
        <v>0.55000000000000004</v>
      </c>
      <c r="G32" s="143">
        <f>VLOOKUP($A32,'Data shares'!$C:$FA,127)*100</f>
        <v>10.91</v>
      </c>
      <c r="H32" s="103">
        <f>VLOOKUP($A32,'OI(Volume)'!$A$7:$O$427,8)</f>
        <v>41303925</v>
      </c>
      <c r="I32" s="103">
        <f>VLOOKUP($A32,'OI(Volume)'!$A$7:$O$427,9)</f>
        <v>4013100</v>
      </c>
      <c r="J32" s="103">
        <f>VLOOKUP($A32,'OI(Volume)'!$A$7:$O$427,11)</f>
        <v>38218050</v>
      </c>
      <c r="K32" s="103">
        <f>VLOOKUP($A32,'OI(Volume)'!$A$7:$O$427,12)</f>
        <v>1538550</v>
      </c>
      <c r="L32" s="103">
        <f>VLOOKUP($A32,'OI(Value)'!$A$7:$O$306,8,0)</f>
        <v>1014</v>
      </c>
      <c r="M32" s="103">
        <f>VLOOKUP($A32,'OI(Value)'!$A$7:$O$306,9,0)</f>
        <v>99</v>
      </c>
      <c r="N32" s="103">
        <f>VLOOKUP($A32,'OI(Value)'!$A$7:$O$306,11,0)</f>
        <v>938</v>
      </c>
      <c r="O32" s="103">
        <f>VLOOKUP($A32,'OI(Value)'!$A$7:$O$306,12,0)</f>
        <v>38</v>
      </c>
      <c r="P32" s="179">
        <f>VLOOKUP(A32,'OI(Value)'!A32:O233,8,0)</f>
        <v>1014</v>
      </c>
      <c r="Q32" s="179">
        <f>VLOOKUP(A32,'OI(Value)'!A32:O233,9,0)</f>
        <v>99</v>
      </c>
      <c r="R32" s="179">
        <f>VLOOKUP(A32,'OI(Value)'!A32:O233,11,0)</f>
        <v>938</v>
      </c>
      <c r="S32" s="179">
        <f>VLOOKUP(A32,'OI(Value)'!A32:O233,11,0)</f>
        <v>938</v>
      </c>
    </row>
    <row r="33" spans="1:19" x14ac:dyDescent="0.25">
      <c r="A33" s="105" t="str">
        <f>'Data shares'!C28</f>
        <v>BANKINDIA</v>
      </c>
      <c r="B33" s="143">
        <f>VLOOKUP($A33,'Data shares'!$C:$FA,118)</f>
        <v>0.92</v>
      </c>
      <c r="C33" s="143">
        <f>VLOOKUP($A33,'Data shares'!$C:$FA,119)</f>
        <v>0.86</v>
      </c>
      <c r="D33" s="143">
        <f>VLOOKUP($A33,'Data shares'!$C:$FA,121)*100</f>
        <v>6.98</v>
      </c>
      <c r="E33" s="143">
        <f>VLOOKUP($A33,'Data shares'!$C:$FA,124)</f>
        <v>1.07</v>
      </c>
      <c r="F33" s="143">
        <f>VLOOKUP($A33,'Data shares'!$C:$FA,125)</f>
        <v>0.56000000000000005</v>
      </c>
      <c r="G33" s="143">
        <f>VLOOKUP($A33,'Data shares'!$C:$FA,127)*100</f>
        <v>91.07</v>
      </c>
      <c r="H33" s="103">
        <f>VLOOKUP($A33,'OI(Volume)'!$A$7:$O$427,8)</f>
        <v>16504800</v>
      </c>
      <c r="I33" s="103">
        <f>VLOOKUP($A33,'OI(Volume)'!$A$7:$O$427,9)</f>
        <v>-442000</v>
      </c>
      <c r="J33" s="103">
        <f>VLOOKUP($A33,'OI(Volume)'!$A$7:$O$427,11)</f>
        <v>15246400</v>
      </c>
      <c r="K33" s="103">
        <f>VLOOKUP($A33,'OI(Volume)'!$A$7:$O$427,12)</f>
        <v>743600</v>
      </c>
      <c r="L33" s="103">
        <f>VLOOKUP($A33,'OI(Value)'!$A$7:$O$306,8,0)</f>
        <v>192</v>
      </c>
      <c r="M33" s="103">
        <f>VLOOKUP($A33,'OI(Value)'!$A$7:$O$306,9,0)</f>
        <v>-5</v>
      </c>
      <c r="N33" s="103">
        <f>VLOOKUP($A33,'OI(Value)'!$A$7:$O$306,11,0)</f>
        <v>178</v>
      </c>
      <c r="O33" s="103">
        <f>VLOOKUP($A33,'OI(Value)'!$A$7:$O$306,12,0)</f>
        <v>9</v>
      </c>
      <c r="P33" s="179">
        <f>VLOOKUP(A33,'OI(Value)'!A33:O234,8,0)</f>
        <v>192</v>
      </c>
      <c r="Q33" s="179">
        <f>VLOOKUP(A33,'OI(Value)'!A33:O234,9,0)</f>
        <v>-5</v>
      </c>
      <c r="R33" s="179">
        <f>VLOOKUP(A33,'OI(Value)'!A33:O234,11,0)</f>
        <v>178</v>
      </c>
      <c r="S33" s="179">
        <f>VLOOKUP(A33,'OI(Value)'!A33:O234,11,0)</f>
        <v>178</v>
      </c>
    </row>
    <row r="34" spans="1:19" x14ac:dyDescent="0.25">
      <c r="A34" s="105" t="str">
        <f>'Data shares'!C29</f>
        <v>BANKNIFTY</v>
      </c>
      <c r="B34" s="143">
        <f>VLOOKUP($A34,'Data shares'!$C:$FA,118)</f>
        <v>0.76</v>
      </c>
      <c r="C34" s="143">
        <f>VLOOKUP($A34,'Data shares'!$C:$FA,119)</f>
        <v>0.82</v>
      </c>
      <c r="D34" s="143">
        <f>VLOOKUP($A34,'Data shares'!$C:$FA,121)*100</f>
        <v>-7.32</v>
      </c>
      <c r="E34" s="143">
        <f>VLOOKUP($A34,'Data shares'!$C:$FA,124)</f>
        <v>0.9</v>
      </c>
      <c r="F34" s="143">
        <f>VLOOKUP($A34,'Data shares'!$C:$FA,125)</f>
        <v>0.82</v>
      </c>
      <c r="G34" s="143">
        <f>VLOOKUP($A34,'Data shares'!$C:$FA,127)*100</f>
        <v>9.76</v>
      </c>
      <c r="H34" s="103">
        <f>VLOOKUP($A34,'OI(Volume)'!$A$7:$O$427,8)</f>
        <v>23096320</v>
      </c>
      <c r="I34" s="103">
        <f>VLOOKUP($A34,'OI(Volume)'!$A$7:$O$427,9)</f>
        <v>1607805</v>
      </c>
      <c r="J34" s="103">
        <f>VLOOKUP($A34,'OI(Volume)'!$A$7:$O$427,11)</f>
        <v>17587045</v>
      </c>
      <c r="K34" s="103">
        <f>VLOOKUP($A34,'OI(Volume)'!$A$7:$O$427,12)</f>
        <v>-83605</v>
      </c>
      <c r="L34" s="103">
        <f>VLOOKUP($A34,'OI(Value)'!$A$7:$O$306,8,0)</f>
        <v>128913</v>
      </c>
      <c r="M34" s="103">
        <f>VLOOKUP($A34,'OI(Value)'!$A$7:$O$306,9,0)</f>
        <v>8974</v>
      </c>
      <c r="N34" s="103">
        <f>VLOOKUP($A34,'OI(Value)'!$A$7:$O$306,11,0)</f>
        <v>98163</v>
      </c>
      <c r="O34" s="103">
        <f>VLOOKUP($A34,'OI(Value)'!$A$7:$O$306,12,0)</f>
        <v>-467</v>
      </c>
      <c r="P34" s="179">
        <f>VLOOKUP(A34,'OI(Value)'!A34:O235,8,0)</f>
        <v>128913</v>
      </c>
      <c r="Q34" s="179">
        <f>VLOOKUP(A34,'OI(Value)'!A34:O235,9,0)</f>
        <v>8974</v>
      </c>
      <c r="R34" s="179">
        <f>VLOOKUP(A34,'OI(Value)'!A34:O235,11,0)</f>
        <v>98163</v>
      </c>
      <c r="S34" s="179">
        <f>VLOOKUP(A34,'OI(Value)'!A34:O235,11,0)</f>
        <v>98163</v>
      </c>
    </row>
    <row r="35" spans="1:19" x14ac:dyDescent="0.25">
      <c r="A35" s="105" t="str">
        <f>'Data shares'!C30</f>
        <v>BDL</v>
      </c>
      <c r="B35" s="143">
        <f>VLOOKUP($A35,'Data shares'!$C:$FA,118)</f>
        <v>0.62</v>
      </c>
      <c r="C35" s="143">
        <f>VLOOKUP($A35,'Data shares'!$C:$FA,119)</f>
        <v>0.69</v>
      </c>
      <c r="D35" s="143">
        <f>VLOOKUP($A35,'Data shares'!$C:$FA,121)*100</f>
        <v>-10.14</v>
      </c>
      <c r="E35" s="143">
        <f>VLOOKUP($A35,'Data shares'!$C:$FA,124)</f>
        <v>0.54</v>
      </c>
      <c r="F35" s="143">
        <f>VLOOKUP($A35,'Data shares'!$C:$FA,125)</f>
        <v>1.1200000000000001</v>
      </c>
      <c r="G35" s="143">
        <f>VLOOKUP($A35,'Data shares'!$C:$FA,127)*100</f>
        <v>-51.790000000000006</v>
      </c>
      <c r="H35" s="103">
        <f>VLOOKUP($A35,'OI(Volume)'!$A$7:$O$427,8)</f>
        <v>3361475</v>
      </c>
      <c r="I35" s="103">
        <f>VLOOKUP($A35,'OI(Volume)'!$A$7:$O$427,9)</f>
        <v>364650</v>
      </c>
      <c r="J35" s="103">
        <f>VLOOKUP($A35,'OI(Volume)'!$A$7:$O$427,11)</f>
        <v>2089750</v>
      </c>
      <c r="K35" s="103">
        <f>VLOOKUP($A35,'OI(Volume)'!$A$7:$O$427,12)</f>
        <v>7800</v>
      </c>
      <c r="L35" s="103">
        <f>VLOOKUP($A35,'OI(Value)'!$A$7:$O$306,8,0)</f>
        <v>515</v>
      </c>
      <c r="M35" s="103">
        <f>VLOOKUP($A35,'OI(Value)'!$A$7:$O$306,9,0)</f>
        <v>56</v>
      </c>
      <c r="N35" s="103">
        <f>VLOOKUP($A35,'OI(Value)'!$A$7:$O$306,11,0)</f>
        <v>320</v>
      </c>
      <c r="O35" s="103">
        <f>VLOOKUP($A35,'OI(Value)'!$A$7:$O$306,12,0)</f>
        <v>1</v>
      </c>
      <c r="P35" s="179">
        <f>VLOOKUP(A35,'OI(Value)'!A35:O236,8,0)</f>
        <v>515</v>
      </c>
      <c r="Q35" s="179">
        <f>VLOOKUP(A35,'OI(Value)'!A35:O236,9,0)</f>
        <v>56</v>
      </c>
      <c r="R35" s="179">
        <f>VLOOKUP(A35,'OI(Value)'!A35:O236,11,0)</f>
        <v>320</v>
      </c>
      <c r="S35" s="179">
        <f>VLOOKUP(A35,'OI(Value)'!A35:O236,11,0)</f>
        <v>320</v>
      </c>
    </row>
    <row r="36" spans="1:19" x14ac:dyDescent="0.25">
      <c r="A36" s="105" t="str">
        <f>'Data shares'!C31</f>
        <v>BEL</v>
      </c>
      <c r="B36" s="143">
        <f>VLOOKUP($A36,'Data shares'!$C:$FA,118)</f>
        <v>0.5</v>
      </c>
      <c r="C36" s="143">
        <f>VLOOKUP($A36,'Data shares'!$C:$FA,119)</f>
        <v>0.54</v>
      </c>
      <c r="D36" s="143">
        <f>VLOOKUP($A36,'Data shares'!$C:$FA,121)*100</f>
        <v>-7.41</v>
      </c>
      <c r="E36" s="143">
        <f>VLOOKUP($A36,'Data shares'!$C:$FA,124)</f>
        <v>0.52</v>
      </c>
      <c r="F36" s="143">
        <f>VLOOKUP($A36,'Data shares'!$C:$FA,125)</f>
        <v>0.53</v>
      </c>
      <c r="G36" s="143">
        <f>VLOOKUP($A36,'Data shares'!$C:$FA,127)*100</f>
        <v>-1.8900000000000001</v>
      </c>
      <c r="H36" s="103">
        <f>VLOOKUP($A36,'OI(Volume)'!$A$7:$O$427,8)</f>
        <v>91872600</v>
      </c>
      <c r="I36" s="103">
        <f>VLOOKUP($A36,'OI(Volume)'!$A$7:$O$427,9)</f>
        <v>17561700</v>
      </c>
      <c r="J36" s="103">
        <f>VLOOKUP($A36,'OI(Volume)'!$A$7:$O$427,11)</f>
        <v>45793800</v>
      </c>
      <c r="K36" s="103">
        <f>VLOOKUP($A36,'OI(Volume)'!$A$7:$O$427,12)</f>
        <v>5839650</v>
      </c>
      <c r="L36" s="103">
        <f>VLOOKUP($A36,'OI(Value)'!$A$7:$O$306,8,0)</f>
        <v>3419</v>
      </c>
      <c r="M36" s="103">
        <f>VLOOKUP($A36,'OI(Value)'!$A$7:$O$306,9,0)</f>
        <v>654</v>
      </c>
      <c r="N36" s="103">
        <f>VLOOKUP($A36,'OI(Value)'!$A$7:$O$306,11,0)</f>
        <v>1704</v>
      </c>
      <c r="O36" s="103">
        <f>VLOOKUP($A36,'OI(Value)'!$A$7:$O$306,12,0)</f>
        <v>217</v>
      </c>
      <c r="P36" s="179">
        <f>VLOOKUP(A36,'OI(Value)'!A36:O237,8,0)</f>
        <v>3419</v>
      </c>
      <c r="Q36" s="179">
        <f>VLOOKUP(A36,'OI(Value)'!A36:O237,9,0)</f>
        <v>654</v>
      </c>
      <c r="R36" s="179">
        <f>VLOOKUP(A36,'OI(Value)'!A36:O237,11,0)</f>
        <v>1704</v>
      </c>
      <c r="S36" s="179">
        <f>VLOOKUP(A36,'OI(Value)'!A36:O237,11,0)</f>
        <v>1704</v>
      </c>
    </row>
    <row r="37" spans="1:19" x14ac:dyDescent="0.25">
      <c r="A37" s="105" t="str">
        <f>'Data shares'!C32</f>
        <v>BHARATFORG</v>
      </c>
      <c r="B37" s="143">
        <f>VLOOKUP($A37,'Data shares'!$C:$FA,118)</f>
        <v>0.68</v>
      </c>
      <c r="C37" s="143">
        <f>VLOOKUP($A37,'Data shares'!$C:$FA,119)</f>
        <v>0.72</v>
      </c>
      <c r="D37" s="143">
        <f>VLOOKUP($A37,'Data shares'!$C:$FA,121)*100</f>
        <v>-5.56</v>
      </c>
      <c r="E37" s="143">
        <f>VLOOKUP($A37,'Data shares'!$C:$FA,124)</f>
        <v>0.63</v>
      </c>
      <c r="F37" s="143">
        <f>VLOOKUP($A37,'Data shares'!$C:$FA,125)</f>
        <v>0.48</v>
      </c>
      <c r="G37" s="143">
        <f>VLOOKUP($A37,'Data shares'!$C:$FA,127)*100</f>
        <v>31.25</v>
      </c>
      <c r="H37" s="103">
        <f>VLOOKUP($A37,'OI(Volume)'!$A$7:$O$427,8)</f>
        <v>3746500</v>
      </c>
      <c r="I37" s="103">
        <f>VLOOKUP($A37,'OI(Volume)'!$A$7:$O$427,9)</f>
        <v>341500</v>
      </c>
      <c r="J37" s="103">
        <f>VLOOKUP($A37,'OI(Volume)'!$A$7:$O$427,11)</f>
        <v>2534500</v>
      </c>
      <c r="K37" s="103">
        <f>VLOOKUP($A37,'OI(Volume)'!$A$7:$O$427,12)</f>
        <v>75000</v>
      </c>
      <c r="L37" s="103">
        <f>VLOOKUP($A37,'OI(Value)'!$A$7:$O$306,8,0)</f>
        <v>435</v>
      </c>
      <c r="M37" s="103">
        <f>VLOOKUP($A37,'OI(Value)'!$A$7:$O$306,9,0)</f>
        <v>40</v>
      </c>
      <c r="N37" s="103">
        <f>VLOOKUP($A37,'OI(Value)'!$A$7:$O$306,11,0)</f>
        <v>294</v>
      </c>
      <c r="O37" s="103">
        <f>VLOOKUP($A37,'OI(Value)'!$A$7:$O$306,12,0)</f>
        <v>9</v>
      </c>
      <c r="P37" s="179">
        <f>VLOOKUP(A37,'OI(Value)'!A37:O238,8,0)</f>
        <v>435</v>
      </c>
      <c r="Q37" s="179">
        <f>VLOOKUP(A37,'OI(Value)'!A37:O238,9,0)</f>
        <v>40</v>
      </c>
      <c r="R37" s="179">
        <f>VLOOKUP(A37,'OI(Value)'!A37:O238,11,0)</f>
        <v>294</v>
      </c>
      <c r="S37" s="179">
        <f>VLOOKUP(A37,'OI(Value)'!A37:O238,11,0)</f>
        <v>294</v>
      </c>
    </row>
    <row r="38" spans="1:19" x14ac:dyDescent="0.25">
      <c r="A38" s="105" t="str">
        <f>'Data shares'!C33</f>
        <v>BHARTIARTL</v>
      </c>
      <c r="B38" s="143">
        <f>VLOOKUP($A38,'Data shares'!$C:$FA,118)</f>
        <v>0.45</v>
      </c>
      <c r="C38" s="143">
        <f>VLOOKUP($A38,'Data shares'!$C:$FA,119)</f>
        <v>0.43</v>
      </c>
      <c r="D38" s="143">
        <f>VLOOKUP($A38,'Data shares'!$C:$FA,121)*100</f>
        <v>4.6500000000000004</v>
      </c>
      <c r="E38" s="143">
        <f>VLOOKUP($A38,'Data shares'!$C:$FA,124)</f>
        <v>0.38</v>
      </c>
      <c r="F38" s="143">
        <f>VLOOKUP($A38,'Data shares'!$C:$FA,125)</f>
        <v>0.39</v>
      </c>
      <c r="G38" s="143">
        <f>VLOOKUP($A38,'Data shares'!$C:$FA,127)*100</f>
        <v>-2.56</v>
      </c>
      <c r="H38" s="103">
        <f>VLOOKUP($A38,'OI(Volume)'!$A$7:$O$427,8)</f>
        <v>18500300</v>
      </c>
      <c r="I38" s="103">
        <f>VLOOKUP($A38,'OI(Volume)'!$A$7:$O$427,9)</f>
        <v>-193325</v>
      </c>
      <c r="J38" s="103">
        <f>VLOOKUP($A38,'OI(Volume)'!$A$7:$O$427,11)</f>
        <v>8288750</v>
      </c>
      <c r="K38" s="103">
        <f>VLOOKUP($A38,'OI(Volume)'!$A$7:$O$427,12)</f>
        <v>282150</v>
      </c>
      <c r="L38" s="103">
        <f>VLOOKUP($A38,'OI(Value)'!$A$7:$O$306,8,0)</f>
        <v>3569</v>
      </c>
      <c r="M38" s="103">
        <f>VLOOKUP($A38,'OI(Value)'!$A$7:$O$306,9,0)</f>
        <v>-37</v>
      </c>
      <c r="N38" s="103">
        <f>VLOOKUP($A38,'OI(Value)'!$A$7:$O$306,11,0)</f>
        <v>1599</v>
      </c>
      <c r="O38" s="103">
        <f>VLOOKUP($A38,'OI(Value)'!$A$7:$O$306,12,0)</f>
        <v>54</v>
      </c>
      <c r="P38" s="179">
        <f>VLOOKUP(A38,'OI(Value)'!A38:O239,8,0)</f>
        <v>3569</v>
      </c>
      <c r="Q38" s="179">
        <f>VLOOKUP(A38,'OI(Value)'!A38:O239,9,0)</f>
        <v>-37</v>
      </c>
      <c r="R38" s="179">
        <f>VLOOKUP(A38,'OI(Value)'!A38:O239,11,0)</f>
        <v>1599</v>
      </c>
      <c r="S38" s="179">
        <f>VLOOKUP(A38,'OI(Value)'!A38:O239,11,0)</f>
        <v>1599</v>
      </c>
    </row>
    <row r="39" spans="1:19" x14ac:dyDescent="0.25">
      <c r="A39" s="105" t="str">
        <f>'Data shares'!C34</f>
        <v>BHEL</v>
      </c>
      <c r="B39" s="143">
        <f>VLOOKUP($A39,'Data shares'!$C:$FA,118)</f>
        <v>0.54</v>
      </c>
      <c r="C39" s="143">
        <f>VLOOKUP($A39,'Data shares'!$C:$FA,119)</f>
        <v>0.54</v>
      </c>
      <c r="D39" s="143">
        <f>VLOOKUP($A39,'Data shares'!$C:$FA,121)*100</f>
        <v>0</v>
      </c>
      <c r="E39" s="143">
        <f>VLOOKUP($A39,'Data shares'!$C:$FA,124)</f>
        <v>0.51</v>
      </c>
      <c r="F39" s="143">
        <f>VLOOKUP($A39,'Data shares'!$C:$FA,125)</f>
        <v>0.41</v>
      </c>
      <c r="G39" s="143">
        <f>VLOOKUP($A39,'Data shares'!$C:$FA,127)*100</f>
        <v>24.39</v>
      </c>
      <c r="H39" s="103">
        <f>VLOOKUP($A39,'OI(Volume)'!$A$7:$O$427,8)</f>
        <v>41514375</v>
      </c>
      <c r="I39" s="103">
        <f>VLOOKUP($A39,'OI(Volume)'!$A$7:$O$427,9)</f>
        <v>-658875</v>
      </c>
      <c r="J39" s="103">
        <f>VLOOKUP($A39,'OI(Volume)'!$A$7:$O$427,11)</f>
        <v>22519875</v>
      </c>
      <c r="K39" s="103">
        <f>VLOOKUP($A39,'OI(Volume)'!$A$7:$O$427,12)</f>
        <v>-362250</v>
      </c>
      <c r="L39" s="103">
        <f>VLOOKUP($A39,'OI(Value)'!$A$7:$O$306,8,0)</f>
        <v>917</v>
      </c>
      <c r="M39" s="103">
        <f>VLOOKUP($A39,'OI(Value)'!$A$7:$O$306,9,0)</f>
        <v>-15</v>
      </c>
      <c r="N39" s="103">
        <f>VLOOKUP($A39,'OI(Value)'!$A$7:$O$306,11,0)</f>
        <v>498</v>
      </c>
      <c r="O39" s="103">
        <f>VLOOKUP($A39,'OI(Value)'!$A$7:$O$306,12,0)</f>
        <v>-8</v>
      </c>
      <c r="P39" s="179">
        <f>VLOOKUP(A39,'OI(Value)'!A39:O240,8,0)</f>
        <v>917</v>
      </c>
      <c r="Q39" s="179">
        <f>VLOOKUP(A39,'OI(Value)'!A39:O240,9,0)</f>
        <v>-15</v>
      </c>
      <c r="R39" s="179">
        <f>VLOOKUP(A39,'OI(Value)'!A39:O240,11,0)</f>
        <v>498</v>
      </c>
      <c r="S39" s="179">
        <f>VLOOKUP(A39,'OI(Value)'!A39:O240,11,0)</f>
        <v>498</v>
      </c>
    </row>
    <row r="40" spans="1:19" x14ac:dyDescent="0.25">
      <c r="A40" s="105" t="str">
        <f>'Data shares'!C35</f>
        <v>BIOCON</v>
      </c>
      <c r="B40" s="143">
        <f>VLOOKUP($A40,'Data shares'!$C:$FA,118)</f>
        <v>0.61</v>
      </c>
      <c r="C40" s="143">
        <f>VLOOKUP($A40,'Data shares'!$C:$FA,119)</f>
        <v>0.63</v>
      </c>
      <c r="D40" s="143">
        <f>VLOOKUP($A40,'Data shares'!$C:$FA,121)*100</f>
        <v>-3.17</v>
      </c>
      <c r="E40" s="143">
        <f>VLOOKUP($A40,'Data shares'!$C:$FA,124)</f>
        <v>0.66</v>
      </c>
      <c r="F40" s="143">
        <f>VLOOKUP($A40,'Data shares'!$C:$FA,125)</f>
        <v>0.66</v>
      </c>
      <c r="G40" s="143">
        <f>VLOOKUP($A40,'Data shares'!$C:$FA,127)*100</f>
        <v>0</v>
      </c>
      <c r="H40" s="103">
        <f>VLOOKUP($A40,'OI(Volume)'!$A$7:$O$427,8)</f>
        <v>22590000</v>
      </c>
      <c r="I40" s="103">
        <f>VLOOKUP($A40,'OI(Volume)'!$A$7:$O$427,9)</f>
        <v>340000</v>
      </c>
      <c r="J40" s="103">
        <f>VLOOKUP($A40,'OI(Volume)'!$A$7:$O$427,11)</f>
        <v>13832500</v>
      </c>
      <c r="K40" s="103">
        <f>VLOOKUP($A40,'OI(Volume)'!$A$7:$O$427,12)</f>
        <v>-287500</v>
      </c>
      <c r="L40" s="103">
        <f>VLOOKUP($A40,'OI(Value)'!$A$7:$O$306,8,0)</f>
        <v>813</v>
      </c>
      <c r="M40" s="103">
        <f>VLOOKUP($A40,'OI(Value)'!$A$7:$O$306,9,0)</f>
        <v>12</v>
      </c>
      <c r="N40" s="103">
        <f>VLOOKUP($A40,'OI(Value)'!$A$7:$O$306,11,0)</f>
        <v>498</v>
      </c>
      <c r="O40" s="103">
        <f>VLOOKUP($A40,'OI(Value)'!$A$7:$O$306,12,0)</f>
        <v>-10</v>
      </c>
      <c r="P40" s="179">
        <f>VLOOKUP(A40,'OI(Value)'!A40:O241,8,0)</f>
        <v>813</v>
      </c>
      <c r="Q40" s="179">
        <f>VLOOKUP(A40,'OI(Value)'!A40:O241,9,0)</f>
        <v>12</v>
      </c>
      <c r="R40" s="179">
        <f>VLOOKUP(A40,'OI(Value)'!A40:O241,11,0)</f>
        <v>498</v>
      </c>
      <c r="S40" s="179">
        <f>VLOOKUP(A40,'OI(Value)'!A40:O241,11,0)</f>
        <v>498</v>
      </c>
    </row>
    <row r="41" spans="1:19" x14ac:dyDescent="0.25">
      <c r="A41" s="105" t="str">
        <f>'Data shares'!C36</f>
        <v>BLUESTARCO</v>
      </c>
      <c r="B41" s="143">
        <f>VLOOKUP($A41,'Data shares'!$C:$FA,118)</f>
        <v>0.66</v>
      </c>
      <c r="C41" s="143">
        <f>VLOOKUP($A41,'Data shares'!$C:$FA,119)</f>
        <v>0.89</v>
      </c>
      <c r="D41" s="143">
        <f>VLOOKUP($A41,'Data shares'!$C:$FA,121)*100</f>
        <v>-25.840000000000003</v>
      </c>
      <c r="E41" s="143">
        <f>VLOOKUP($A41,'Data shares'!$C:$FA,124)</f>
        <v>0.23</v>
      </c>
      <c r="F41" s="143">
        <f>VLOOKUP($A41,'Data shares'!$C:$FA,125)</f>
        <v>0.66</v>
      </c>
      <c r="G41" s="143">
        <f>VLOOKUP($A41,'Data shares'!$C:$FA,127)*100</f>
        <v>-65.149999999999991</v>
      </c>
      <c r="H41" s="103">
        <f>VLOOKUP($A41,'OI(Volume)'!$A$7:$O$427,8)</f>
        <v>1037400</v>
      </c>
      <c r="I41" s="103">
        <f>VLOOKUP($A41,'OI(Volume)'!$A$7:$O$427,9)</f>
        <v>315250</v>
      </c>
      <c r="J41" s="103">
        <f>VLOOKUP($A41,'OI(Volume)'!$A$7:$O$427,11)</f>
        <v>682175</v>
      </c>
      <c r="K41" s="103">
        <f>VLOOKUP($A41,'OI(Volume)'!$A$7:$O$427,12)</f>
        <v>36400</v>
      </c>
      <c r="L41" s="103">
        <f>VLOOKUP($A41,'OI(Value)'!$A$7:$O$306,8,0)</f>
        <v>200</v>
      </c>
      <c r="M41" s="103">
        <f>VLOOKUP($A41,'OI(Value)'!$A$7:$O$306,9,0)</f>
        <v>61</v>
      </c>
      <c r="N41" s="103">
        <f>VLOOKUP($A41,'OI(Value)'!$A$7:$O$306,11,0)</f>
        <v>131</v>
      </c>
      <c r="O41" s="103">
        <f>VLOOKUP($A41,'OI(Value)'!$A$7:$O$306,12,0)</f>
        <v>7</v>
      </c>
      <c r="P41" s="179">
        <f>VLOOKUP(A41,'OI(Value)'!A41:O242,8,0)</f>
        <v>200</v>
      </c>
      <c r="Q41" s="179">
        <f>VLOOKUP(A41,'OI(Value)'!A41:O242,9,0)</f>
        <v>61</v>
      </c>
      <c r="R41" s="179">
        <f>VLOOKUP(A41,'OI(Value)'!A41:O242,11,0)</f>
        <v>131</v>
      </c>
      <c r="S41" s="179">
        <f>VLOOKUP(A41,'OI(Value)'!A41:O242,11,0)</f>
        <v>131</v>
      </c>
    </row>
    <row r="42" spans="1:19" x14ac:dyDescent="0.25">
      <c r="A42" s="105" t="str">
        <f>'Data shares'!C37</f>
        <v>BOSCHLTD</v>
      </c>
      <c r="B42" s="143">
        <f>VLOOKUP($A42,'Data shares'!$C:$FA,118)</f>
        <v>0.35</v>
      </c>
      <c r="C42" s="143">
        <f>VLOOKUP($A42,'Data shares'!$C:$FA,119)</f>
        <v>0.35</v>
      </c>
      <c r="D42" s="143">
        <f>VLOOKUP($A42,'Data shares'!$C:$FA,121)*100</f>
        <v>0</v>
      </c>
      <c r="E42" s="143">
        <f>VLOOKUP($A42,'Data shares'!$C:$FA,124)</f>
        <v>0.42</v>
      </c>
      <c r="F42" s="143">
        <f>VLOOKUP($A42,'Data shares'!$C:$FA,125)</f>
        <v>0.3</v>
      </c>
      <c r="G42" s="143">
        <f>VLOOKUP($A42,'Data shares'!$C:$FA,127)*100</f>
        <v>40</v>
      </c>
      <c r="H42" s="103">
        <f>VLOOKUP($A42,'OI(Volume)'!$A$7:$O$427,8)</f>
        <v>367475</v>
      </c>
      <c r="I42" s="103">
        <f>VLOOKUP($A42,'OI(Volume)'!$A$7:$O$427,9)</f>
        <v>7825</v>
      </c>
      <c r="J42" s="103">
        <f>VLOOKUP($A42,'OI(Volume)'!$A$7:$O$427,11)</f>
        <v>127875</v>
      </c>
      <c r="K42" s="103">
        <f>VLOOKUP($A42,'OI(Volume)'!$A$7:$O$427,12)</f>
        <v>2625</v>
      </c>
      <c r="L42" s="103">
        <f>VLOOKUP($A42,'OI(Value)'!$A$7:$O$306,8,0)</f>
        <v>1471</v>
      </c>
      <c r="M42" s="103">
        <f>VLOOKUP($A42,'OI(Value)'!$A$7:$O$306,9,0)</f>
        <v>31</v>
      </c>
      <c r="N42" s="103">
        <f>VLOOKUP($A42,'OI(Value)'!$A$7:$O$306,11,0)</f>
        <v>512</v>
      </c>
      <c r="O42" s="103">
        <f>VLOOKUP($A42,'OI(Value)'!$A$7:$O$306,12,0)</f>
        <v>11</v>
      </c>
      <c r="P42" s="179">
        <f>VLOOKUP(A42,'OI(Value)'!A42:O243,8,0)</f>
        <v>1471</v>
      </c>
      <c r="Q42" s="179">
        <f>VLOOKUP(A42,'OI(Value)'!A42:O243,9,0)</f>
        <v>31</v>
      </c>
      <c r="R42" s="179">
        <f>VLOOKUP(A42,'OI(Value)'!A42:O243,11,0)</f>
        <v>512</v>
      </c>
      <c r="S42" s="179">
        <f>VLOOKUP(A42,'OI(Value)'!A42:O243,11,0)</f>
        <v>512</v>
      </c>
    </row>
    <row r="43" spans="1:19" x14ac:dyDescent="0.25">
      <c r="A43" s="105" t="str">
        <f>'Data shares'!C38</f>
        <v>BPCL</v>
      </c>
      <c r="B43" s="143">
        <f>VLOOKUP($A43,'Data shares'!$C:$FA,118)</f>
        <v>0.56999999999999995</v>
      </c>
      <c r="C43" s="143">
        <f>VLOOKUP($A43,'Data shares'!$C:$FA,119)</f>
        <v>0.56000000000000005</v>
      </c>
      <c r="D43" s="143">
        <f>VLOOKUP($A43,'Data shares'!$C:$FA,121)*100</f>
        <v>1.79</v>
      </c>
      <c r="E43" s="143">
        <f>VLOOKUP($A43,'Data shares'!$C:$FA,124)</f>
        <v>0.57999999999999996</v>
      </c>
      <c r="F43" s="143">
        <f>VLOOKUP($A43,'Data shares'!$C:$FA,125)</f>
        <v>0.49</v>
      </c>
      <c r="G43" s="143">
        <f>VLOOKUP($A43,'Data shares'!$C:$FA,127)*100</f>
        <v>18.37</v>
      </c>
      <c r="H43" s="103">
        <f>VLOOKUP($A43,'OI(Volume)'!$A$7:$O$427,8)</f>
        <v>22570300</v>
      </c>
      <c r="I43" s="103">
        <f>VLOOKUP($A43,'OI(Volume)'!$A$7:$O$427,9)</f>
        <v>-946025</v>
      </c>
      <c r="J43" s="103">
        <f>VLOOKUP($A43,'OI(Volume)'!$A$7:$O$427,11)</f>
        <v>12758500</v>
      </c>
      <c r="K43" s="103">
        <f>VLOOKUP($A43,'OI(Volume)'!$A$7:$O$427,12)</f>
        <v>-347600</v>
      </c>
      <c r="L43" s="103">
        <f>VLOOKUP($A43,'OI(Value)'!$A$7:$O$306,8,0)</f>
        <v>724</v>
      </c>
      <c r="M43" s="103">
        <f>VLOOKUP($A43,'OI(Value)'!$A$7:$O$306,9,0)</f>
        <v>-30</v>
      </c>
      <c r="N43" s="103">
        <f>VLOOKUP($A43,'OI(Value)'!$A$7:$O$306,11,0)</f>
        <v>409</v>
      </c>
      <c r="O43" s="103">
        <f>VLOOKUP($A43,'OI(Value)'!$A$7:$O$306,12,0)</f>
        <v>-11</v>
      </c>
      <c r="P43" s="179">
        <f>VLOOKUP(A43,'OI(Value)'!A43:O244,8,0)</f>
        <v>724</v>
      </c>
      <c r="Q43" s="179">
        <f>VLOOKUP(A43,'OI(Value)'!A43:O244,9,0)</f>
        <v>-30</v>
      </c>
      <c r="R43" s="179">
        <f>VLOOKUP(A43,'OI(Value)'!A43:O244,11,0)</f>
        <v>409</v>
      </c>
      <c r="S43" s="179">
        <f>VLOOKUP(A43,'OI(Value)'!A43:O244,11,0)</f>
        <v>409</v>
      </c>
    </row>
    <row r="44" spans="1:19" x14ac:dyDescent="0.25">
      <c r="A44" s="105" t="str">
        <f>'Data shares'!C39</f>
        <v>BRITANNIA</v>
      </c>
      <c r="B44" s="143">
        <f>VLOOKUP($A44,'Data shares'!$C:$FA,118)</f>
        <v>0.73</v>
      </c>
      <c r="C44" s="143">
        <f>VLOOKUP($A44,'Data shares'!$C:$FA,119)</f>
        <v>0.57999999999999996</v>
      </c>
      <c r="D44" s="143">
        <f>VLOOKUP($A44,'Data shares'!$C:$FA,121)*100</f>
        <v>25.86</v>
      </c>
      <c r="E44" s="143">
        <f>VLOOKUP($A44,'Data shares'!$C:$FA,124)</f>
        <v>0.32</v>
      </c>
      <c r="F44" s="143">
        <f>VLOOKUP($A44,'Data shares'!$C:$FA,125)</f>
        <v>0.43</v>
      </c>
      <c r="G44" s="143">
        <f>VLOOKUP($A44,'Data shares'!$C:$FA,127)*100</f>
        <v>-25.580000000000002</v>
      </c>
      <c r="H44" s="103">
        <f>VLOOKUP($A44,'OI(Volume)'!$A$7:$O$427,8)</f>
        <v>1280625</v>
      </c>
      <c r="I44" s="103">
        <f>VLOOKUP($A44,'OI(Volume)'!$A$7:$O$427,9)</f>
        <v>-71000</v>
      </c>
      <c r="J44" s="103">
        <f>VLOOKUP($A44,'OI(Volume)'!$A$7:$O$427,11)</f>
        <v>936500</v>
      </c>
      <c r="K44" s="103">
        <f>VLOOKUP($A44,'OI(Volume)'!$A$7:$O$427,12)</f>
        <v>147250</v>
      </c>
      <c r="L44" s="103">
        <f>VLOOKUP($A44,'OI(Value)'!$A$7:$O$306,8,0)</f>
        <v>731</v>
      </c>
      <c r="M44" s="103">
        <f>VLOOKUP($A44,'OI(Value)'!$A$7:$O$306,9,0)</f>
        <v>-41</v>
      </c>
      <c r="N44" s="103">
        <f>VLOOKUP($A44,'OI(Value)'!$A$7:$O$306,11,0)</f>
        <v>534</v>
      </c>
      <c r="O44" s="103">
        <f>VLOOKUP($A44,'OI(Value)'!$A$7:$O$306,12,0)</f>
        <v>84</v>
      </c>
      <c r="P44" s="179">
        <f>VLOOKUP(A44,'OI(Value)'!A44:O245,8,0)</f>
        <v>731</v>
      </c>
      <c r="Q44" s="179">
        <f>VLOOKUP(A44,'OI(Value)'!A44:O245,9,0)</f>
        <v>-41</v>
      </c>
      <c r="R44" s="179">
        <f>VLOOKUP(A44,'OI(Value)'!A44:O245,11,0)</f>
        <v>534</v>
      </c>
      <c r="S44" s="179">
        <f>VLOOKUP(A44,'OI(Value)'!A44:O245,11,0)</f>
        <v>534</v>
      </c>
    </row>
    <row r="45" spans="1:19" x14ac:dyDescent="0.25">
      <c r="A45" s="105" t="str">
        <f>'Data shares'!C40</f>
        <v>BSE</v>
      </c>
      <c r="B45" s="143">
        <f>VLOOKUP($A45,'Data shares'!$C:$FA,118)</f>
        <v>0.76</v>
      </c>
      <c r="C45" s="143">
        <f>VLOOKUP($A45,'Data shares'!$C:$FA,119)</f>
        <v>0.72</v>
      </c>
      <c r="D45" s="143">
        <f>VLOOKUP($A45,'Data shares'!$C:$FA,121)*100</f>
        <v>5.56</v>
      </c>
      <c r="E45" s="143">
        <f>VLOOKUP($A45,'Data shares'!$C:$FA,124)</f>
        <v>0.69</v>
      </c>
      <c r="F45" s="143">
        <f>VLOOKUP($A45,'Data shares'!$C:$FA,125)</f>
        <v>0.85</v>
      </c>
      <c r="G45" s="143">
        <f>VLOOKUP($A45,'Data shares'!$C:$FA,127)*100</f>
        <v>-18.82</v>
      </c>
      <c r="H45" s="103">
        <f>VLOOKUP($A45,'OI(Volume)'!$A$7:$O$427,8)</f>
        <v>8709750</v>
      </c>
      <c r="I45" s="103">
        <f>VLOOKUP($A45,'OI(Volume)'!$A$7:$O$427,9)</f>
        <v>-415500</v>
      </c>
      <c r="J45" s="103">
        <f>VLOOKUP($A45,'OI(Volume)'!$A$7:$O$427,11)</f>
        <v>6577875</v>
      </c>
      <c r="K45" s="103">
        <f>VLOOKUP($A45,'OI(Volume)'!$A$7:$O$427,12)</f>
        <v>39000</v>
      </c>
      <c r="L45" s="103">
        <f>VLOOKUP($A45,'OI(Value)'!$A$7:$O$306,8,0)</f>
        <v>2203</v>
      </c>
      <c r="M45" s="103">
        <f>VLOOKUP($A45,'OI(Value)'!$A$7:$O$306,9,0)</f>
        <v>-105</v>
      </c>
      <c r="N45" s="103">
        <f>VLOOKUP($A45,'OI(Value)'!$A$7:$O$306,11,0)</f>
        <v>1664</v>
      </c>
      <c r="O45" s="103">
        <f>VLOOKUP($A45,'OI(Value)'!$A$7:$O$306,12,0)</f>
        <v>10</v>
      </c>
      <c r="P45" s="179">
        <f>VLOOKUP(A45,'OI(Value)'!A45:O246,8,0)</f>
        <v>2203</v>
      </c>
      <c r="Q45" s="179">
        <f>VLOOKUP(A45,'OI(Value)'!A45:O246,9,0)</f>
        <v>-105</v>
      </c>
      <c r="R45" s="179">
        <f>VLOOKUP(A45,'OI(Value)'!A45:O246,11,0)</f>
        <v>1664</v>
      </c>
      <c r="S45" s="179">
        <f>VLOOKUP(A45,'OI(Value)'!A45:O246,11,0)</f>
        <v>1664</v>
      </c>
    </row>
    <row r="46" spans="1:19" x14ac:dyDescent="0.25">
      <c r="A46" s="105" t="str">
        <f>'Data shares'!C41</f>
        <v>CAMS</v>
      </c>
      <c r="B46" s="143">
        <f>VLOOKUP($A46,'Data shares'!$C:$FA,118)</f>
        <v>0.66</v>
      </c>
      <c r="C46" s="143">
        <f>VLOOKUP($A46,'Data shares'!$C:$FA,119)</f>
        <v>0.57999999999999996</v>
      </c>
      <c r="D46" s="143">
        <f>VLOOKUP($A46,'Data shares'!$C:$FA,121)*100</f>
        <v>13.79</v>
      </c>
      <c r="E46" s="143">
        <f>VLOOKUP($A46,'Data shares'!$C:$FA,124)</f>
        <v>0.39</v>
      </c>
      <c r="F46" s="143">
        <f>VLOOKUP($A46,'Data shares'!$C:$FA,125)</f>
        <v>0.62</v>
      </c>
      <c r="G46" s="143">
        <f>VLOOKUP($A46,'Data shares'!$C:$FA,127)*100</f>
        <v>-37.1</v>
      </c>
      <c r="H46" s="103">
        <f>VLOOKUP($A46,'OI(Volume)'!$A$7:$O$427,8)</f>
        <v>942150</v>
      </c>
      <c r="I46" s="103">
        <f>VLOOKUP($A46,'OI(Volume)'!$A$7:$O$427,9)</f>
        <v>-127500</v>
      </c>
      <c r="J46" s="103">
        <f>VLOOKUP($A46,'OI(Volume)'!$A$7:$O$427,11)</f>
        <v>625200</v>
      </c>
      <c r="K46" s="103">
        <f>VLOOKUP($A46,'OI(Volume)'!$A$7:$O$427,12)</f>
        <v>8850</v>
      </c>
      <c r="L46" s="103">
        <f>VLOOKUP($A46,'OI(Value)'!$A$7:$O$306,8,0)</f>
        <v>362</v>
      </c>
      <c r="M46" s="103">
        <f>VLOOKUP($A46,'OI(Value)'!$A$7:$O$306,9,0)</f>
        <v>-49</v>
      </c>
      <c r="N46" s="103">
        <f>VLOOKUP($A46,'OI(Value)'!$A$7:$O$306,11,0)</f>
        <v>240</v>
      </c>
      <c r="O46" s="103">
        <f>VLOOKUP($A46,'OI(Value)'!$A$7:$O$306,12,0)</f>
        <v>3</v>
      </c>
      <c r="P46" s="179">
        <f>VLOOKUP(A46,'OI(Value)'!A46:O247,8,0)</f>
        <v>362</v>
      </c>
      <c r="Q46" s="179">
        <f>VLOOKUP(A46,'OI(Value)'!A46:O247,9,0)</f>
        <v>-49</v>
      </c>
      <c r="R46" s="179">
        <f>VLOOKUP(A46,'OI(Value)'!A46:O247,11,0)</f>
        <v>240</v>
      </c>
      <c r="S46" s="179">
        <f>VLOOKUP(A46,'OI(Value)'!A46:O247,11,0)</f>
        <v>240</v>
      </c>
    </row>
    <row r="47" spans="1:19" x14ac:dyDescent="0.25">
      <c r="A47" s="105" t="str">
        <f>'Data shares'!C42</f>
        <v>CANBK</v>
      </c>
      <c r="B47" s="143">
        <f>VLOOKUP($A47,'Data shares'!$C:$FA,118)</f>
        <v>0.81</v>
      </c>
      <c r="C47" s="143">
        <f>VLOOKUP($A47,'Data shares'!$C:$FA,119)</f>
        <v>0.77</v>
      </c>
      <c r="D47" s="143">
        <f>VLOOKUP($A47,'Data shares'!$C:$FA,121)*100</f>
        <v>5.19</v>
      </c>
      <c r="E47" s="143">
        <f>VLOOKUP($A47,'Data shares'!$C:$FA,124)</f>
        <v>0.69</v>
      </c>
      <c r="F47" s="143">
        <f>VLOOKUP($A47,'Data shares'!$C:$FA,125)</f>
        <v>0.56000000000000005</v>
      </c>
      <c r="G47" s="143">
        <f>VLOOKUP($A47,'Data shares'!$C:$FA,127)*100</f>
        <v>23.21</v>
      </c>
      <c r="H47" s="103">
        <f>VLOOKUP($A47,'OI(Volume)'!$A$7:$O$427,8)</f>
        <v>89295750</v>
      </c>
      <c r="I47" s="103">
        <f>VLOOKUP($A47,'OI(Volume)'!$A$7:$O$427,9)</f>
        <v>-2767500</v>
      </c>
      <c r="J47" s="103">
        <f>VLOOKUP($A47,'OI(Volume)'!$A$7:$O$427,11)</f>
        <v>72434250</v>
      </c>
      <c r="K47" s="103">
        <f>VLOOKUP($A47,'OI(Volume)'!$A$7:$O$427,12)</f>
        <v>1370250</v>
      </c>
      <c r="L47" s="103">
        <f>VLOOKUP($A47,'OI(Value)'!$A$7:$O$306,8,0)</f>
        <v>1004</v>
      </c>
      <c r="M47" s="103">
        <f>VLOOKUP($A47,'OI(Value)'!$A$7:$O$306,9,0)</f>
        <v>-31</v>
      </c>
      <c r="N47" s="103">
        <f>VLOOKUP($A47,'OI(Value)'!$A$7:$O$306,11,0)</f>
        <v>814</v>
      </c>
      <c r="O47" s="103">
        <f>VLOOKUP($A47,'OI(Value)'!$A$7:$O$306,12,0)</f>
        <v>15</v>
      </c>
      <c r="P47" s="179">
        <f>VLOOKUP(A47,'OI(Value)'!A47:O248,8,0)</f>
        <v>1004</v>
      </c>
      <c r="Q47" s="179">
        <f>VLOOKUP(A47,'OI(Value)'!A47:O248,9,0)</f>
        <v>-31</v>
      </c>
      <c r="R47" s="179">
        <f>VLOOKUP(A47,'OI(Value)'!A47:O248,11,0)</f>
        <v>814</v>
      </c>
      <c r="S47" s="179">
        <f>VLOOKUP(A47,'OI(Value)'!A47:O248,11,0)</f>
        <v>814</v>
      </c>
    </row>
    <row r="48" spans="1:19" x14ac:dyDescent="0.25">
      <c r="A48" s="105" t="str">
        <f>'Data shares'!C43</f>
        <v>CDSL</v>
      </c>
      <c r="B48" s="143">
        <f>VLOOKUP($A48,'Data shares'!$C:$FA,118)</f>
        <v>0.65</v>
      </c>
      <c r="C48" s="143">
        <f>VLOOKUP($A48,'Data shares'!$C:$FA,119)</f>
        <v>0.67</v>
      </c>
      <c r="D48" s="143">
        <f>VLOOKUP($A48,'Data shares'!$C:$FA,121)*100</f>
        <v>-2.9899999999999998</v>
      </c>
      <c r="E48" s="143">
        <f>VLOOKUP($A48,'Data shares'!$C:$FA,124)</f>
        <v>0.47</v>
      </c>
      <c r="F48" s="143">
        <f>VLOOKUP($A48,'Data shares'!$C:$FA,125)</f>
        <v>0.61</v>
      </c>
      <c r="G48" s="143">
        <f>VLOOKUP($A48,'Data shares'!$C:$FA,127)*100</f>
        <v>-22.95</v>
      </c>
      <c r="H48" s="103">
        <f>VLOOKUP($A48,'OI(Volume)'!$A$7:$O$427,8)</f>
        <v>7495500</v>
      </c>
      <c r="I48" s="103">
        <f>VLOOKUP($A48,'OI(Volume)'!$A$7:$O$427,9)</f>
        <v>412300</v>
      </c>
      <c r="J48" s="103">
        <f>VLOOKUP($A48,'OI(Volume)'!$A$7:$O$427,11)</f>
        <v>4837875</v>
      </c>
      <c r="K48" s="103">
        <f>VLOOKUP($A48,'OI(Volume)'!$A$7:$O$427,12)</f>
        <v>96900</v>
      </c>
      <c r="L48" s="103">
        <f>VLOOKUP($A48,'OI(Value)'!$A$7:$O$306,8,0)</f>
        <v>1191</v>
      </c>
      <c r="M48" s="103">
        <f>VLOOKUP($A48,'OI(Value)'!$A$7:$O$306,9,0)</f>
        <v>65</v>
      </c>
      <c r="N48" s="103">
        <f>VLOOKUP($A48,'OI(Value)'!$A$7:$O$306,11,0)</f>
        <v>768</v>
      </c>
      <c r="O48" s="103">
        <f>VLOOKUP($A48,'OI(Value)'!$A$7:$O$306,12,0)</f>
        <v>15</v>
      </c>
      <c r="P48" s="179">
        <f>VLOOKUP(A48,'OI(Value)'!A48:O249,8,0)</f>
        <v>1191</v>
      </c>
      <c r="Q48" s="179">
        <f>VLOOKUP(A48,'OI(Value)'!A48:O249,9,0)</f>
        <v>65</v>
      </c>
      <c r="R48" s="179">
        <f>VLOOKUP(A48,'OI(Value)'!A48:O249,11,0)</f>
        <v>768</v>
      </c>
      <c r="S48" s="179">
        <f>VLOOKUP(A48,'OI(Value)'!A48:O249,11,0)</f>
        <v>768</v>
      </c>
    </row>
    <row r="49" spans="1:19" x14ac:dyDescent="0.25">
      <c r="A49" s="105" t="str">
        <f>'Data shares'!C44</f>
        <v>CESC</v>
      </c>
      <c r="B49" s="143">
        <f>VLOOKUP($A49,'Data shares'!$C:$FA,118)</f>
        <v>0.45</v>
      </c>
      <c r="C49" s="143">
        <f>VLOOKUP($A49,'Data shares'!$C:$FA,119)</f>
        <v>0.44</v>
      </c>
      <c r="D49" s="143">
        <f>VLOOKUP($A49,'Data shares'!$C:$FA,121)*100</f>
        <v>2.27</v>
      </c>
      <c r="E49" s="143">
        <f>VLOOKUP($A49,'Data shares'!$C:$FA,124)</f>
        <v>0.24</v>
      </c>
      <c r="F49" s="143">
        <f>VLOOKUP($A49,'Data shares'!$C:$FA,125)</f>
        <v>0.25</v>
      </c>
      <c r="G49" s="143">
        <f>VLOOKUP($A49,'Data shares'!$C:$FA,127)*100</f>
        <v>-4</v>
      </c>
      <c r="H49" s="103">
        <f>VLOOKUP($A49,'OI(Volume)'!$A$7:$O$427,8)</f>
        <v>10846000</v>
      </c>
      <c r="I49" s="103">
        <f>VLOOKUP($A49,'OI(Volume)'!$A$7:$O$427,9)</f>
        <v>-7250</v>
      </c>
      <c r="J49" s="103">
        <f>VLOOKUP($A49,'OI(Volume)'!$A$7:$O$427,11)</f>
        <v>4868375</v>
      </c>
      <c r="K49" s="103">
        <f>VLOOKUP($A49,'OI(Volume)'!$A$7:$O$427,12)</f>
        <v>54375</v>
      </c>
      <c r="L49" s="103">
        <f>VLOOKUP($A49,'OI(Value)'!$A$7:$O$306,8,0)</f>
        <v>178</v>
      </c>
      <c r="M49" s="103">
        <f>VLOOKUP($A49,'OI(Value)'!$A$7:$O$306,9,0)</f>
        <v>0</v>
      </c>
      <c r="N49" s="103">
        <f>VLOOKUP($A49,'OI(Value)'!$A$7:$O$306,11,0)</f>
        <v>80</v>
      </c>
      <c r="O49" s="103">
        <f>VLOOKUP($A49,'OI(Value)'!$A$7:$O$306,12,0)</f>
        <v>1</v>
      </c>
      <c r="P49" s="179">
        <f>VLOOKUP(A49,'OI(Value)'!A49:O250,8,0)</f>
        <v>178</v>
      </c>
      <c r="Q49" s="179">
        <f>VLOOKUP(A49,'OI(Value)'!A49:O250,9,0)</f>
        <v>0</v>
      </c>
      <c r="R49" s="179">
        <f>VLOOKUP(A49,'OI(Value)'!A49:O250,11,0)</f>
        <v>80</v>
      </c>
      <c r="S49" s="179">
        <f>VLOOKUP(A49,'OI(Value)'!A49:O250,11,0)</f>
        <v>80</v>
      </c>
    </row>
    <row r="50" spans="1:19" x14ac:dyDescent="0.25">
      <c r="A50" s="105" t="str">
        <f>'Data shares'!C45</f>
        <v>CGPOWER</v>
      </c>
      <c r="B50" s="143">
        <f>VLOOKUP($A50,'Data shares'!$C:$FA,118)</f>
        <v>0.56999999999999995</v>
      </c>
      <c r="C50" s="143">
        <f>VLOOKUP($A50,'Data shares'!$C:$FA,119)</f>
        <v>0.57999999999999996</v>
      </c>
      <c r="D50" s="143">
        <f>VLOOKUP($A50,'Data shares'!$C:$FA,121)*100</f>
        <v>-1.72</v>
      </c>
      <c r="E50" s="143">
        <f>VLOOKUP($A50,'Data shares'!$C:$FA,124)</f>
        <v>0.22</v>
      </c>
      <c r="F50" s="143">
        <f>VLOOKUP($A50,'Data shares'!$C:$FA,125)</f>
        <v>0.25</v>
      </c>
      <c r="G50" s="143">
        <f>VLOOKUP($A50,'Data shares'!$C:$FA,127)*100</f>
        <v>-12</v>
      </c>
      <c r="H50" s="103">
        <f>VLOOKUP($A50,'OI(Volume)'!$A$7:$O$427,8)</f>
        <v>4144600</v>
      </c>
      <c r="I50" s="103">
        <f>VLOOKUP($A50,'OI(Volume)'!$A$7:$O$427,9)</f>
        <v>81600</v>
      </c>
      <c r="J50" s="103">
        <f>VLOOKUP($A50,'OI(Volume)'!$A$7:$O$427,11)</f>
        <v>2356200</v>
      </c>
      <c r="K50" s="103">
        <f>VLOOKUP($A50,'OI(Volume)'!$A$7:$O$427,12)</f>
        <v>-850</v>
      </c>
      <c r="L50" s="103">
        <f>VLOOKUP($A50,'OI(Value)'!$A$7:$O$306,8,0)</f>
        <v>280</v>
      </c>
      <c r="M50" s="103">
        <f>VLOOKUP($A50,'OI(Value)'!$A$7:$O$306,9,0)</f>
        <v>6</v>
      </c>
      <c r="N50" s="103">
        <f>VLOOKUP($A50,'OI(Value)'!$A$7:$O$306,11,0)</f>
        <v>159</v>
      </c>
      <c r="O50" s="103">
        <f>VLOOKUP($A50,'OI(Value)'!$A$7:$O$306,12,0)</f>
        <v>0</v>
      </c>
      <c r="P50" s="179">
        <f>VLOOKUP(A50,'OI(Value)'!A50:O251,8,0)</f>
        <v>280</v>
      </c>
      <c r="Q50" s="179">
        <f>VLOOKUP(A50,'OI(Value)'!A50:O251,9,0)</f>
        <v>6</v>
      </c>
      <c r="R50" s="179">
        <f>VLOOKUP(A50,'OI(Value)'!A50:O251,11,0)</f>
        <v>159</v>
      </c>
      <c r="S50" s="179">
        <f>VLOOKUP(A50,'OI(Value)'!A50:O251,11,0)</f>
        <v>159</v>
      </c>
    </row>
    <row r="51" spans="1:19" x14ac:dyDescent="0.25">
      <c r="A51" s="105" t="str">
        <f>'Data shares'!C46</f>
        <v>CHOLAFIN</v>
      </c>
      <c r="B51" s="143">
        <f>VLOOKUP($A51,'Data shares'!$C:$FA,118)</f>
        <v>1</v>
      </c>
      <c r="C51" s="143">
        <f>VLOOKUP($A51,'Data shares'!$C:$FA,119)</f>
        <v>1</v>
      </c>
      <c r="D51" s="143">
        <f>VLOOKUP($A51,'Data shares'!$C:$FA,121)*100</f>
        <v>0</v>
      </c>
      <c r="E51" s="143">
        <f>VLOOKUP($A51,'Data shares'!$C:$FA,124)</f>
        <v>0.76</v>
      </c>
      <c r="F51" s="143">
        <f>VLOOKUP($A51,'Data shares'!$C:$FA,125)</f>
        <v>0.87</v>
      </c>
      <c r="G51" s="143">
        <f>VLOOKUP($A51,'Data shares'!$C:$FA,127)*100</f>
        <v>-12.64</v>
      </c>
      <c r="H51" s="103">
        <f>VLOOKUP($A51,'OI(Volume)'!$A$7:$O$427,8)</f>
        <v>2602500</v>
      </c>
      <c r="I51" s="103">
        <f>VLOOKUP($A51,'OI(Volume)'!$A$7:$O$427,9)</f>
        <v>36250</v>
      </c>
      <c r="J51" s="103">
        <f>VLOOKUP($A51,'OI(Volume)'!$A$7:$O$427,11)</f>
        <v>2606250</v>
      </c>
      <c r="K51" s="103">
        <f>VLOOKUP($A51,'OI(Volume)'!$A$7:$O$427,12)</f>
        <v>50000</v>
      </c>
      <c r="L51" s="103">
        <f>VLOOKUP($A51,'OI(Value)'!$A$7:$O$306,8,0)</f>
        <v>396</v>
      </c>
      <c r="M51" s="103">
        <f>VLOOKUP($A51,'OI(Value)'!$A$7:$O$306,9,0)</f>
        <v>6</v>
      </c>
      <c r="N51" s="103">
        <f>VLOOKUP($A51,'OI(Value)'!$A$7:$O$306,11,0)</f>
        <v>397</v>
      </c>
      <c r="O51" s="103">
        <f>VLOOKUP($A51,'OI(Value)'!$A$7:$O$306,12,0)</f>
        <v>8</v>
      </c>
      <c r="P51" s="179">
        <f>VLOOKUP(A51,'OI(Value)'!A51:O252,8,0)</f>
        <v>396</v>
      </c>
      <c r="Q51" s="179">
        <f>VLOOKUP(A51,'OI(Value)'!A51:O252,9,0)</f>
        <v>6</v>
      </c>
      <c r="R51" s="179">
        <f>VLOOKUP(A51,'OI(Value)'!A51:O252,11,0)</f>
        <v>397</v>
      </c>
      <c r="S51" s="179">
        <f>VLOOKUP(A51,'OI(Value)'!A51:O252,11,0)</f>
        <v>397</v>
      </c>
    </row>
    <row r="52" spans="1:19" x14ac:dyDescent="0.25">
      <c r="A52" s="105" t="str">
        <f>'Data shares'!C47</f>
        <v>CIPLA</v>
      </c>
      <c r="B52" s="143">
        <f>VLOOKUP($A52,'Data shares'!$C:$FA,118)</f>
        <v>0.78</v>
      </c>
      <c r="C52" s="143">
        <f>VLOOKUP($A52,'Data shares'!$C:$FA,119)</f>
        <v>0.76</v>
      </c>
      <c r="D52" s="143">
        <f>VLOOKUP($A52,'Data shares'!$C:$FA,121)*100</f>
        <v>2.63</v>
      </c>
      <c r="E52" s="143">
        <f>VLOOKUP($A52,'Data shares'!$C:$FA,124)</f>
        <v>0.88</v>
      </c>
      <c r="F52" s="143">
        <f>VLOOKUP($A52,'Data shares'!$C:$FA,125)</f>
        <v>0.94</v>
      </c>
      <c r="G52" s="143">
        <f>VLOOKUP($A52,'Data shares'!$C:$FA,127)*100</f>
        <v>-6.38</v>
      </c>
      <c r="H52" s="103">
        <f>VLOOKUP($A52,'OI(Volume)'!$A$7:$O$427,8)</f>
        <v>4220625</v>
      </c>
      <c r="I52" s="103">
        <f>VLOOKUP($A52,'OI(Volume)'!$A$7:$O$427,9)</f>
        <v>-59250</v>
      </c>
      <c r="J52" s="103">
        <f>VLOOKUP($A52,'OI(Volume)'!$A$7:$O$427,11)</f>
        <v>3286125</v>
      </c>
      <c r="K52" s="103">
        <f>VLOOKUP($A52,'OI(Volume)'!$A$7:$O$427,12)</f>
        <v>16500</v>
      </c>
      <c r="L52" s="103">
        <f>VLOOKUP($A52,'OI(Value)'!$A$7:$O$306,8,0)</f>
        <v>654</v>
      </c>
      <c r="M52" s="103">
        <f>VLOOKUP($A52,'OI(Value)'!$A$7:$O$306,9,0)</f>
        <v>-9</v>
      </c>
      <c r="N52" s="103">
        <f>VLOOKUP($A52,'OI(Value)'!$A$7:$O$306,11,0)</f>
        <v>509</v>
      </c>
      <c r="O52" s="103">
        <f>VLOOKUP($A52,'OI(Value)'!$A$7:$O$306,12,0)</f>
        <v>3</v>
      </c>
      <c r="P52" s="179">
        <f>VLOOKUP(A52,'OI(Value)'!A52:O253,8,0)</f>
        <v>654</v>
      </c>
      <c r="Q52" s="179">
        <f>VLOOKUP(A52,'OI(Value)'!A52:O253,9,0)</f>
        <v>-9</v>
      </c>
      <c r="R52" s="179">
        <f>VLOOKUP(A52,'OI(Value)'!A52:O253,11,0)</f>
        <v>509</v>
      </c>
      <c r="S52" s="179">
        <f>VLOOKUP(A52,'OI(Value)'!A52:O253,11,0)</f>
        <v>509</v>
      </c>
    </row>
    <row r="53" spans="1:19" x14ac:dyDescent="0.25">
      <c r="A53" s="105" t="str">
        <f>'Data shares'!C48</f>
        <v>COALINDIA</v>
      </c>
      <c r="B53" s="143">
        <f>VLOOKUP($A53,'Data shares'!$C:$FA,118)</f>
        <v>0.71</v>
      </c>
      <c r="C53" s="143">
        <f>VLOOKUP($A53,'Data shares'!$C:$FA,119)</f>
        <v>0.7</v>
      </c>
      <c r="D53" s="143">
        <f>VLOOKUP($A53,'Data shares'!$C:$FA,121)*100</f>
        <v>1.43</v>
      </c>
      <c r="E53" s="143">
        <f>VLOOKUP($A53,'Data shares'!$C:$FA,124)</f>
        <v>0.47</v>
      </c>
      <c r="F53" s="143">
        <f>VLOOKUP($A53,'Data shares'!$C:$FA,125)</f>
        <v>0.69</v>
      </c>
      <c r="G53" s="143">
        <f>VLOOKUP($A53,'Data shares'!$C:$FA,127)*100</f>
        <v>-31.879999999999995</v>
      </c>
      <c r="H53" s="103">
        <f>VLOOKUP($A53,'OI(Volume)'!$A$7:$O$427,8)</f>
        <v>32540400</v>
      </c>
      <c r="I53" s="103">
        <f>VLOOKUP($A53,'OI(Volume)'!$A$7:$O$427,9)</f>
        <v>583200</v>
      </c>
      <c r="J53" s="103">
        <f>VLOOKUP($A53,'OI(Volume)'!$A$7:$O$427,11)</f>
        <v>23037750</v>
      </c>
      <c r="K53" s="103">
        <f>VLOOKUP($A53,'OI(Volume)'!$A$7:$O$427,12)</f>
        <v>661500</v>
      </c>
      <c r="L53" s="103">
        <f>VLOOKUP($A53,'OI(Value)'!$A$7:$O$306,8,0)</f>
        <v>1237</v>
      </c>
      <c r="M53" s="103">
        <f>VLOOKUP($A53,'OI(Value)'!$A$7:$O$306,9,0)</f>
        <v>22</v>
      </c>
      <c r="N53" s="103">
        <f>VLOOKUP($A53,'OI(Value)'!$A$7:$O$306,11,0)</f>
        <v>876</v>
      </c>
      <c r="O53" s="103">
        <f>VLOOKUP($A53,'OI(Value)'!$A$7:$O$306,12,0)</f>
        <v>25</v>
      </c>
      <c r="P53" s="179">
        <f>VLOOKUP(A53,'OI(Value)'!A53:O254,8,0)</f>
        <v>1237</v>
      </c>
      <c r="Q53" s="179">
        <f>VLOOKUP(A53,'OI(Value)'!A53:O254,9,0)</f>
        <v>22</v>
      </c>
      <c r="R53" s="179">
        <f>VLOOKUP(A53,'OI(Value)'!A53:O254,11,0)</f>
        <v>876</v>
      </c>
      <c r="S53" s="179">
        <f>VLOOKUP(A53,'OI(Value)'!A53:O254,11,0)</f>
        <v>876</v>
      </c>
    </row>
    <row r="54" spans="1:19" x14ac:dyDescent="0.25">
      <c r="A54" s="105" t="str">
        <f>'Data shares'!C49</f>
        <v>COFORGE</v>
      </c>
      <c r="B54" s="143">
        <f>VLOOKUP($A54,'Data shares'!$C:$FA,118)</f>
        <v>0.68</v>
      </c>
      <c r="C54" s="143">
        <f>VLOOKUP($A54,'Data shares'!$C:$FA,119)</f>
        <v>0.56999999999999995</v>
      </c>
      <c r="D54" s="143">
        <f>VLOOKUP($A54,'Data shares'!$C:$FA,121)*100</f>
        <v>19.3</v>
      </c>
      <c r="E54" s="143">
        <f>VLOOKUP($A54,'Data shares'!$C:$FA,124)</f>
        <v>0.37</v>
      </c>
      <c r="F54" s="143">
        <f>VLOOKUP($A54,'Data shares'!$C:$FA,125)</f>
        <v>0.71</v>
      </c>
      <c r="G54" s="143">
        <f>VLOOKUP($A54,'Data shares'!$C:$FA,127)*100</f>
        <v>-47.89</v>
      </c>
      <c r="H54" s="103">
        <f>VLOOKUP($A54,'OI(Volume)'!$A$7:$O$427,8)</f>
        <v>4759875</v>
      </c>
      <c r="I54" s="103">
        <f>VLOOKUP($A54,'OI(Volume)'!$A$7:$O$427,9)</f>
        <v>-779250</v>
      </c>
      <c r="J54" s="103">
        <f>VLOOKUP($A54,'OI(Volume)'!$A$7:$O$427,11)</f>
        <v>3237000</v>
      </c>
      <c r="K54" s="103">
        <f>VLOOKUP($A54,'OI(Volume)'!$A$7:$O$427,12)</f>
        <v>64875</v>
      </c>
      <c r="L54" s="103">
        <f>VLOOKUP($A54,'OI(Value)'!$A$7:$O$306,8,0)</f>
        <v>813</v>
      </c>
      <c r="M54" s="103">
        <f>VLOOKUP($A54,'OI(Value)'!$A$7:$O$306,9,0)</f>
        <v>-133</v>
      </c>
      <c r="N54" s="103">
        <f>VLOOKUP($A54,'OI(Value)'!$A$7:$O$306,11,0)</f>
        <v>553</v>
      </c>
      <c r="O54" s="103">
        <f>VLOOKUP($A54,'OI(Value)'!$A$7:$O$306,12,0)</f>
        <v>11</v>
      </c>
      <c r="P54" s="179">
        <f>VLOOKUP(A54,'OI(Value)'!A54:O255,8,0)</f>
        <v>813</v>
      </c>
      <c r="Q54" s="179">
        <f>VLOOKUP(A54,'OI(Value)'!A54:O255,9,0)</f>
        <v>-133</v>
      </c>
      <c r="R54" s="179">
        <f>VLOOKUP(A54,'OI(Value)'!A54:O255,11,0)</f>
        <v>553</v>
      </c>
      <c r="S54" s="179">
        <f>VLOOKUP(A54,'OI(Value)'!A54:O255,11,0)</f>
        <v>553</v>
      </c>
    </row>
    <row r="55" spans="1:19" x14ac:dyDescent="0.25">
      <c r="A55" s="105" t="str">
        <f>'Data shares'!C50</f>
        <v>COLPAL</v>
      </c>
      <c r="B55" s="143">
        <f>VLOOKUP($A55,'Data shares'!$C:$FA,118)</f>
        <v>0.85</v>
      </c>
      <c r="C55" s="143">
        <f>VLOOKUP($A55,'Data shares'!$C:$FA,119)</f>
        <v>0.68</v>
      </c>
      <c r="D55" s="143">
        <f>VLOOKUP($A55,'Data shares'!$C:$FA,121)*100</f>
        <v>25</v>
      </c>
      <c r="E55" s="143">
        <f>VLOOKUP($A55,'Data shares'!$C:$FA,124)</f>
        <v>0.28999999999999998</v>
      </c>
      <c r="F55" s="143">
        <f>VLOOKUP($A55,'Data shares'!$C:$FA,125)</f>
        <v>0.34</v>
      </c>
      <c r="G55" s="143">
        <f>VLOOKUP($A55,'Data shares'!$C:$FA,127)*100</f>
        <v>-14.71</v>
      </c>
      <c r="H55" s="103">
        <f>VLOOKUP($A55,'OI(Volume)'!$A$7:$O$427,8)</f>
        <v>1655325</v>
      </c>
      <c r="I55" s="103">
        <f>VLOOKUP($A55,'OI(Volume)'!$A$7:$O$427,9)</f>
        <v>-20925</v>
      </c>
      <c r="J55" s="103">
        <f>VLOOKUP($A55,'OI(Volume)'!$A$7:$O$427,11)</f>
        <v>1401525</v>
      </c>
      <c r="K55" s="103">
        <f>VLOOKUP($A55,'OI(Volume)'!$A$7:$O$427,12)</f>
        <v>265500</v>
      </c>
      <c r="L55" s="103">
        <f>VLOOKUP($A55,'OI(Value)'!$A$7:$O$306,8,0)</f>
        <v>391</v>
      </c>
      <c r="M55" s="103">
        <f>VLOOKUP($A55,'OI(Value)'!$A$7:$O$306,9,0)</f>
        <v>-5</v>
      </c>
      <c r="N55" s="103">
        <f>VLOOKUP($A55,'OI(Value)'!$A$7:$O$306,11,0)</f>
        <v>331</v>
      </c>
      <c r="O55" s="103">
        <f>VLOOKUP($A55,'OI(Value)'!$A$7:$O$306,12,0)</f>
        <v>63</v>
      </c>
      <c r="P55" s="179">
        <f>VLOOKUP(A55,'OI(Value)'!A55:O256,8,0)</f>
        <v>391</v>
      </c>
      <c r="Q55" s="179">
        <f>VLOOKUP(A55,'OI(Value)'!A55:O256,9,0)</f>
        <v>-5</v>
      </c>
      <c r="R55" s="179">
        <f>VLOOKUP(A55,'OI(Value)'!A55:O256,11,0)</f>
        <v>331</v>
      </c>
      <c r="S55" s="179">
        <f>VLOOKUP(A55,'OI(Value)'!A55:O256,11,0)</f>
        <v>331</v>
      </c>
    </row>
    <row r="56" spans="1:19" x14ac:dyDescent="0.25">
      <c r="A56" s="105" t="str">
        <f>'Data shares'!C51</f>
        <v>CONCOR</v>
      </c>
      <c r="B56" s="143">
        <f>VLOOKUP($A56,'Data shares'!$C:$FA,118)</f>
        <v>0.71</v>
      </c>
      <c r="C56" s="143">
        <f>VLOOKUP($A56,'Data shares'!$C:$FA,119)</f>
        <v>0.68</v>
      </c>
      <c r="D56" s="143">
        <f>VLOOKUP($A56,'Data shares'!$C:$FA,121)*100</f>
        <v>4.41</v>
      </c>
      <c r="E56" s="143">
        <f>VLOOKUP($A56,'Data shares'!$C:$FA,124)</f>
        <v>0.54</v>
      </c>
      <c r="F56" s="143">
        <f>VLOOKUP($A56,'Data shares'!$C:$FA,125)</f>
        <v>0.28999999999999998</v>
      </c>
      <c r="G56" s="143">
        <f>VLOOKUP($A56,'Data shares'!$C:$FA,127)*100</f>
        <v>86.21</v>
      </c>
      <c r="H56" s="103">
        <f>VLOOKUP($A56,'OI(Volume)'!$A$7:$O$427,8)</f>
        <v>9051250</v>
      </c>
      <c r="I56" s="103">
        <f>VLOOKUP($A56,'OI(Volume)'!$A$7:$O$427,9)</f>
        <v>-461250</v>
      </c>
      <c r="J56" s="103">
        <f>VLOOKUP($A56,'OI(Volume)'!$A$7:$O$427,11)</f>
        <v>6433750</v>
      </c>
      <c r="K56" s="103">
        <f>VLOOKUP($A56,'OI(Volume)'!$A$7:$O$427,12)</f>
        <v>-16250</v>
      </c>
      <c r="L56" s="103">
        <f>VLOOKUP($A56,'OI(Value)'!$A$7:$O$306,8,0)</f>
        <v>505</v>
      </c>
      <c r="M56" s="103">
        <f>VLOOKUP($A56,'OI(Value)'!$A$7:$O$306,9,0)</f>
        <v>-26</v>
      </c>
      <c r="N56" s="103">
        <f>VLOOKUP($A56,'OI(Value)'!$A$7:$O$306,11,0)</f>
        <v>359</v>
      </c>
      <c r="O56" s="103">
        <f>VLOOKUP($A56,'OI(Value)'!$A$7:$O$306,12,0)</f>
        <v>-1</v>
      </c>
      <c r="P56" s="179">
        <f>VLOOKUP(A56,'OI(Value)'!A56:O257,8,0)</f>
        <v>505</v>
      </c>
      <c r="Q56" s="179">
        <f>VLOOKUP(A56,'OI(Value)'!A56:O257,9,0)</f>
        <v>-26</v>
      </c>
      <c r="R56" s="179">
        <f>VLOOKUP(A56,'OI(Value)'!A56:O257,11,0)</f>
        <v>359</v>
      </c>
      <c r="S56" s="179">
        <f>VLOOKUP(A56,'OI(Value)'!A56:O257,11,0)</f>
        <v>359</v>
      </c>
    </row>
    <row r="57" spans="1:19" x14ac:dyDescent="0.25">
      <c r="A57" s="105" t="str">
        <f>'Data shares'!C52</f>
        <v>CROMPTON</v>
      </c>
      <c r="B57" s="143">
        <f>VLOOKUP($A57,'Data shares'!$C:$FA,118)</f>
        <v>0.85</v>
      </c>
      <c r="C57" s="143">
        <f>VLOOKUP($A57,'Data shares'!$C:$FA,119)</f>
        <v>0.89</v>
      </c>
      <c r="D57" s="143">
        <f>VLOOKUP($A57,'Data shares'!$C:$FA,121)*100</f>
        <v>-4.49</v>
      </c>
      <c r="E57" s="143">
        <f>VLOOKUP($A57,'Data shares'!$C:$FA,124)</f>
        <v>0.35</v>
      </c>
      <c r="F57" s="143">
        <f>VLOOKUP($A57,'Data shares'!$C:$FA,125)</f>
        <v>0.37</v>
      </c>
      <c r="G57" s="143">
        <f>VLOOKUP($A57,'Data shares'!$C:$FA,127)*100</f>
        <v>-5.41</v>
      </c>
      <c r="H57" s="103">
        <f>VLOOKUP($A57,'OI(Volume)'!$A$7:$O$427,8)</f>
        <v>5115600</v>
      </c>
      <c r="I57" s="103">
        <f>VLOOKUP($A57,'OI(Volume)'!$A$7:$O$427,9)</f>
        <v>210600</v>
      </c>
      <c r="J57" s="103">
        <f>VLOOKUP($A57,'OI(Volume)'!$A$7:$O$427,11)</f>
        <v>4339800</v>
      </c>
      <c r="K57" s="103">
        <f>VLOOKUP($A57,'OI(Volume)'!$A$7:$O$427,12)</f>
        <v>-45000</v>
      </c>
      <c r="L57" s="103">
        <f>VLOOKUP($A57,'OI(Value)'!$A$7:$O$306,8,0)</f>
        <v>168</v>
      </c>
      <c r="M57" s="103">
        <f>VLOOKUP($A57,'OI(Value)'!$A$7:$O$306,9,0)</f>
        <v>7</v>
      </c>
      <c r="N57" s="103">
        <f>VLOOKUP($A57,'OI(Value)'!$A$7:$O$306,11,0)</f>
        <v>143</v>
      </c>
      <c r="O57" s="103">
        <f>VLOOKUP($A57,'OI(Value)'!$A$7:$O$306,12,0)</f>
        <v>-1</v>
      </c>
      <c r="P57" s="179">
        <f>VLOOKUP(A57,'OI(Value)'!A57:O258,8,0)</f>
        <v>168</v>
      </c>
      <c r="Q57" s="179">
        <f>VLOOKUP(A57,'OI(Value)'!A57:O258,9,0)</f>
        <v>7</v>
      </c>
      <c r="R57" s="179">
        <f>VLOOKUP(A57,'OI(Value)'!A57:O258,11,0)</f>
        <v>143</v>
      </c>
      <c r="S57" s="179">
        <f>VLOOKUP(A57,'OI(Value)'!A57:O258,11,0)</f>
        <v>143</v>
      </c>
    </row>
    <row r="58" spans="1:19" x14ac:dyDescent="0.25">
      <c r="A58" s="105" t="str">
        <f>'Data shares'!C53</f>
        <v>CUMMINSIND</v>
      </c>
      <c r="B58" s="143">
        <f>VLOOKUP($A58,'Data shares'!$C:$FA,118)</f>
        <v>0.83</v>
      </c>
      <c r="C58" s="143">
        <f>VLOOKUP($A58,'Data shares'!$C:$FA,119)</f>
        <v>0.87</v>
      </c>
      <c r="D58" s="143">
        <f>VLOOKUP($A58,'Data shares'!$C:$FA,121)*100</f>
        <v>-4.5999999999999996</v>
      </c>
      <c r="E58" s="143">
        <f>VLOOKUP($A58,'Data shares'!$C:$FA,124)</f>
        <v>0.34</v>
      </c>
      <c r="F58" s="143">
        <f>VLOOKUP($A58,'Data shares'!$C:$FA,125)</f>
        <v>0.67</v>
      </c>
      <c r="G58" s="143">
        <f>VLOOKUP($A58,'Data shares'!$C:$FA,127)*100</f>
        <v>-49.25</v>
      </c>
      <c r="H58" s="103">
        <f>VLOOKUP($A58,'OI(Volume)'!$A$7:$O$427,8)</f>
        <v>1029200</v>
      </c>
      <c r="I58" s="103">
        <f>VLOOKUP($A58,'OI(Volume)'!$A$7:$O$427,9)</f>
        <v>54400</v>
      </c>
      <c r="J58" s="103">
        <f>VLOOKUP($A58,'OI(Volume)'!$A$7:$O$427,11)</f>
        <v>856000</v>
      </c>
      <c r="K58" s="103">
        <f>VLOOKUP($A58,'OI(Volume)'!$A$7:$O$427,12)</f>
        <v>4400</v>
      </c>
      <c r="L58" s="103">
        <f>VLOOKUP($A58,'OI(Value)'!$A$7:$O$306,8,0)</f>
        <v>392</v>
      </c>
      <c r="M58" s="103">
        <f>VLOOKUP($A58,'OI(Value)'!$A$7:$O$306,9,0)</f>
        <v>21</v>
      </c>
      <c r="N58" s="103">
        <f>VLOOKUP($A58,'OI(Value)'!$A$7:$O$306,11,0)</f>
        <v>326</v>
      </c>
      <c r="O58" s="103">
        <f>VLOOKUP($A58,'OI(Value)'!$A$7:$O$306,12,0)</f>
        <v>2</v>
      </c>
      <c r="P58" s="179">
        <f>VLOOKUP(A58,'OI(Value)'!A58:O259,8,0)</f>
        <v>392</v>
      </c>
      <c r="Q58" s="179">
        <f>VLOOKUP(A58,'OI(Value)'!A58:O259,9,0)</f>
        <v>21</v>
      </c>
      <c r="R58" s="179">
        <f>VLOOKUP(A58,'OI(Value)'!A58:O259,11,0)</f>
        <v>326</v>
      </c>
      <c r="S58" s="179">
        <f>VLOOKUP(A58,'OI(Value)'!A58:O259,11,0)</f>
        <v>326</v>
      </c>
    </row>
    <row r="59" spans="1:19" x14ac:dyDescent="0.25">
      <c r="A59" s="105" t="str">
        <f>'Data shares'!C54</f>
        <v>CYIENT</v>
      </c>
      <c r="B59" s="143">
        <f>VLOOKUP($A59,'Data shares'!$C:$FA,118)</f>
        <v>0.44</v>
      </c>
      <c r="C59" s="143">
        <f>VLOOKUP($A59,'Data shares'!$C:$FA,119)</f>
        <v>0.54</v>
      </c>
      <c r="D59" s="143">
        <f>VLOOKUP($A59,'Data shares'!$C:$FA,121)*100</f>
        <v>-18.52</v>
      </c>
      <c r="E59" s="143">
        <f>VLOOKUP($A59,'Data shares'!$C:$FA,124)</f>
        <v>0.17</v>
      </c>
      <c r="F59" s="143">
        <f>VLOOKUP($A59,'Data shares'!$C:$FA,125)</f>
        <v>0.21</v>
      </c>
      <c r="G59" s="143">
        <f>VLOOKUP($A59,'Data shares'!$C:$FA,127)*100</f>
        <v>-19.05</v>
      </c>
      <c r="H59" s="103">
        <f>VLOOKUP($A59,'OI(Volume)'!$A$7:$O$427,8)</f>
        <v>1422475</v>
      </c>
      <c r="I59" s="103">
        <f>VLOOKUP($A59,'OI(Volume)'!$A$7:$O$427,9)</f>
        <v>413950</v>
      </c>
      <c r="J59" s="103">
        <f>VLOOKUP($A59,'OI(Volume)'!$A$7:$O$427,11)</f>
        <v>621775</v>
      </c>
      <c r="K59" s="103">
        <f>VLOOKUP($A59,'OI(Volume)'!$A$7:$O$427,12)</f>
        <v>73100</v>
      </c>
      <c r="L59" s="103">
        <f>VLOOKUP($A59,'OI(Value)'!$A$7:$O$306,8,0)</f>
        <v>176</v>
      </c>
      <c r="M59" s="103">
        <f>VLOOKUP($A59,'OI(Value)'!$A$7:$O$306,9,0)</f>
        <v>51</v>
      </c>
      <c r="N59" s="103">
        <f>VLOOKUP($A59,'OI(Value)'!$A$7:$O$306,11,0)</f>
        <v>77</v>
      </c>
      <c r="O59" s="103">
        <f>VLOOKUP($A59,'OI(Value)'!$A$7:$O$306,12,0)</f>
        <v>9</v>
      </c>
      <c r="P59" s="179">
        <f>VLOOKUP(A59,'OI(Value)'!A59:O260,8,0)</f>
        <v>176</v>
      </c>
      <c r="Q59" s="179">
        <f>VLOOKUP(A59,'OI(Value)'!A59:O260,9,0)</f>
        <v>51</v>
      </c>
      <c r="R59" s="179">
        <f>VLOOKUP(A59,'OI(Value)'!A59:O260,11,0)</f>
        <v>77</v>
      </c>
      <c r="S59" s="179">
        <f>VLOOKUP(A59,'OI(Value)'!A59:O260,11,0)</f>
        <v>77</v>
      </c>
    </row>
    <row r="60" spans="1:19" x14ac:dyDescent="0.25">
      <c r="A60" s="105" t="str">
        <f>'Data shares'!C55</f>
        <v>DABUR</v>
      </c>
      <c r="B60" s="143">
        <f>VLOOKUP($A60,'Data shares'!$C:$FA,118)</f>
        <v>0.53</v>
      </c>
      <c r="C60" s="143">
        <f>VLOOKUP($A60,'Data shares'!$C:$FA,119)</f>
        <v>0.48</v>
      </c>
      <c r="D60" s="143">
        <f>VLOOKUP($A60,'Data shares'!$C:$FA,121)*100</f>
        <v>10.42</v>
      </c>
      <c r="E60" s="143">
        <f>VLOOKUP($A60,'Data shares'!$C:$FA,124)</f>
        <v>0.28000000000000003</v>
      </c>
      <c r="F60" s="143">
        <f>VLOOKUP($A60,'Data shares'!$C:$FA,125)</f>
        <v>0.44</v>
      </c>
      <c r="G60" s="143">
        <f>VLOOKUP($A60,'Data shares'!$C:$FA,127)*100</f>
        <v>-36.36</v>
      </c>
      <c r="H60" s="103">
        <f>VLOOKUP($A60,'OI(Volume)'!$A$7:$O$427,8)</f>
        <v>11157500</v>
      </c>
      <c r="I60" s="103">
        <f>VLOOKUP($A60,'OI(Volume)'!$A$7:$O$427,9)</f>
        <v>-112500</v>
      </c>
      <c r="J60" s="103">
        <f>VLOOKUP($A60,'OI(Volume)'!$A$7:$O$427,11)</f>
        <v>5881250</v>
      </c>
      <c r="K60" s="103">
        <f>VLOOKUP($A60,'OI(Volume)'!$A$7:$O$427,12)</f>
        <v>518750</v>
      </c>
      <c r="L60" s="103">
        <f>VLOOKUP($A60,'OI(Value)'!$A$7:$O$306,8,0)</f>
        <v>599</v>
      </c>
      <c r="M60" s="103">
        <f>VLOOKUP($A60,'OI(Value)'!$A$7:$O$306,9,0)</f>
        <v>-6</v>
      </c>
      <c r="N60" s="103">
        <f>VLOOKUP($A60,'OI(Value)'!$A$7:$O$306,11,0)</f>
        <v>316</v>
      </c>
      <c r="O60" s="103">
        <f>VLOOKUP($A60,'OI(Value)'!$A$7:$O$306,12,0)</f>
        <v>28</v>
      </c>
      <c r="P60" s="179">
        <f>VLOOKUP(A60,'OI(Value)'!A60:O261,8,0)</f>
        <v>599</v>
      </c>
      <c r="Q60" s="179">
        <f>VLOOKUP(A60,'OI(Value)'!A60:O261,9,0)</f>
        <v>-6</v>
      </c>
      <c r="R60" s="179">
        <f>VLOOKUP(A60,'OI(Value)'!A60:O261,11,0)</f>
        <v>316</v>
      </c>
      <c r="S60" s="179">
        <f>VLOOKUP(A60,'OI(Value)'!A60:O261,11,0)</f>
        <v>316</v>
      </c>
    </row>
    <row r="61" spans="1:19" x14ac:dyDescent="0.25">
      <c r="A61" s="105" t="str">
        <f>'Data shares'!C56</f>
        <v>DALBHARAT</v>
      </c>
      <c r="B61" s="143">
        <f>VLOOKUP($A61,'Data shares'!$C:$FA,118)</f>
        <v>0.63</v>
      </c>
      <c r="C61" s="143">
        <f>VLOOKUP($A61,'Data shares'!$C:$FA,119)</f>
        <v>0.65</v>
      </c>
      <c r="D61" s="143">
        <f>VLOOKUP($A61,'Data shares'!$C:$FA,121)*100</f>
        <v>-3.08</v>
      </c>
      <c r="E61" s="143">
        <f>VLOOKUP($A61,'Data shares'!$C:$FA,124)</f>
        <v>0.49</v>
      </c>
      <c r="F61" s="143">
        <f>VLOOKUP($A61,'Data shares'!$C:$FA,125)</f>
        <v>0.35</v>
      </c>
      <c r="G61" s="143">
        <f>VLOOKUP($A61,'Data shares'!$C:$FA,127)*100</f>
        <v>40</v>
      </c>
      <c r="H61" s="103">
        <f>VLOOKUP($A61,'OI(Volume)'!$A$7:$O$427,8)</f>
        <v>461825</v>
      </c>
      <c r="I61" s="103">
        <f>VLOOKUP($A61,'OI(Volume)'!$A$7:$O$427,9)</f>
        <v>-6175</v>
      </c>
      <c r="J61" s="103">
        <f>VLOOKUP($A61,'OI(Volume)'!$A$7:$O$427,11)</f>
        <v>291200</v>
      </c>
      <c r="K61" s="103">
        <f>VLOOKUP($A61,'OI(Volume)'!$A$7:$O$427,12)</f>
        <v>-11375</v>
      </c>
      <c r="L61" s="103">
        <f>VLOOKUP($A61,'OI(Value)'!$A$7:$O$306,8,0)</f>
        <v>109</v>
      </c>
      <c r="M61" s="103">
        <f>VLOOKUP($A61,'OI(Value)'!$A$7:$O$306,9,0)</f>
        <v>-1</v>
      </c>
      <c r="N61" s="103">
        <f>VLOOKUP($A61,'OI(Value)'!$A$7:$O$306,11,0)</f>
        <v>68</v>
      </c>
      <c r="O61" s="103">
        <f>VLOOKUP($A61,'OI(Value)'!$A$7:$O$306,12,0)</f>
        <v>-3</v>
      </c>
      <c r="P61" s="179">
        <f>VLOOKUP(A61,'OI(Value)'!A61:O262,8,0)</f>
        <v>109</v>
      </c>
      <c r="Q61" s="179">
        <f>VLOOKUP(A61,'OI(Value)'!A61:O262,9,0)</f>
        <v>-1</v>
      </c>
      <c r="R61" s="179">
        <f>VLOOKUP(A61,'OI(Value)'!A61:O262,11,0)</f>
        <v>68</v>
      </c>
      <c r="S61" s="179">
        <f>VLOOKUP(A61,'OI(Value)'!A61:O262,11,0)</f>
        <v>68</v>
      </c>
    </row>
    <row r="62" spans="1:19" x14ac:dyDescent="0.25">
      <c r="A62" s="105" t="str">
        <f>'Data shares'!C57</f>
        <v>DELHIVERY</v>
      </c>
      <c r="B62" s="143">
        <f>VLOOKUP($A62,'Data shares'!$C:$FA,118)</f>
        <v>0.85</v>
      </c>
      <c r="C62" s="143">
        <f>VLOOKUP($A62,'Data shares'!$C:$FA,119)</f>
        <v>0.81</v>
      </c>
      <c r="D62" s="143">
        <f>VLOOKUP($A62,'Data shares'!$C:$FA,121)*100</f>
        <v>4.9399999999999995</v>
      </c>
      <c r="E62" s="143">
        <f>VLOOKUP($A62,'Data shares'!$C:$FA,124)</f>
        <v>0.52</v>
      </c>
      <c r="F62" s="143">
        <f>VLOOKUP($A62,'Data shares'!$C:$FA,125)</f>
        <v>0.3</v>
      </c>
      <c r="G62" s="143">
        <f>VLOOKUP($A62,'Data shares'!$C:$FA,127)*100</f>
        <v>73.33</v>
      </c>
      <c r="H62" s="103">
        <f>VLOOKUP($A62,'OI(Volume)'!$A$7:$O$427,8)</f>
        <v>11400050</v>
      </c>
      <c r="I62" s="103">
        <f>VLOOKUP($A62,'OI(Volume)'!$A$7:$O$427,9)</f>
        <v>-574775</v>
      </c>
      <c r="J62" s="103">
        <f>VLOOKUP($A62,'OI(Volume)'!$A$7:$O$427,11)</f>
        <v>9648750</v>
      </c>
      <c r="K62" s="103">
        <f>VLOOKUP($A62,'OI(Volume)'!$A$7:$O$427,12)</f>
        <v>-51875</v>
      </c>
      <c r="L62" s="103">
        <f>VLOOKUP($A62,'OI(Value)'!$A$7:$O$306,8,0)</f>
        <v>538</v>
      </c>
      <c r="M62" s="103">
        <f>VLOOKUP($A62,'OI(Value)'!$A$7:$O$306,9,0)</f>
        <v>-27</v>
      </c>
      <c r="N62" s="103">
        <f>VLOOKUP($A62,'OI(Value)'!$A$7:$O$306,11,0)</f>
        <v>455</v>
      </c>
      <c r="O62" s="103">
        <f>VLOOKUP($A62,'OI(Value)'!$A$7:$O$306,12,0)</f>
        <v>-2</v>
      </c>
      <c r="P62" s="179">
        <f>VLOOKUP(A62,'OI(Value)'!A62:O263,8,0)</f>
        <v>538</v>
      </c>
      <c r="Q62" s="179">
        <f>VLOOKUP(A62,'OI(Value)'!A62:O263,9,0)</f>
        <v>-27</v>
      </c>
      <c r="R62" s="179">
        <f>VLOOKUP(A62,'OI(Value)'!A62:O263,11,0)</f>
        <v>455</v>
      </c>
      <c r="S62" s="179">
        <f>VLOOKUP(A62,'OI(Value)'!A62:O263,11,0)</f>
        <v>455</v>
      </c>
    </row>
    <row r="63" spans="1:19" x14ac:dyDescent="0.25">
      <c r="A63" s="105" t="str">
        <f>'Data shares'!C58</f>
        <v>DIVISLAB</v>
      </c>
      <c r="B63" s="143">
        <f>VLOOKUP($A63,'Data shares'!$C:$FA,118)</f>
        <v>0.63</v>
      </c>
      <c r="C63" s="143">
        <f>VLOOKUP($A63,'Data shares'!$C:$FA,119)</f>
        <v>0.61</v>
      </c>
      <c r="D63" s="143">
        <f>VLOOKUP($A63,'Data shares'!$C:$FA,121)*100</f>
        <v>3.2800000000000002</v>
      </c>
      <c r="E63" s="143">
        <f>VLOOKUP($A63,'Data shares'!$C:$FA,124)</f>
        <v>0.79</v>
      </c>
      <c r="F63" s="143">
        <f>VLOOKUP($A63,'Data shares'!$C:$FA,125)</f>
        <v>0.42</v>
      </c>
      <c r="G63" s="143">
        <f>VLOOKUP($A63,'Data shares'!$C:$FA,127)*100</f>
        <v>88.1</v>
      </c>
      <c r="H63" s="103">
        <f>VLOOKUP($A63,'OI(Volume)'!$A$7:$O$427,8)</f>
        <v>1589500</v>
      </c>
      <c r="I63" s="103">
        <f>VLOOKUP($A63,'OI(Volume)'!$A$7:$O$427,9)</f>
        <v>59000</v>
      </c>
      <c r="J63" s="103">
        <f>VLOOKUP($A63,'OI(Volume)'!$A$7:$O$427,11)</f>
        <v>1002200</v>
      </c>
      <c r="K63" s="103">
        <f>VLOOKUP($A63,'OI(Volume)'!$A$7:$O$427,12)</f>
        <v>65700</v>
      </c>
      <c r="L63" s="103">
        <f>VLOOKUP($A63,'OI(Value)'!$A$7:$O$306,8,0)</f>
        <v>958</v>
      </c>
      <c r="M63" s="103">
        <f>VLOOKUP($A63,'OI(Value)'!$A$7:$O$306,9,0)</f>
        <v>36</v>
      </c>
      <c r="N63" s="103">
        <f>VLOOKUP($A63,'OI(Value)'!$A$7:$O$306,11,0)</f>
        <v>604</v>
      </c>
      <c r="O63" s="103">
        <f>VLOOKUP($A63,'OI(Value)'!$A$7:$O$306,12,0)</f>
        <v>40</v>
      </c>
      <c r="P63" s="179">
        <f>VLOOKUP(A63,'OI(Value)'!A63:O264,8,0)</f>
        <v>958</v>
      </c>
      <c r="Q63" s="179">
        <f>VLOOKUP(A63,'OI(Value)'!A63:O264,9,0)</f>
        <v>36</v>
      </c>
      <c r="R63" s="179">
        <f>VLOOKUP(A63,'OI(Value)'!A63:O264,11,0)</f>
        <v>604</v>
      </c>
      <c r="S63" s="179">
        <f>VLOOKUP(A63,'OI(Value)'!A63:O264,11,0)</f>
        <v>604</v>
      </c>
    </row>
    <row r="64" spans="1:19" x14ac:dyDescent="0.25">
      <c r="A64" s="105" t="str">
        <f>'Data shares'!C59</f>
        <v>DIXON</v>
      </c>
      <c r="B64" s="143">
        <f>VLOOKUP($A64,'Data shares'!$C:$FA,118)</f>
        <v>0.7</v>
      </c>
      <c r="C64" s="143">
        <f>VLOOKUP($A64,'Data shares'!$C:$FA,119)</f>
        <v>0.77</v>
      </c>
      <c r="D64" s="143">
        <f>VLOOKUP($A64,'Data shares'!$C:$FA,121)*100</f>
        <v>-9.09</v>
      </c>
      <c r="E64" s="143">
        <f>VLOOKUP($A64,'Data shares'!$C:$FA,124)</f>
        <v>0.44</v>
      </c>
      <c r="F64" s="143">
        <f>VLOOKUP($A64,'Data shares'!$C:$FA,125)</f>
        <v>0.56000000000000005</v>
      </c>
      <c r="G64" s="143">
        <f>VLOOKUP($A64,'Data shares'!$C:$FA,127)*100</f>
        <v>-21.43</v>
      </c>
      <c r="H64" s="103">
        <f>VLOOKUP($A64,'OI(Volume)'!$A$7:$O$427,8)</f>
        <v>1134950</v>
      </c>
      <c r="I64" s="103">
        <f>VLOOKUP($A64,'OI(Volume)'!$A$7:$O$427,9)</f>
        <v>134450</v>
      </c>
      <c r="J64" s="103">
        <f>VLOOKUP($A64,'OI(Volume)'!$A$7:$O$427,11)</f>
        <v>796800</v>
      </c>
      <c r="K64" s="103">
        <f>VLOOKUP($A64,'OI(Volume)'!$A$7:$O$427,12)</f>
        <v>28300</v>
      </c>
      <c r="L64" s="103">
        <f>VLOOKUP($A64,'OI(Value)'!$A$7:$O$306,8,0)</f>
        <v>1920</v>
      </c>
      <c r="M64" s="103">
        <f>VLOOKUP($A64,'OI(Value)'!$A$7:$O$306,9,0)</f>
        <v>227</v>
      </c>
      <c r="N64" s="103">
        <f>VLOOKUP($A64,'OI(Value)'!$A$7:$O$306,11,0)</f>
        <v>1348</v>
      </c>
      <c r="O64" s="103">
        <f>VLOOKUP($A64,'OI(Value)'!$A$7:$O$306,12,0)</f>
        <v>48</v>
      </c>
      <c r="P64" s="179">
        <f>VLOOKUP(A64,'OI(Value)'!A64:O265,8,0)</f>
        <v>1920</v>
      </c>
      <c r="Q64" s="179">
        <f>VLOOKUP(A64,'OI(Value)'!A64:O265,9,0)</f>
        <v>227</v>
      </c>
      <c r="R64" s="179">
        <f>VLOOKUP(A64,'OI(Value)'!A64:O265,11,0)</f>
        <v>1348</v>
      </c>
      <c r="S64" s="179">
        <f>VLOOKUP(A64,'OI(Value)'!A64:O265,11,0)</f>
        <v>1348</v>
      </c>
    </row>
    <row r="65" spans="1:19" x14ac:dyDescent="0.25">
      <c r="A65" s="105" t="str">
        <f>'Data shares'!C60</f>
        <v>DLF</v>
      </c>
      <c r="B65" s="143">
        <f>VLOOKUP($A65,'Data shares'!$C:$FA,118)</f>
        <v>0.55000000000000004</v>
      </c>
      <c r="C65" s="143">
        <f>VLOOKUP($A65,'Data shares'!$C:$FA,119)</f>
        <v>0.56000000000000005</v>
      </c>
      <c r="D65" s="143">
        <f>VLOOKUP($A65,'Data shares'!$C:$FA,121)*100</f>
        <v>-1.79</v>
      </c>
      <c r="E65" s="143">
        <f>VLOOKUP($A65,'Data shares'!$C:$FA,124)</f>
        <v>0.45</v>
      </c>
      <c r="F65" s="143">
        <f>VLOOKUP($A65,'Data shares'!$C:$FA,125)</f>
        <v>0.39</v>
      </c>
      <c r="G65" s="143">
        <f>VLOOKUP($A65,'Data shares'!$C:$FA,127)*100</f>
        <v>15.379999999999999</v>
      </c>
      <c r="H65" s="103">
        <f>VLOOKUP($A65,'OI(Volume)'!$A$7:$O$427,8)</f>
        <v>18089775</v>
      </c>
      <c r="I65" s="103">
        <f>VLOOKUP($A65,'OI(Volume)'!$A$7:$O$427,9)</f>
        <v>406725</v>
      </c>
      <c r="J65" s="103">
        <f>VLOOKUP($A65,'OI(Volume)'!$A$7:$O$427,11)</f>
        <v>10032000</v>
      </c>
      <c r="K65" s="103">
        <f>VLOOKUP($A65,'OI(Volume)'!$A$7:$O$427,12)</f>
        <v>161700</v>
      </c>
      <c r="L65" s="103">
        <f>VLOOKUP($A65,'OI(Value)'!$A$7:$O$306,8,0)</f>
        <v>1397</v>
      </c>
      <c r="M65" s="103">
        <f>VLOOKUP($A65,'OI(Value)'!$A$7:$O$306,9,0)</f>
        <v>31</v>
      </c>
      <c r="N65" s="103">
        <f>VLOOKUP($A65,'OI(Value)'!$A$7:$O$306,11,0)</f>
        <v>775</v>
      </c>
      <c r="O65" s="103">
        <f>VLOOKUP($A65,'OI(Value)'!$A$7:$O$306,12,0)</f>
        <v>12</v>
      </c>
      <c r="P65" s="179">
        <f>VLOOKUP(A65,'OI(Value)'!A65:O266,8,0)</f>
        <v>1397</v>
      </c>
      <c r="Q65" s="179">
        <f>VLOOKUP(A65,'OI(Value)'!A65:O266,9,0)</f>
        <v>31</v>
      </c>
      <c r="R65" s="179">
        <f>VLOOKUP(A65,'OI(Value)'!A65:O266,11,0)</f>
        <v>775</v>
      </c>
      <c r="S65" s="179">
        <f>VLOOKUP(A65,'OI(Value)'!A65:O266,11,0)</f>
        <v>775</v>
      </c>
    </row>
    <row r="66" spans="1:19" x14ac:dyDescent="0.25">
      <c r="A66" s="105" t="str">
        <f>'Data shares'!C61</f>
        <v>DMART</v>
      </c>
      <c r="B66" s="143">
        <f>VLOOKUP($A66,'Data shares'!$C:$FA,118)</f>
        <v>0.91</v>
      </c>
      <c r="C66" s="143">
        <f>VLOOKUP($A66,'Data shares'!$C:$FA,119)</f>
        <v>0.8</v>
      </c>
      <c r="D66" s="143">
        <f>VLOOKUP($A66,'Data shares'!$C:$FA,121)*100</f>
        <v>13.750000000000002</v>
      </c>
      <c r="E66" s="143">
        <f>VLOOKUP($A66,'Data shares'!$C:$FA,124)</f>
        <v>0.35</v>
      </c>
      <c r="F66" s="143">
        <f>VLOOKUP($A66,'Data shares'!$C:$FA,125)</f>
        <v>0.34</v>
      </c>
      <c r="G66" s="143">
        <f>VLOOKUP($A66,'Data shares'!$C:$FA,127)*100</f>
        <v>2.94</v>
      </c>
      <c r="H66" s="103">
        <f>VLOOKUP($A66,'OI(Volume)'!$A$7:$O$427,8)</f>
        <v>1642800</v>
      </c>
      <c r="I66" s="103">
        <f>VLOOKUP($A66,'OI(Volume)'!$A$7:$O$427,9)</f>
        <v>19050</v>
      </c>
      <c r="J66" s="103">
        <f>VLOOKUP($A66,'OI(Volume)'!$A$7:$O$427,11)</f>
        <v>1493850</v>
      </c>
      <c r="K66" s="103">
        <f>VLOOKUP($A66,'OI(Volume)'!$A$7:$O$427,12)</f>
        <v>195600</v>
      </c>
      <c r="L66" s="103">
        <f>VLOOKUP($A66,'OI(Value)'!$A$7:$O$306,8,0)</f>
        <v>774</v>
      </c>
      <c r="M66" s="103">
        <f>VLOOKUP($A66,'OI(Value)'!$A$7:$O$306,9,0)</f>
        <v>9</v>
      </c>
      <c r="N66" s="103">
        <f>VLOOKUP($A66,'OI(Value)'!$A$7:$O$306,11,0)</f>
        <v>703</v>
      </c>
      <c r="O66" s="103">
        <f>VLOOKUP($A66,'OI(Value)'!$A$7:$O$306,12,0)</f>
        <v>92</v>
      </c>
      <c r="P66" s="179">
        <f>VLOOKUP(A66,'OI(Value)'!A66:O267,8,0)</f>
        <v>774</v>
      </c>
      <c r="Q66" s="179">
        <f>VLOOKUP(A66,'OI(Value)'!A66:O267,9,0)</f>
        <v>9</v>
      </c>
      <c r="R66" s="179">
        <f>VLOOKUP(A66,'OI(Value)'!A66:O267,11,0)</f>
        <v>703</v>
      </c>
      <c r="S66" s="179">
        <f>VLOOKUP(A66,'OI(Value)'!A66:O267,11,0)</f>
        <v>703</v>
      </c>
    </row>
    <row r="67" spans="1:19" x14ac:dyDescent="0.25">
      <c r="A67" s="105" t="str">
        <f>'Data shares'!C62</f>
        <v>DRREDDY</v>
      </c>
      <c r="B67" s="143">
        <f>VLOOKUP($A67,'Data shares'!$C:$FA,118)</f>
        <v>0.8</v>
      </c>
      <c r="C67" s="143">
        <f>VLOOKUP($A67,'Data shares'!$C:$FA,119)</f>
        <v>0.78</v>
      </c>
      <c r="D67" s="143">
        <f>VLOOKUP($A67,'Data shares'!$C:$FA,121)*100</f>
        <v>2.56</v>
      </c>
      <c r="E67" s="143">
        <f>VLOOKUP($A67,'Data shares'!$C:$FA,124)</f>
        <v>0.66</v>
      </c>
      <c r="F67" s="143">
        <f>VLOOKUP($A67,'Data shares'!$C:$FA,125)</f>
        <v>0.85</v>
      </c>
      <c r="G67" s="143">
        <f>VLOOKUP($A67,'Data shares'!$C:$FA,127)*100</f>
        <v>-22.35</v>
      </c>
      <c r="H67" s="103">
        <f>VLOOKUP($A67,'OI(Volume)'!$A$7:$O$427,8)</f>
        <v>6592500</v>
      </c>
      <c r="I67" s="103">
        <f>VLOOKUP($A67,'OI(Volume)'!$A$7:$O$427,9)</f>
        <v>-10000</v>
      </c>
      <c r="J67" s="103">
        <f>VLOOKUP($A67,'OI(Volume)'!$A$7:$O$427,11)</f>
        <v>5259375</v>
      </c>
      <c r="K67" s="103">
        <f>VLOOKUP($A67,'OI(Volume)'!$A$7:$O$427,12)</f>
        <v>114375</v>
      </c>
      <c r="L67" s="103">
        <f>VLOOKUP($A67,'OI(Value)'!$A$7:$O$306,8,0)</f>
        <v>818</v>
      </c>
      <c r="M67" s="103">
        <f>VLOOKUP($A67,'OI(Value)'!$A$7:$O$306,9,0)</f>
        <v>-1</v>
      </c>
      <c r="N67" s="103">
        <f>VLOOKUP($A67,'OI(Value)'!$A$7:$O$306,11,0)</f>
        <v>653</v>
      </c>
      <c r="O67" s="103">
        <f>VLOOKUP($A67,'OI(Value)'!$A$7:$O$306,12,0)</f>
        <v>14</v>
      </c>
      <c r="P67" s="179">
        <f>VLOOKUP(A67,'OI(Value)'!A67:O268,8,0)</f>
        <v>818</v>
      </c>
      <c r="Q67" s="179">
        <f>VLOOKUP(A67,'OI(Value)'!A67:O268,9,0)</f>
        <v>-1</v>
      </c>
      <c r="R67" s="179">
        <f>VLOOKUP(A67,'OI(Value)'!A67:O268,11,0)</f>
        <v>653</v>
      </c>
      <c r="S67" s="179">
        <f>VLOOKUP(A67,'OI(Value)'!A67:O268,11,0)</f>
        <v>653</v>
      </c>
    </row>
    <row r="68" spans="1:19" x14ac:dyDescent="0.25">
      <c r="A68" s="105" t="str">
        <f>'Data shares'!C63</f>
        <v>EICHERMOT</v>
      </c>
      <c r="B68" s="143">
        <f>VLOOKUP($A68,'Data shares'!$C:$FA,118)</f>
        <v>0.74</v>
      </c>
      <c r="C68" s="143">
        <f>VLOOKUP($A68,'Data shares'!$C:$FA,119)</f>
        <v>0.76</v>
      </c>
      <c r="D68" s="143">
        <f>VLOOKUP($A68,'Data shares'!$C:$FA,121)*100</f>
        <v>-2.63</v>
      </c>
      <c r="E68" s="143">
        <f>VLOOKUP($A68,'Data shares'!$C:$FA,124)</f>
        <v>0.61</v>
      </c>
      <c r="F68" s="143">
        <f>VLOOKUP($A68,'Data shares'!$C:$FA,125)</f>
        <v>0.48</v>
      </c>
      <c r="G68" s="143">
        <f>VLOOKUP($A68,'Data shares'!$C:$FA,127)*100</f>
        <v>27.08</v>
      </c>
      <c r="H68" s="103">
        <f>VLOOKUP($A68,'OI(Volume)'!$A$7:$O$427,8)</f>
        <v>2314725</v>
      </c>
      <c r="I68" s="103">
        <f>VLOOKUP($A68,'OI(Volume)'!$A$7:$O$427,9)</f>
        <v>-33600</v>
      </c>
      <c r="J68" s="103">
        <f>VLOOKUP($A68,'OI(Volume)'!$A$7:$O$427,11)</f>
        <v>1718675</v>
      </c>
      <c r="K68" s="103">
        <f>VLOOKUP($A68,'OI(Volume)'!$A$7:$O$427,12)</f>
        <v>-69125</v>
      </c>
      <c r="L68" s="103">
        <f>VLOOKUP($A68,'OI(Value)'!$A$7:$O$306,8,0)</f>
        <v>1377</v>
      </c>
      <c r="M68" s="103">
        <f>VLOOKUP($A68,'OI(Value)'!$A$7:$O$306,9,0)</f>
        <v>-20</v>
      </c>
      <c r="N68" s="103">
        <f>VLOOKUP($A68,'OI(Value)'!$A$7:$O$306,11,0)</f>
        <v>1022</v>
      </c>
      <c r="O68" s="103">
        <f>VLOOKUP($A68,'OI(Value)'!$A$7:$O$306,12,0)</f>
        <v>-41</v>
      </c>
      <c r="P68" s="179">
        <f>VLOOKUP(A68,'OI(Value)'!A68:O269,8,0)</f>
        <v>1377</v>
      </c>
      <c r="Q68" s="179">
        <f>VLOOKUP(A68,'OI(Value)'!A68:O269,9,0)</f>
        <v>-20</v>
      </c>
      <c r="R68" s="179">
        <f>VLOOKUP(A68,'OI(Value)'!A68:O269,11,0)</f>
        <v>1022</v>
      </c>
      <c r="S68" s="179">
        <f>VLOOKUP(A68,'OI(Value)'!A68:O269,11,0)</f>
        <v>1022</v>
      </c>
    </row>
    <row r="69" spans="1:19" x14ac:dyDescent="0.25">
      <c r="A69" s="105" t="str">
        <f>'Data shares'!C64</f>
        <v>ETERNAL</v>
      </c>
      <c r="B69" s="143">
        <f>VLOOKUP($A69,'Data shares'!$C:$FA,118)</f>
        <v>0.81</v>
      </c>
      <c r="C69" s="143">
        <f>VLOOKUP($A69,'Data shares'!$C:$FA,119)</f>
        <v>0.87</v>
      </c>
      <c r="D69" s="143">
        <f>VLOOKUP($A69,'Data shares'!$C:$FA,121)*100</f>
        <v>-6.9</v>
      </c>
      <c r="E69" s="143">
        <f>VLOOKUP($A69,'Data shares'!$C:$FA,124)</f>
        <v>0.46</v>
      </c>
      <c r="F69" s="143">
        <f>VLOOKUP($A69,'Data shares'!$C:$FA,125)</f>
        <v>0.55000000000000004</v>
      </c>
      <c r="G69" s="143">
        <f>VLOOKUP($A69,'Data shares'!$C:$FA,127)*100</f>
        <v>-16.36</v>
      </c>
      <c r="H69" s="103">
        <f>VLOOKUP($A69,'OI(Volume)'!$A$7:$O$427,8)</f>
        <v>72616625</v>
      </c>
      <c r="I69" s="103">
        <f>VLOOKUP($A69,'OI(Volume)'!$A$7:$O$427,9)</f>
        <v>10391125</v>
      </c>
      <c r="J69" s="103">
        <f>VLOOKUP($A69,'OI(Volume)'!$A$7:$O$427,11)</f>
        <v>58765025</v>
      </c>
      <c r="K69" s="103">
        <f>VLOOKUP($A69,'OI(Volume)'!$A$7:$O$427,12)</f>
        <v>4692375</v>
      </c>
      <c r="L69" s="103">
        <f>VLOOKUP($A69,'OI(Value)'!$A$7:$O$306,8,0)</f>
        <v>2369</v>
      </c>
      <c r="M69" s="103">
        <f>VLOOKUP($A69,'OI(Value)'!$A$7:$O$306,9,0)</f>
        <v>339</v>
      </c>
      <c r="N69" s="103">
        <f>VLOOKUP($A69,'OI(Value)'!$A$7:$O$306,11,0)</f>
        <v>1918</v>
      </c>
      <c r="O69" s="103">
        <f>VLOOKUP($A69,'OI(Value)'!$A$7:$O$306,12,0)</f>
        <v>153</v>
      </c>
      <c r="P69" s="179">
        <f>VLOOKUP(A69,'OI(Value)'!A69:O270,8,0)</f>
        <v>2369</v>
      </c>
      <c r="Q69" s="179">
        <f>VLOOKUP(A69,'OI(Value)'!A69:O270,9,0)</f>
        <v>339</v>
      </c>
      <c r="R69" s="179">
        <f>VLOOKUP(A69,'OI(Value)'!A69:O270,11,0)</f>
        <v>1918</v>
      </c>
      <c r="S69" s="179">
        <f>VLOOKUP(A69,'OI(Value)'!A69:O270,11,0)</f>
        <v>1918</v>
      </c>
    </row>
    <row r="70" spans="1:19" x14ac:dyDescent="0.25">
      <c r="A70" s="105" t="str">
        <f>'Data shares'!C65</f>
        <v>EXIDEIND</v>
      </c>
      <c r="B70" s="143">
        <f>VLOOKUP($A70,'Data shares'!$C:$FA,118)</f>
        <v>0.59</v>
      </c>
      <c r="C70" s="143">
        <f>VLOOKUP($A70,'Data shares'!$C:$FA,119)</f>
        <v>0.56000000000000005</v>
      </c>
      <c r="D70" s="143">
        <f>VLOOKUP($A70,'Data shares'!$C:$FA,121)*100</f>
        <v>5.36</v>
      </c>
      <c r="E70" s="143">
        <f>VLOOKUP($A70,'Data shares'!$C:$FA,124)</f>
        <v>0.25</v>
      </c>
      <c r="F70" s="143">
        <f>VLOOKUP($A70,'Data shares'!$C:$FA,125)</f>
        <v>0.33</v>
      </c>
      <c r="G70" s="143">
        <f>VLOOKUP($A70,'Data shares'!$C:$FA,127)*100</f>
        <v>-24.240000000000002</v>
      </c>
      <c r="H70" s="103">
        <f>VLOOKUP($A70,'OI(Volume)'!$A$7:$O$427,8)</f>
        <v>18804600</v>
      </c>
      <c r="I70" s="103">
        <f>VLOOKUP($A70,'OI(Volume)'!$A$7:$O$427,9)</f>
        <v>-199800</v>
      </c>
      <c r="J70" s="103">
        <f>VLOOKUP($A70,'OI(Volume)'!$A$7:$O$427,11)</f>
        <v>11055600</v>
      </c>
      <c r="K70" s="103">
        <f>VLOOKUP($A70,'OI(Volume)'!$A$7:$O$427,12)</f>
        <v>392400</v>
      </c>
      <c r="L70" s="103">
        <f>VLOOKUP($A70,'OI(Value)'!$A$7:$O$306,8,0)</f>
        <v>747</v>
      </c>
      <c r="M70" s="103">
        <f>VLOOKUP($A70,'OI(Value)'!$A$7:$O$306,9,0)</f>
        <v>-8</v>
      </c>
      <c r="N70" s="103">
        <f>VLOOKUP($A70,'OI(Value)'!$A$7:$O$306,11,0)</f>
        <v>439</v>
      </c>
      <c r="O70" s="103">
        <f>VLOOKUP($A70,'OI(Value)'!$A$7:$O$306,12,0)</f>
        <v>16</v>
      </c>
      <c r="P70" s="179">
        <f>VLOOKUP(A70,'OI(Value)'!A70:O271,8,0)</f>
        <v>747</v>
      </c>
      <c r="Q70" s="179">
        <f>VLOOKUP(A70,'OI(Value)'!A70:O271,9,0)</f>
        <v>-8</v>
      </c>
      <c r="R70" s="179">
        <f>VLOOKUP(A70,'OI(Value)'!A70:O271,11,0)</f>
        <v>439</v>
      </c>
      <c r="S70" s="179">
        <f>VLOOKUP(A70,'OI(Value)'!A70:O271,11,0)</f>
        <v>439</v>
      </c>
    </row>
    <row r="71" spans="1:19" x14ac:dyDescent="0.25">
      <c r="A71" s="105" t="str">
        <f>'Data shares'!C66</f>
        <v>FEDERALBNK</v>
      </c>
      <c r="B71" s="143">
        <f>VLOOKUP($A71,'Data shares'!$C:$FA,118)</f>
        <v>0.75</v>
      </c>
      <c r="C71" s="143">
        <f>VLOOKUP($A71,'Data shares'!$C:$FA,119)</f>
        <v>0.72</v>
      </c>
      <c r="D71" s="143">
        <f>VLOOKUP($A71,'Data shares'!$C:$FA,121)*100</f>
        <v>4.17</v>
      </c>
      <c r="E71" s="143">
        <f>VLOOKUP($A71,'Data shares'!$C:$FA,124)</f>
        <v>0.56999999999999995</v>
      </c>
      <c r="F71" s="143">
        <f>VLOOKUP($A71,'Data shares'!$C:$FA,125)</f>
        <v>0.55000000000000004</v>
      </c>
      <c r="G71" s="143">
        <f>VLOOKUP($A71,'Data shares'!$C:$FA,127)*100</f>
        <v>3.64</v>
      </c>
      <c r="H71" s="103">
        <f>VLOOKUP($A71,'OI(Volume)'!$A$7:$O$427,8)</f>
        <v>52400000</v>
      </c>
      <c r="I71" s="103">
        <f>VLOOKUP($A71,'OI(Volume)'!$A$7:$O$427,9)</f>
        <v>-1035000</v>
      </c>
      <c r="J71" s="103">
        <f>VLOOKUP($A71,'OI(Volume)'!$A$7:$O$427,11)</f>
        <v>39285000</v>
      </c>
      <c r="K71" s="103">
        <f>VLOOKUP($A71,'OI(Volume)'!$A$7:$O$427,12)</f>
        <v>800000</v>
      </c>
      <c r="L71" s="103">
        <f>VLOOKUP($A71,'OI(Value)'!$A$7:$O$306,8,0)</f>
        <v>1043</v>
      </c>
      <c r="M71" s="103">
        <f>VLOOKUP($A71,'OI(Value)'!$A$7:$O$306,9,0)</f>
        <v>-21</v>
      </c>
      <c r="N71" s="103">
        <f>VLOOKUP($A71,'OI(Value)'!$A$7:$O$306,11,0)</f>
        <v>782</v>
      </c>
      <c r="O71" s="103">
        <f>VLOOKUP($A71,'OI(Value)'!$A$7:$O$306,12,0)</f>
        <v>16</v>
      </c>
      <c r="P71" s="179">
        <f>VLOOKUP(A71,'OI(Value)'!A71:O272,8,0)</f>
        <v>1043</v>
      </c>
      <c r="Q71" s="179">
        <f>VLOOKUP(A71,'OI(Value)'!A71:O272,9,0)</f>
        <v>-21</v>
      </c>
      <c r="R71" s="179">
        <f>VLOOKUP(A71,'OI(Value)'!A71:O272,11,0)</f>
        <v>782</v>
      </c>
      <c r="S71" s="179">
        <f>VLOOKUP(A71,'OI(Value)'!A71:O272,11,0)</f>
        <v>782</v>
      </c>
    </row>
    <row r="72" spans="1:19" x14ac:dyDescent="0.25">
      <c r="A72" s="105" t="str">
        <f>'Data shares'!C67</f>
        <v>FINNIFTY</v>
      </c>
      <c r="B72" s="143">
        <f>VLOOKUP($A72,'Data shares'!$C:$FA,118)</f>
        <v>0.76</v>
      </c>
      <c r="C72" s="143">
        <f>VLOOKUP($A72,'Data shares'!$C:$FA,119)</f>
        <v>0.84</v>
      </c>
      <c r="D72" s="143">
        <f>VLOOKUP($A72,'Data shares'!$C:$FA,121)*100</f>
        <v>-9.5200000000000014</v>
      </c>
      <c r="E72" s="143">
        <f>VLOOKUP($A72,'Data shares'!$C:$FA,124)</f>
        <v>0.84</v>
      </c>
      <c r="F72" s="143">
        <f>VLOOKUP($A72,'Data shares'!$C:$FA,125)</f>
        <v>0.9</v>
      </c>
      <c r="G72" s="143">
        <f>VLOOKUP($A72,'Data shares'!$C:$FA,127)*100</f>
        <v>-6.67</v>
      </c>
      <c r="H72" s="103">
        <f>VLOOKUP($A72,'OI(Volume)'!$A$7:$O$427,8)</f>
        <v>1410435</v>
      </c>
      <c r="I72" s="103">
        <f>VLOOKUP($A72,'OI(Volume)'!$A$7:$O$427,9)</f>
        <v>166400</v>
      </c>
      <c r="J72" s="103">
        <f>VLOOKUP($A72,'OI(Volume)'!$A$7:$O$427,11)</f>
        <v>1075100</v>
      </c>
      <c r="K72" s="103">
        <f>VLOOKUP($A72,'OI(Volume)'!$A$7:$O$427,12)</f>
        <v>27885</v>
      </c>
      <c r="L72" s="103">
        <f>VLOOKUP($A72,'OI(Value)'!$A$7:$O$306,8,0)</f>
        <v>3745</v>
      </c>
      <c r="M72" s="103">
        <f>VLOOKUP($A72,'OI(Value)'!$A$7:$O$306,9,0)</f>
        <v>442</v>
      </c>
      <c r="N72" s="103">
        <f>VLOOKUP($A72,'OI(Value)'!$A$7:$O$306,11,0)</f>
        <v>2854</v>
      </c>
      <c r="O72" s="103">
        <f>VLOOKUP($A72,'OI(Value)'!$A$7:$O$306,12,0)</f>
        <v>74</v>
      </c>
      <c r="P72" s="179">
        <f>VLOOKUP(A72,'OI(Value)'!A72:O273,8,0)</f>
        <v>3745</v>
      </c>
      <c r="Q72" s="179">
        <f>VLOOKUP(A72,'OI(Value)'!A72:O273,9,0)</f>
        <v>442</v>
      </c>
      <c r="R72" s="179">
        <f>VLOOKUP(A72,'OI(Value)'!A72:O273,11,0)</f>
        <v>2854</v>
      </c>
      <c r="S72" s="179">
        <f>VLOOKUP(A72,'OI(Value)'!A72:O273,11,0)</f>
        <v>2854</v>
      </c>
    </row>
    <row r="73" spans="1:19" x14ac:dyDescent="0.25">
      <c r="A73" s="105" t="str">
        <f>'Data shares'!C68</f>
        <v>FORTIS</v>
      </c>
      <c r="B73" s="143">
        <f>VLOOKUP($A73,'Data shares'!$C:$FA,118)</f>
        <v>0.91</v>
      </c>
      <c r="C73" s="143">
        <f>VLOOKUP($A73,'Data shares'!$C:$FA,119)</f>
        <v>0.85</v>
      </c>
      <c r="D73" s="143">
        <f>VLOOKUP($A73,'Data shares'!$C:$FA,121)*100</f>
        <v>7.06</v>
      </c>
      <c r="E73" s="143">
        <f>VLOOKUP($A73,'Data shares'!$C:$FA,124)</f>
        <v>0.39</v>
      </c>
      <c r="F73" s="143">
        <f>VLOOKUP($A73,'Data shares'!$C:$FA,125)</f>
        <v>0.66</v>
      </c>
      <c r="G73" s="143">
        <f>VLOOKUP($A73,'Data shares'!$C:$FA,127)*100</f>
        <v>-40.910000000000004</v>
      </c>
      <c r="H73" s="103">
        <f>VLOOKUP($A73,'OI(Volume)'!$A$7:$O$427,8)</f>
        <v>3878100</v>
      </c>
      <c r="I73" s="103">
        <f>VLOOKUP($A73,'OI(Volume)'!$A$7:$O$427,9)</f>
        <v>-99975</v>
      </c>
      <c r="J73" s="103">
        <f>VLOOKUP($A73,'OI(Volume)'!$A$7:$O$427,11)</f>
        <v>3523150</v>
      </c>
      <c r="K73" s="103">
        <f>VLOOKUP($A73,'OI(Volume)'!$A$7:$O$427,12)</f>
        <v>142600</v>
      </c>
      <c r="L73" s="103">
        <f>VLOOKUP($A73,'OI(Value)'!$A$7:$O$306,8,0)</f>
        <v>374</v>
      </c>
      <c r="M73" s="103">
        <f>VLOOKUP($A73,'OI(Value)'!$A$7:$O$306,9,0)</f>
        <v>-10</v>
      </c>
      <c r="N73" s="103">
        <f>VLOOKUP($A73,'OI(Value)'!$A$7:$O$306,11,0)</f>
        <v>340</v>
      </c>
      <c r="O73" s="103">
        <f>VLOOKUP($A73,'OI(Value)'!$A$7:$O$306,12,0)</f>
        <v>14</v>
      </c>
      <c r="P73" s="179">
        <f>VLOOKUP(A73,'OI(Value)'!A73:O274,8,0)</f>
        <v>374</v>
      </c>
      <c r="Q73" s="179">
        <f>VLOOKUP(A73,'OI(Value)'!A73:O274,9,0)</f>
        <v>-10</v>
      </c>
      <c r="R73" s="179">
        <f>VLOOKUP(A73,'OI(Value)'!A73:O274,11,0)</f>
        <v>340</v>
      </c>
      <c r="S73" s="179">
        <f>VLOOKUP(A73,'OI(Value)'!A73:O274,11,0)</f>
        <v>340</v>
      </c>
    </row>
    <row r="74" spans="1:19" x14ac:dyDescent="0.25">
      <c r="A74" s="105" t="str">
        <f>'Data shares'!C69</f>
        <v>GAIL</v>
      </c>
      <c r="B74" s="143">
        <f>VLOOKUP($A74,'Data shares'!$C:$FA,118)</f>
        <v>0.75</v>
      </c>
      <c r="C74" s="143">
        <f>VLOOKUP($A74,'Data shares'!$C:$FA,119)</f>
        <v>0.77</v>
      </c>
      <c r="D74" s="143">
        <f>VLOOKUP($A74,'Data shares'!$C:$FA,121)*100</f>
        <v>-2.6</v>
      </c>
      <c r="E74" s="143">
        <f>VLOOKUP($A74,'Data shares'!$C:$FA,124)</f>
        <v>0.38</v>
      </c>
      <c r="F74" s="143">
        <f>VLOOKUP($A74,'Data shares'!$C:$FA,125)</f>
        <v>0.42</v>
      </c>
      <c r="G74" s="143">
        <f>VLOOKUP($A74,'Data shares'!$C:$FA,127)*100</f>
        <v>-9.5200000000000014</v>
      </c>
      <c r="H74" s="103">
        <f>VLOOKUP($A74,'OI(Volume)'!$A$7:$O$427,8)</f>
        <v>38511900</v>
      </c>
      <c r="I74" s="103">
        <f>VLOOKUP($A74,'OI(Volume)'!$A$7:$O$427,9)</f>
        <v>680400</v>
      </c>
      <c r="J74" s="103">
        <f>VLOOKUP($A74,'OI(Volume)'!$A$7:$O$427,11)</f>
        <v>28876050</v>
      </c>
      <c r="K74" s="103">
        <f>VLOOKUP($A74,'OI(Volume)'!$A$7:$O$427,12)</f>
        <v>-412650</v>
      </c>
      <c r="L74" s="103">
        <f>VLOOKUP($A74,'OI(Value)'!$A$7:$O$306,8,0)</f>
        <v>686</v>
      </c>
      <c r="M74" s="103">
        <f>VLOOKUP($A74,'OI(Value)'!$A$7:$O$306,9,0)</f>
        <v>12</v>
      </c>
      <c r="N74" s="103">
        <f>VLOOKUP($A74,'OI(Value)'!$A$7:$O$306,11,0)</f>
        <v>514</v>
      </c>
      <c r="O74" s="103">
        <f>VLOOKUP($A74,'OI(Value)'!$A$7:$O$306,12,0)</f>
        <v>-7</v>
      </c>
      <c r="P74" s="179">
        <f>VLOOKUP(A74,'OI(Value)'!A74:O275,8,0)</f>
        <v>686</v>
      </c>
      <c r="Q74" s="179">
        <f>VLOOKUP(A74,'OI(Value)'!A74:O275,9,0)</f>
        <v>12</v>
      </c>
      <c r="R74" s="179">
        <f>VLOOKUP(A74,'OI(Value)'!A74:O275,11,0)</f>
        <v>514</v>
      </c>
      <c r="S74" s="179">
        <f>VLOOKUP(A74,'OI(Value)'!A74:O275,11,0)</f>
        <v>514</v>
      </c>
    </row>
    <row r="75" spans="1:19" x14ac:dyDescent="0.25">
      <c r="A75" s="105" t="str">
        <f>'Data shares'!C70</f>
        <v>GLENMARK</v>
      </c>
      <c r="B75" s="143">
        <f>VLOOKUP($A75,'Data shares'!$C:$FA,118)</f>
        <v>0.47</v>
      </c>
      <c r="C75" s="143">
        <f>VLOOKUP($A75,'Data shares'!$C:$FA,119)</f>
        <v>0.56999999999999995</v>
      </c>
      <c r="D75" s="143">
        <f>VLOOKUP($A75,'Data shares'!$C:$FA,121)*100</f>
        <v>-17.54</v>
      </c>
      <c r="E75" s="143">
        <f>VLOOKUP($A75,'Data shares'!$C:$FA,124)</f>
        <v>0.51</v>
      </c>
      <c r="F75" s="143">
        <f>VLOOKUP($A75,'Data shares'!$C:$FA,125)</f>
        <v>0.83</v>
      </c>
      <c r="G75" s="143">
        <f>VLOOKUP($A75,'Data shares'!$C:$FA,127)*100</f>
        <v>-38.550000000000004</v>
      </c>
      <c r="H75" s="103">
        <f>VLOOKUP($A75,'OI(Volume)'!$A$7:$O$427,8)</f>
        <v>3963000</v>
      </c>
      <c r="I75" s="103">
        <f>VLOOKUP($A75,'OI(Volume)'!$A$7:$O$427,9)</f>
        <v>292125</v>
      </c>
      <c r="J75" s="103">
        <f>VLOOKUP($A75,'OI(Volume)'!$A$7:$O$427,11)</f>
        <v>1843125</v>
      </c>
      <c r="K75" s="103">
        <f>VLOOKUP($A75,'OI(Volume)'!$A$7:$O$427,12)</f>
        <v>-235125</v>
      </c>
      <c r="L75" s="103">
        <f>VLOOKUP($A75,'OI(Value)'!$A$7:$O$306,8,0)</f>
        <v>765</v>
      </c>
      <c r="M75" s="103">
        <f>VLOOKUP($A75,'OI(Value)'!$A$7:$O$306,9,0)</f>
        <v>56</v>
      </c>
      <c r="N75" s="103">
        <f>VLOOKUP($A75,'OI(Value)'!$A$7:$O$306,11,0)</f>
        <v>356</v>
      </c>
      <c r="O75" s="103">
        <f>VLOOKUP($A75,'OI(Value)'!$A$7:$O$306,12,0)</f>
        <v>-45</v>
      </c>
      <c r="P75" s="179">
        <f>VLOOKUP(A75,'OI(Value)'!A75:O276,8,0)</f>
        <v>765</v>
      </c>
      <c r="Q75" s="179">
        <f>VLOOKUP(A75,'OI(Value)'!A75:O276,9,0)</f>
        <v>56</v>
      </c>
      <c r="R75" s="179">
        <f>VLOOKUP(A75,'OI(Value)'!A75:O276,11,0)</f>
        <v>356</v>
      </c>
      <c r="S75" s="179">
        <f>VLOOKUP(A75,'OI(Value)'!A75:O276,11,0)</f>
        <v>356</v>
      </c>
    </row>
    <row r="76" spans="1:19" x14ac:dyDescent="0.25">
      <c r="A76" s="105" t="str">
        <f>'Data shares'!C71</f>
        <v>GMRAIRPORT</v>
      </c>
      <c r="B76" s="143">
        <f>VLOOKUP($A76,'Data shares'!$C:$FA,118)</f>
        <v>0.5</v>
      </c>
      <c r="C76" s="143">
        <f>VLOOKUP($A76,'Data shares'!$C:$FA,119)</f>
        <v>0.5</v>
      </c>
      <c r="D76" s="143">
        <f>VLOOKUP($A76,'Data shares'!$C:$FA,121)*100</f>
        <v>0</v>
      </c>
      <c r="E76" s="143">
        <f>VLOOKUP($A76,'Data shares'!$C:$FA,124)</f>
        <v>0.35</v>
      </c>
      <c r="F76" s="143">
        <f>VLOOKUP($A76,'Data shares'!$C:$FA,125)</f>
        <v>0.65</v>
      </c>
      <c r="G76" s="143">
        <f>VLOOKUP($A76,'Data shares'!$C:$FA,127)*100</f>
        <v>-46.150000000000006</v>
      </c>
      <c r="H76" s="103">
        <f>VLOOKUP($A76,'OI(Volume)'!$A$7:$O$427,8)</f>
        <v>68550300</v>
      </c>
      <c r="I76" s="103">
        <f>VLOOKUP($A76,'OI(Volume)'!$A$7:$O$427,9)</f>
        <v>620775</v>
      </c>
      <c r="J76" s="103">
        <f>VLOOKUP($A76,'OI(Volume)'!$A$7:$O$427,11)</f>
        <v>34177500</v>
      </c>
      <c r="K76" s="103">
        <f>VLOOKUP($A76,'OI(Volume)'!$A$7:$O$427,12)</f>
        <v>-125550</v>
      </c>
      <c r="L76" s="103">
        <f>VLOOKUP($A76,'OI(Value)'!$A$7:$O$306,8,0)</f>
        <v>626</v>
      </c>
      <c r="M76" s="103">
        <f>VLOOKUP($A76,'OI(Value)'!$A$7:$O$306,9,0)</f>
        <v>6</v>
      </c>
      <c r="N76" s="103">
        <f>VLOOKUP($A76,'OI(Value)'!$A$7:$O$306,11,0)</f>
        <v>312</v>
      </c>
      <c r="O76" s="103">
        <f>VLOOKUP($A76,'OI(Value)'!$A$7:$O$306,12,0)</f>
        <v>-1</v>
      </c>
      <c r="P76" s="179">
        <f>VLOOKUP(A76,'OI(Value)'!A76:O277,8,0)</f>
        <v>626</v>
      </c>
      <c r="Q76" s="179">
        <f>VLOOKUP(A76,'OI(Value)'!A76:O277,9,0)</f>
        <v>6</v>
      </c>
      <c r="R76" s="179">
        <f>VLOOKUP(A76,'OI(Value)'!A76:O277,11,0)</f>
        <v>312</v>
      </c>
      <c r="S76" s="179">
        <f>VLOOKUP(A76,'OI(Value)'!A76:O277,11,0)</f>
        <v>312</v>
      </c>
    </row>
    <row r="77" spans="1:19" x14ac:dyDescent="0.25">
      <c r="A77" s="105" t="str">
        <f>'Data shares'!C72</f>
        <v>GODREJCP</v>
      </c>
      <c r="B77" s="143">
        <f>VLOOKUP($A77,'Data shares'!$C:$FA,118)</f>
        <v>0.65</v>
      </c>
      <c r="C77" s="143">
        <f>VLOOKUP($A77,'Data shares'!$C:$FA,119)</f>
        <v>0.61</v>
      </c>
      <c r="D77" s="143">
        <f>VLOOKUP($A77,'Data shares'!$C:$FA,121)*100</f>
        <v>6.5600000000000005</v>
      </c>
      <c r="E77" s="143">
        <f>VLOOKUP($A77,'Data shares'!$C:$FA,124)</f>
        <v>0.22</v>
      </c>
      <c r="F77" s="143">
        <f>VLOOKUP($A77,'Data shares'!$C:$FA,125)</f>
        <v>0.32</v>
      </c>
      <c r="G77" s="143">
        <f>VLOOKUP($A77,'Data shares'!$C:$FA,127)*100</f>
        <v>-31.25</v>
      </c>
      <c r="H77" s="103">
        <f>VLOOKUP($A77,'OI(Volume)'!$A$7:$O$427,8)</f>
        <v>2302000</v>
      </c>
      <c r="I77" s="103">
        <f>VLOOKUP($A77,'OI(Volume)'!$A$7:$O$427,9)</f>
        <v>77500</v>
      </c>
      <c r="J77" s="103">
        <f>VLOOKUP($A77,'OI(Volume)'!$A$7:$O$427,11)</f>
        <v>1505000</v>
      </c>
      <c r="K77" s="103">
        <f>VLOOKUP($A77,'OI(Volume)'!$A$7:$O$427,12)</f>
        <v>144500</v>
      </c>
      <c r="L77" s="103">
        <f>VLOOKUP($A77,'OI(Value)'!$A$7:$O$306,8,0)</f>
        <v>288</v>
      </c>
      <c r="M77" s="103">
        <f>VLOOKUP($A77,'OI(Value)'!$A$7:$O$306,9,0)</f>
        <v>10</v>
      </c>
      <c r="N77" s="103">
        <f>VLOOKUP($A77,'OI(Value)'!$A$7:$O$306,11,0)</f>
        <v>188</v>
      </c>
      <c r="O77" s="103">
        <f>VLOOKUP($A77,'OI(Value)'!$A$7:$O$306,12,0)</f>
        <v>18</v>
      </c>
      <c r="P77" s="179">
        <f>VLOOKUP(A77,'OI(Value)'!A77:O278,8,0)</f>
        <v>288</v>
      </c>
      <c r="Q77" s="179">
        <f>VLOOKUP(A77,'OI(Value)'!A77:O278,9,0)</f>
        <v>10</v>
      </c>
      <c r="R77" s="179">
        <f>VLOOKUP(A77,'OI(Value)'!A77:O278,11,0)</f>
        <v>188</v>
      </c>
      <c r="S77" s="179">
        <f>VLOOKUP(A77,'OI(Value)'!A77:O278,11,0)</f>
        <v>188</v>
      </c>
    </row>
    <row r="78" spans="1:19" x14ac:dyDescent="0.25">
      <c r="A78" s="105" t="str">
        <f>'Data shares'!C73</f>
        <v>GODREJPROP</v>
      </c>
      <c r="B78" s="143">
        <f>VLOOKUP($A78,'Data shares'!$C:$FA,118)</f>
        <v>0.62</v>
      </c>
      <c r="C78" s="143">
        <f>VLOOKUP($A78,'Data shares'!$C:$FA,119)</f>
        <v>0.56999999999999995</v>
      </c>
      <c r="D78" s="143">
        <f>VLOOKUP($A78,'Data shares'!$C:$FA,121)*100</f>
        <v>8.77</v>
      </c>
      <c r="E78" s="143">
        <f>VLOOKUP($A78,'Data shares'!$C:$FA,124)</f>
        <v>0.4</v>
      </c>
      <c r="F78" s="143">
        <f>VLOOKUP($A78,'Data shares'!$C:$FA,125)</f>
        <v>0.44</v>
      </c>
      <c r="G78" s="143">
        <f>VLOOKUP($A78,'Data shares'!$C:$FA,127)*100</f>
        <v>-9.09</v>
      </c>
      <c r="H78" s="103">
        <f>VLOOKUP($A78,'OI(Volume)'!$A$7:$O$427,8)</f>
        <v>3285700</v>
      </c>
      <c r="I78" s="103">
        <f>VLOOKUP($A78,'OI(Volume)'!$A$7:$O$427,9)</f>
        <v>32450</v>
      </c>
      <c r="J78" s="103">
        <f>VLOOKUP($A78,'OI(Volume)'!$A$7:$O$427,11)</f>
        <v>2034725</v>
      </c>
      <c r="K78" s="103">
        <f>VLOOKUP($A78,'OI(Volume)'!$A$7:$O$427,12)</f>
        <v>176000</v>
      </c>
      <c r="L78" s="103">
        <f>VLOOKUP($A78,'OI(Value)'!$A$7:$O$306,8,0)</f>
        <v>671</v>
      </c>
      <c r="M78" s="103">
        <f>VLOOKUP($A78,'OI(Value)'!$A$7:$O$306,9,0)</f>
        <v>7</v>
      </c>
      <c r="N78" s="103">
        <f>VLOOKUP($A78,'OI(Value)'!$A$7:$O$306,11,0)</f>
        <v>415</v>
      </c>
      <c r="O78" s="103">
        <f>VLOOKUP($A78,'OI(Value)'!$A$7:$O$306,12,0)</f>
        <v>36</v>
      </c>
      <c r="P78" s="179">
        <f>VLOOKUP(A78,'OI(Value)'!A78:O279,8,0)</f>
        <v>671</v>
      </c>
      <c r="Q78" s="179">
        <f>VLOOKUP(A78,'OI(Value)'!A78:O279,9,0)</f>
        <v>7</v>
      </c>
      <c r="R78" s="179">
        <f>VLOOKUP(A78,'OI(Value)'!A78:O279,11,0)</f>
        <v>415</v>
      </c>
      <c r="S78" s="179">
        <f>VLOOKUP(A78,'OI(Value)'!A78:O279,11,0)</f>
        <v>415</v>
      </c>
    </row>
    <row r="79" spans="1:19" x14ac:dyDescent="0.25">
      <c r="A79" s="105" t="str">
        <f>'Data shares'!C74</f>
        <v>GRANULES</v>
      </c>
      <c r="B79" s="143">
        <f>VLOOKUP($A79,'Data shares'!$C:$FA,118)</f>
        <v>0.53</v>
      </c>
      <c r="C79" s="143">
        <f>VLOOKUP($A79,'Data shares'!$C:$FA,119)</f>
        <v>0.51</v>
      </c>
      <c r="D79" s="143">
        <f>VLOOKUP($A79,'Data shares'!$C:$FA,121)*100</f>
        <v>3.92</v>
      </c>
      <c r="E79" s="143">
        <f>VLOOKUP($A79,'Data shares'!$C:$FA,124)</f>
        <v>0.41</v>
      </c>
      <c r="F79" s="143">
        <f>VLOOKUP($A79,'Data shares'!$C:$FA,125)</f>
        <v>0.54</v>
      </c>
      <c r="G79" s="143">
        <f>VLOOKUP($A79,'Data shares'!$C:$FA,127)*100</f>
        <v>-24.07</v>
      </c>
      <c r="H79" s="103">
        <f>VLOOKUP($A79,'OI(Volume)'!$A$7:$O$427,8)</f>
        <v>4115100</v>
      </c>
      <c r="I79" s="103">
        <f>VLOOKUP($A79,'OI(Volume)'!$A$7:$O$427,9)</f>
        <v>-32250</v>
      </c>
      <c r="J79" s="103">
        <f>VLOOKUP($A79,'OI(Volume)'!$A$7:$O$427,11)</f>
        <v>2161825</v>
      </c>
      <c r="K79" s="103">
        <f>VLOOKUP($A79,'OI(Volume)'!$A$7:$O$427,12)</f>
        <v>62350</v>
      </c>
      <c r="L79" s="103">
        <f>VLOOKUP($A79,'OI(Value)'!$A$7:$O$306,8,0)</f>
        <v>190</v>
      </c>
      <c r="M79" s="103">
        <f>VLOOKUP($A79,'OI(Value)'!$A$7:$O$306,9,0)</f>
        <v>-1</v>
      </c>
      <c r="N79" s="103">
        <f>VLOOKUP($A79,'OI(Value)'!$A$7:$O$306,11,0)</f>
        <v>100</v>
      </c>
      <c r="O79" s="103">
        <f>VLOOKUP($A79,'OI(Value)'!$A$7:$O$306,12,0)</f>
        <v>3</v>
      </c>
      <c r="P79" s="179">
        <f>VLOOKUP(A79,'OI(Value)'!A79:O280,8,0)</f>
        <v>190</v>
      </c>
      <c r="Q79" s="179">
        <f>VLOOKUP(A79,'OI(Value)'!A79:O280,9,0)</f>
        <v>-1</v>
      </c>
      <c r="R79" s="179">
        <f>VLOOKUP(A79,'OI(Value)'!A79:O280,11,0)</f>
        <v>100</v>
      </c>
      <c r="S79" s="179">
        <f>VLOOKUP(A79,'OI(Value)'!A79:O280,11,0)</f>
        <v>100</v>
      </c>
    </row>
    <row r="80" spans="1:19" x14ac:dyDescent="0.25">
      <c r="A80" s="105" t="str">
        <f>'Data shares'!C75</f>
        <v>GRASIM</v>
      </c>
      <c r="B80" s="143">
        <f>VLOOKUP($A80,'Data shares'!$C:$FA,118)</f>
        <v>0.72</v>
      </c>
      <c r="C80" s="143">
        <f>VLOOKUP($A80,'Data shares'!$C:$FA,119)</f>
        <v>0.72</v>
      </c>
      <c r="D80" s="143">
        <f>VLOOKUP($A80,'Data shares'!$C:$FA,121)*100</f>
        <v>0</v>
      </c>
      <c r="E80" s="143">
        <f>VLOOKUP($A80,'Data shares'!$C:$FA,124)</f>
        <v>0.31</v>
      </c>
      <c r="F80" s="143">
        <f>VLOOKUP($A80,'Data shares'!$C:$FA,125)</f>
        <v>0.57999999999999996</v>
      </c>
      <c r="G80" s="143">
        <f>VLOOKUP($A80,'Data shares'!$C:$FA,127)*100</f>
        <v>-46.550000000000004</v>
      </c>
      <c r="H80" s="103">
        <f>VLOOKUP($A80,'OI(Volume)'!$A$7:$O$427,8)</f>
        <v>2077250</v>
      </c>
      <c r="I80" s="103">
        <f>VLOOKUP($A80,'OI(Volume)'!$A$7:$O$427,9)</f>
        <v>144000</v>
      </c>
      <c r="J80" s="103">
        <f>VLOOKUP($A80,'OI(Volume)'!$A$7:$O$427,11)</f>
        <v>1504250</v>
      </c>
      <c r="K80" s="103">
        <f>VLOOKUP($A80,'OI(Volume)'!$A$7:$O$427,12)</f>
        <v>117000</v>
      </c>
      <c r="L80" s="103">
        <f>VLOOKUP($A80,'OI(Value)'!$A$7:$O$306,8,0)</f>
        <v>596</v>
      </c>
      <c r="M80" s="103">
        <f>VLOOKUP($A80,'OI(Value)'!$A$7:$O$306,9,0)</f>
        <v>41</v>
      </c>
      <c r="N80" s="103">
        <f>VLOOKUP($A80,'OI(Value)'!$A$7:$O$306,11,0)</f>
        <v>432</v>
      </c>
      <c r="O80" s="103">
        <f>VLOOKUP($A80,'OI(Value)'!$A$7:$O$306,12,0)</f>
        <v>34</v>
      </c>
      <c r="P80" s="179">
        <f>VLOOKUP(A80,'OI(Value)'!A80:O281,8,0)</f>
        <v>596</v>
      </c>
      <c r="Q80" s="179">
        <f>VLOOKUP(A80,'OI(Value)'!A80:O281,9,0)</f>
        <v>41</v>
      </c>
      <c r="R80" s="179">
        <f>VLOOKUP(A80,'OI(Value)'!A80:O281,11,0)</f>
        <v>432</v>
      </c>
      <c r="S80" s="179">
        <f>VLOOKUP(A80,'OI(Value)'!A80:O281,11,0)</f>
        <v>432</v>
      </c>
    </row>
    <row r="81" spans="1:19" x14ac:dyDescent="0.25">
      <c r="A81" s="105" t="str">
        <f>'Data shares'!C76</f>
        <v>HAL</v>
      </c>
      <c r="B81" s="143">
        <f>VLOOKUP($A81,'Data shares'!$C:$FA,118)</f>
        <v>0.5</v>
      </c>
      <c r="C81" s="143">
        <f>VLOOKUP($A81,'Data shares'!$C:$FA,119)</f>
        <v>0.56000000000000005</v>
      </c>
      <c r="D81" s="143">
        <f>VLOOKUP($A81,'Data shares'!$C:$FA,121)*100</f>
        <v>-10.71</v>
      </c>
      <c r="E81" s="143">
        <f>VLOOKUP($A81,'Data shares'!$C:$FA,124)</f>
        <v>0.38</v>
      </c>
      <c r="F81" s="143">
        <f>VLOOKUP($A81,'Data shares'!$C:$FA,125)</f>
        <v>0.48</v>
      </c>
      <c r="G81" s="143">
        <f>VLOOKUP($A81,'Data shares'!$C:$FA,127)*100</f>
        <v>-20.830000000000002</v>
      </c>
      <c r="H81" s="103">
        <f>VLOOKUP($A81,'OI(Volume)'!$A$7:$O$427,8)</f>
        <v>9432000</v>
      </c>
      <c r="I81" s="103">
        <f>VLOOKUP($A81,'OI(Volume)'!$A$7:$O$427,9)</f>
        <v>3476550</v>
      </c>
      <c r="J81" s="103">
        <f>VLOOKUP($A81,'OI(Volume)'!$A$7:$O$427,11)</f>
        <v>4717800</v>
      </c>
      <c r="K81" s="103">
        <f>VLOOKUP($A81,'OI(Volume)'!$A$7:$O$427,12)</f>
        <v>1403700</v>
      </c>
      <c r="L81" s="103">
        <f>VLOOKUP($A81,'OI(Value)'!$A$7:$O$306,8,0)</f>
        <v>4203</v>
      </c>
      <c r="M81" s="103">
        <f>VLOOKUP($A81,'OI(Value)'!$A$7:$O$306,9,0)</f>
        <v>1549</v>
      </c>
      <c r="N81" s="103">
        <f>VLOOKUP($A81,'OI(Value)'!$A$7:$O$306,11,0)</f>
        <v>2102</v>
      </c>
      <c r="O81" s="103">
        <f>VLOOKUP($A81,'OI(Value)'!$A$7:$O$306,12,0)</f>
        <v>625</v>
      </c>
      <c r="P81" s="179">
        <f>VLOOKUP(A81,'OI(Value)'!A81:O282,8,0)</f>
        <v>4203</v>
      </c>
      <c r="Q81" s="179">
        <f>VLOOKUP(A81,'OI(Value)'!A81:O282,9,0)</f>
        <v>1549</v>
      </c>
      <c r="R81" s="179">
        <f>VLOOKUP(A81,'OI(Value)'!A81:O282,11,0)</f>
        <v>2102</v>
      </c>
      <c r="S81" s="179">
        <f>VLOOKUP(A81,'OI(Value)'!A81:O282,11,0)</f>
        <v>2102</v>
      </c>
    </row>
    <row r="82" spans="1:19" x14ac:dyDescent="0.25">
      <c r="A82" s="105" t="str">
        <f>'Data shares'!C77</f>
        <v>HAVELLS</v>
      </c>
      <c r="B82" s="143">
        <f>VLOOKUP($A82,'Data shares'!$C:$FA,118)</f>
        <v>0.87</v>
      </c>
      <c r="C82" s="143">
        <f>VLOOKUP($A82,'Data shares'!$C:$FA,119)</f>
        <v>0.88</v>
      </c>
      <c r="D82" s="143">
        <f>VLOOKUP($A82,'Data shares'!$C:$FA,121)*100</f>
        <v>-1.1400000000000001</v>
      </c>
      <c r="E82" s="143">
        <f>VLOOKUP($A82,'Data shares'!$C:$FA,124)</f>
        <v>0.84</v>
      </c>
      <c r="F82" s="143">
        <f>VLOOKUP($A82,'Data shares'!$C:$FA,125)</f>
        <v>0.89</v>
      </c>
      <c r="G82" s="143">
        <f>VLOOKUP($A82,'Data shares'!$C:$FA,127)*100</f>
        <v>-5.62</v>
      </c>
      <c r="H82" s="103">
        <f>VLOOKUP($A82,'OI(Volume)'!$A$7:$O$427,8)</f>
        <v>2059500</v>
      </c>
      <c r="I82" s="103">
        <f>VLOOKUP($A82,'OI(Volume)'!$A$7:$O$427,9)</f>
        <v>-46500</v>
      </c>
      <c r="J82" s="103">
        <f>VLOOKUP($A82,'OI(Volume)'!$A$7:$O$427,11)</f>
        <v>1800500</v>
      </c>
      <c r="K82" s="103">
        <f>VLOOKUP($A82,'OI(Volume)'!$A$7:$O$427,12)</f>
        <v>-43500</v>
      </c>
      <c r="L82" s="103">
        <f>VLOOKUP($A82,'OI(Value)'!$A$7:$O$306,8,0)</f>
        <v>322</v>
      </c>
      <c r="M82" s="103">
        <f>VLOOKUP($A82,'OI(Value)'!$A$7:$O$306,9,0)</f>
        <v>-7</v>
      </c>
      <c r="N82" s="103">
        <f>VLOOKUP($A82,'OI(Value)'!$A$7:$O$306,11,0)</f>
        <v>282</v>
      </c>
      <c r="O82" s="103">
        <f>VLOOKUP($A82,'OI(Value)'!$A$7:$O$306,12,0)</f>
        <v>-7</v>
      </c>
      <c r="P82" s="179">
        <f>VLOOKUP(A82,'OI(Value)'!A82:O283,8,0)</f>
        <v>322</v>
      </c>
      <c r="Q82" s="179">
        <f>VLOOKUP(A82,'OI(Value)'!A82:O283,9,0)</f>
        <v>-7</v>
      </c>
      <c r="R82" s="179">
        <f>VLOOKUP(A82,'OI(Value)'!A82:O283,11,0)</f>
        <v>282</v>
      </c>
      <c r="S82" s="179">
        <f>VLOOKUP(A82,'OI(Value)'!A82:O283,11,0)</f>
        <v>282</v>
      </c>
    </row>
    <row r="83" spans="1:19" x14ac:dyDescent="0.25">
      <c r="A83" s="105" t="str">
        <f>'Data shares'!C78</f>
        <v>HCLTECH</v>
      </c>
      <c r="B83" s="143">
        <f>VLOOKUP($A83,'Data shares'!$C:$FA,118)</f>
        <v>0.64</v>
      </c>
      <c r="C83" s="143">
        <f>VLOOKUP($A83,'Data shares'!$C:$FA,119)</f>
        <v>0.64</v>
      </c>
      <c r="D83" s="143">
        <f>VLOOKUP($A83,'Data shares'!$C:$FA,121)*100</f>
        <v>0</v>
      </c>
      <c r="E83" s="143">
        <f>VLOOKUP($A83,'Data shares'!$C:$FA,124)</f>
        <v>0.35</v>
      </c>
      <c r="F83" s="143">
        <f>VLOOKUP($A83,'Data shares'!$C:$FA,125)</f>
        <v>0.48</v>
      </c>
      <c r="G83" s="143">
        <f>VLOOKUP($A83,'Data shares'!$C:$FA,127)*100</f>
        <v>-27.08</v>
      </c>
      <c r="H83" s="103">
        <f>VLOOKUP($A83,'OI(Volume)'!$A$7:$O$427,8)</f>
        <v>8741250</v>
      </c>
      <c r="I83" s="103">
        <f>VLOOKUP($A83,'OI(Volume)'!$A$7:$O$427,9)</f>
        <v>693350</v>
      </c>
      <c r="J83" s="103">
        <f>VLOOKUP($A83,'OI(Volume)'!$A$7:$O$427,11)</f>
        <v>5577950</v>
      </c>
      <c r="K83" s="103">
        <f>VLOOKUP($A83,'OI(Volume)'!$A$7:$O$427,12)</f>
        <v>402150</v>
      </c>
      <c r="L83" s="103">
        <f>VLOOKUP($A83,'OI(Value)'!$A$7:$O$306,8,0)</f>
        <v>1310</v>
      </c>
      <c r="M83" s="103">
        <f>VLOOKUP($A83,'OI(Value)'!$A$7:$O$306,9,0)</f>
        <v>104</v>
      </c>
      <c r="N83" s="103">
        <f>VLOOKUP($A83,'OI(Value)'!$A$7:$O$306,11,0)</f>
        <v>836</v>
      </c>
      <c r="O83" s="103">
        <f>VLOOKUP($A83,'OI(Value)'!$A$7:$O$306,12,0)</f>
        <v>60</v>
      </c>
      <c r="P83" s="179">
        <f>VLOOKUP(A83,'OI(Value)'!A83:O284,8,0)</f>
        <v>1310</v>
      </c>
      <c r="Q83" s="179">
        <f>VLOOKUP(A83,'OI(Value)'!A83:O284,9,0)</f>
        <v>104</v>
      </c>
      <c r="R83" s="179">
        <f>VLOOKUP(A83,'OI(Value)'!A83:O284,11,0)</f>
        <v>836</v>
      </c>
      <c r="S83" s="179">
        <f>VLOOKUP(A83,'OI(Value)'!A83:O284,11,0)</f>
        <v>836</v>
      </c>
    </row>
    <row r="84" spans="1:19" x14ac:dyDescent="0.25">
      <c r="A84" s="105" t="str">
        <f>'Data shares'!C79</f>
        <v>HDFCAMC</v>
      </c>
      <c r="B84" s="143">
        <f>VLOOKUP($A84,'Data shares'!$C:$FA,118)</f>
        <v>0.65</v>
      </c>
      <c r="C84" s="143">
        <f>VLOOKUP($A84,'Data shares'!$C:$FA,119)</f>
        <v>0.68</v>
      </c>
      <c r="D84" s="143">
        <f>VLOOKUP($A84,'Data shares'!$C:$FA,121)*100</f>
        <v>-4.41</v>
      </c>
      <c r="E84" s="143">
        <f>VLOOKUP($A84,'Data shares'!$C:$FA,124)</f>
        <v>0.46</v>
      </c>
      <c r="F84" s="143">
        <f>VLOOKUP($A84,'Data shares'!$C:$FA,125)</f>
        <v>0.59</v>
      </c>
      <c r="G84" s="143">
        <f>VLOOKUP($A84,'Data shares'!$C:$FA,127)*100</f>
        <v>-22.03</v>
      </c>
      <c r="H84" s="103">
        <f>VLOOKUP($A84,'OI(Volume)'!$A$7:$O$427,8)</f>
        <v>950700</v>
      </c>
      <c r="I84" s="103">
        <f>VLOOKUP($A84,'OI(Volume)'!$A$7:$O$427,9)</f>
        <v>17700</v>
      </c>
      <c r="J84" s="103">
        <f>VLOOKUP($A84,'OI(Volume)'!$A$7:$O$427,11)</f>
        <v>616800</v>
      </c>
      <c r="K84" s="103">
        <f>VLOOKUP($A84,'OI(Volume)'!$A$7:$O$427,12)</f>
        <v>-16200</v>
      </c>
      <c r="L84" s="103">
        <f>VLOOKUP($A84,'OI(Value)'!$A$7:$O$306,8,0)</f>
        <v>543</v>
      </c>
      <c r="M84" s="103">
        <f>VLOOKUP($A84,'OI(Value)'!$A$7:$O$306,9,0)</f>
        <v>10</v>
      </c>
      <c r="N84" s="103">
        <f>VLOOKUP($A84,'OI(Value)'!$A$7:$O$306,11,0)</f>
        <v>352</v>
      </c>
      <c r="O84" s="103">
        <f>VLOOKUP($A84,'OI(Value)'!$A$7:$O$306,12,0)</f>
        <v>-9</v>
      </c>
      <c r="P84" s="179">
        <f>VLOOKUP(A84,'OI(Value)'!A84:O285,8,0)</f>
        <v>543</v>
      </c>
      <c r="Q84" s="179">
        <f>VLOOKUP(A84,'OI(Value)'!A84:O285,9,0)</f>
        <v>10</v>
      </c>
      <c r="R84" s="179">
        <f>VLOOKUP(A84,'OI(Value)'!A84:O285,11,0)</f>
        <v>352</v>
      </c>
      <c r="S84" s="179">
        <f>VLOOKUP(A84,'OI(Value)'!A84:O285,11,0)</f>
        <v>352</v>
      </c>
    </row>
    <row r="85" spans="1:19" x14ac:dyDescent="0.25">
      <c r="A85" s="105" t="str">
        <f>'Data shares'!C80</f>
        <v>HDFCBANK</v>
      </c>
      <c r="B85" s="143">
        <f>VLOOKUP($A85,'Data shares'!$C:$FA,118)</f>
        <v>0.68</v>
      </c>
      <c r="C85" s="143">
        <f>VLOOKUP($A85,'Data shares'!$C:$FA,119)</f>
        <v>0.72</v>
      </c>
      <c r="D85" s="143">
        <f>VLOOKUP($A85,'Data shares'!$C:$FA,121)*100</f>
        <v>-5.56</v>
      </c>
      <c r="E85" s="143">
        <f>VLOOKUP($A85,'Data shares'!$C:$FA,124)</f>
        <v>0.62</v>
      </c>
      <c r="F85" s="143">
        <f>VLOOKUP($A85,'Data shares'!$C:$FA,125)</f>
        <v>0.6</v>
      </c>
      <c r="G85" s="143">
        <f>VLOOKUP($A85,'Data shares'!$C:$FA,127)*100</f>
        <v>3.3300000000000005</v>
      </c>
      <c r="H85" s="103">
        <f>VLOOKUP($A85,'OI(Volume)'!$A$7:$O$427,8)</f>
        <v>22243100</v>
      </c>
      <c r="I85" s="103">
        <f>VLOOKUP($A85,'OI(Volume)'!$A$7:$O$427,9)</f>
        <v>1519100</v>
      </c>
      <c r="J85" s="103">
        <f>VLOOKUP($A85,'OI(Volume)'!$A$7:$O$427,11)</f>
        <v>15167900</v>
      </c>
      <c r="K85" s="103">
        <f>VLOOKUP($A85,'OI(Volume)'!$A$7:$O$427,12)</f>
        <v>214500</v>
      </c>
      <c r="L85" s="103">
        <f>VLOOKUP($A85,'OI(Value)'!$A$7:$O$306,8,0)</f>
        <v>4428</v>
      </c>
      <c r="M85" s="103">
        <f>VLOOKUP($A85,'OI(Value)'!$A$7:$O$306,9,0)</f>
        <v>302</v>
      </c>
      <c r="N85" s="103">
        <f>VLOOKUP($A85,'OI(Value)'!$A$7:$O$306,11,0)</f>
        <v>3020</v>
      </c>
      <c r="O85" s="103">
        <f>VLOOKUP($A85,'OI(Value)'!$A$7:$O$306,12,0)</f>
        <v>43</v>
      </c>
      <c r="P85" s="179">
        <f>VLOOKUP(A85,'OI(Value)'!A85:O286,8,0)</f>
        <v>4428</v>
      </c>
      <c r="Q85" s="179">
        <f>VLOOKUP(A85,'OI(Value)'!A85:O286,9,0)</f>
        <v>302</v>
      </c>
      <c r="R85" s="179">
        <f>VLOOKUP(A85,'OI(Value)'!A85:O286,11,0)</f>
        <v>3020</v>
      </c>
      <c r="S85" s="179">
        <f>VLOOKUP(A85,'OI(Value)'!A85:O286,11,0)</f>
        <v>3020</v>
      </c>
    </row>
    <row r="86" spans="1:19" x14ac:dyDescent="0.25">
      <c r="A86" s="105" t="str">
        <f>'Data shares'!C81</f>
        <v>HDFCLIFE</v>
      </c>
      <c r="B86" s="143">
        <f>VLOOKUP($A86,'Data shares'!$C:$FA,118)</f>
        <v>0.92</v>
      </c>
      <c r="C86" s="143">
        <f>VLOOKUP($A86,'Data shares'!$C:$FA,119)</f>
        <v>0.95</v>
      </c>
      <c r="D86" s="143">
        <f>VLOOKUP($A86,'Data shares'!$C:$FA,121)*100</f>
        <v>-3.16</v>
      </c>
      <c r="E86" s="143">
        <f>VLOOKUP($A86,'Data shares'!$C:$FA,124)</f>
        <v>0.47</v>
      </c>
      <c r="F86" s="143">
        <f>VLOOKUP($A86,'Data shares'!$C:$FA,125)</f>
        <v>0.53</v>
      </c>
      <c r="G86" s="143">
        <f>VLOOKUP($A86,'Data shares'!$C:$FA,127)*100</f>
        <v>-11.32</v>
      </c>
      <c r="H86" s="103">
        <f>VLOOKUP($A86,'OI(Volume)'!$A$7:$O$427,8)</f>
        <v>10899900</v>
      </c>
      <c r="I86" s="103">
        <f>VLOOKUP($A86,'OI(Volume)'!$A$7:$O$427,9)</f>
        <v>453200</v>
      </c>
      <c r="J86" s="103">
        <f>VLOOKUP($A86,'OI(Volume)'!$A$7:$O$427,11)</f>
        <v>10010000</v>
      </c>
      <c r="K86" s="103">
        <f>VLOOKUP($A86,'OI(Volume)'!$A$7:$O$427,12)</f>
        <v>73700</v>
      </c>
      <c r="L86" s="103">
        <f>VLOOKUP($A86,'OI(Value)'!$A$7:$O$306,8,0)</f>
        <v>868</v>
      </c>
      <c r="M86" s="103">
        <f>VLOOKUP($A86,'OI(Value)'!$A$7:$O$306,9,0)</f>
        <v>36</v>
      </c>
      <c r="N86" s="103">
        <f>VLOOKUP($A86,'OI(Value)'!$A$7:$O$306,11,0)</f>
        <v>797</v>
      </c>
      <c r="O86" s="103">
        <f>VLOOKUP($A86,'OI(Value)'!$A$7:$O$306,12,0)</f>
        <v>6</v>
      </c>
      <c r="P86" s="179">
        <f>VLOOKUP(A86,'OI(Value)'!A86:O287,8,0)</f>
        <v>868</v>
      </c>
      <c r="Q86" s="179">
        <f>VLOOKUP(A86,'OI(Value)'!A86:O287,9,0)</f>
        <v>36</v>
      </c>
      <c r="R86" s="179">
        <f>VLOOKUP(A86,'OI(Value)'!A86:O287,11,0)</f>
        <v>797</v>
      </c>
      <c r="S86" s="179">
        <f>VLOOKUP(A86,'OI(Value)'!A86:O287,11,0)</f>
        <v>797</v>
      </c>
    </row>
    <row r="87" spans="1:19" x14ac:dyDescent="0.25">
      <c r="A87" s="105" t="str">
        <f>'Data shares'!C82</f>
        <v>HEROMOTOCO</v>
      </c>
      <c r="B87" s="143">
        <f>VLOOKUP($A87,'Data shares'!$C:$FA,118)</f>
        <v>0.94</v>
      </c>
      <c r="C87" s="143">
        <f>VLOOKUP($A87,'Data shares'!$C:$FA,119)</f>
        <v>1</v>
      </c>
      <c r="D87" s="143">
        <f>VLOOKUP($A87,'Data shares'!$C:$FA,121)*100</f>
        <v>-6</v>
      </c>
      <c r="E87" s="143">
        <f>VLOOKUP($A87,'Data shares'!$C:$FA,124)</f>
        <v>0.59</v>
      </c>
      <c r="F87" s="143">
        <f>VLOOKUP($A87,'Data shares'!$C:$FA,125)</f>
        <v>0.47</v>
      </c>
      <c r="G87" s="143">
        <f>VLOOKUP($A87,'Data shares'!$C:$FA,127)*100</f>
        <v>25.53</v>
      </c>
      <c r="H87" s="103">
        <f>VLOOKUP($A87,'OI(Volume)'!$A$7:$O$427,8)</f>
        <v>4658100</v>
      </c>
      <c r="I87" s="103">
        <f>VLOOKUP($A87,'OI(Volume)'!$A$7:$O$427,9)</f>
        <v>341700</v>
      </c>
      <c r="J87" s="103">
        <f>VLOOKUP($A87,'OI(Volume)'!$A$7:$O$427,11)</f>
        <v>4376700</v>
      </c>
      <c r="K87" s="103">
        <f>VLOOKUP($A87,'OI(Volume)'!$A$7:$O$427,12)</f>
        <v>79350</v>
      </c>
      <c r="L87" s="103">
        <f>VLOOKUP($A87,'OI(Value)'!$A$7:$O$306,8,0)</f>
        <v>2388</v>
      </c>
      <c r="M87" s="103">
        <f>VLOOKUP($A87,'OI(Value)'!$A$7:$O$306,9,0)</f>
        <v>175</v>
      </c>
      <c r="N87" s="103">
        <f>VLOOKUP($A87,'OI(Value)'!$A$7:$O$306,11,0)</f>
        <v>2244</v>
      </c>
      <c r="O87" s="103">
        <f>VLOOKUP($A87,'OI(Value)'!$A$7:$O$306,12,0)</f>
        <v>41</v>
      </c>
      <c r="P87" s="179">
        <f>VLOOKUP(A87,'OI(Value)'!A87:O288,8,0)</f>
        <v>2388</v>
      </c>
      <c r="Q87" s="179">
        <f>VLOOKUP(A87,'OI(Value)'!A87:O288,9,0)</f>
        <v>175</v>
      </c>
      <c r="R87" s="179">
        <f>VLOOKUP(A87,'OI(Value)'!A87:O288,11,0)</f>
        <v>2244</v>
      </c>
      <c r="S87" s="179">
        <f>VLOOKUP(A87,'OI(Value)'!A87:O288,11,0)</f>
        <v>2244</v>
      </c>
    </row>
    <row r="88" spans="1:19" x14ac:dyDescent="0.25">
      <c r="A88" s="105" t="str">
        <f>'Data shares'!C83</f>
        <v>HFCL</v>
      </c>
      <c r="B88" s="143">
        <f>VLOOKUP($A88,'Data shares'!$C:$FA,118)</f>
        <v>0.56999999999999995</v>
      </c>
      <c r="C88" s="143">
        <f>VLOOKUP($A88,'Data shares'!$C:$FA,119)</f>
        <v>0.54</v>
      </c>
      <c r="D88" s="143">
        <f>VLOOKUP($A88,'Data shares'!$C:$FA,121)*100</f>
        <v>5.56</v>
      </c>
      <c r="E88" s="143">
        <f>VLOOKUP($A88,'Data shares'!$C:$FA,124)</f>
        <v>0.36</v>
      </c>
      <c r="F88" s="143">
        <f>VLOOKUP($A88,'Data shares'!$C:$FA,125)</f>
        <v>0.33</v>
      </c>
      <c r="G88" s="143">
        <f>VLOOKUP($A88,'Data shares'!$C:$FA,127)*100</f>
        <v>9.09</v>
      </c>
      <c r="H88" s="103">
        <f>VLOOKUP($A88,'OI(Volume)'!$A$7:$O$427,8)</f>
        <v>31256700</v>
      </c>
      <c r="I88" s="103">
        <f>VLOOKUP($A88,'OI(Volume)'!$A$7:$O$427,9)</f>
        <v>-1025550</v>
      </c>
      <c r="J88" s="103">
        <f>VLOOKUP($A88,'OI(Volume)'!$A$7:$O$427,11)</f>
        <v>17853600</v>
      </c>
      <c r="K88" s="103">
        <f>VLOOKUP($A88,'OI(Volume)'!$A$7:$O$427,12)</f>
        <v>309600</v>
      </c>
      <c r="L88" s="103">
        <f>VLOOKUP($A88,'OI(Value)'!$A$7:$O$306,8,0)</f>
        <v>236</v>
      </c>
      <c r="M88" s="103">
        <f>VLOOKUP($A88,'OI(Value)'!$A$7:$O$306,9,0)</f>
        <v>-8</v>
      </c>
      <c r="N88" s="103">
        <f>VLOOKUP($A88,'OI(Value)'!$A$7:$O$306,11,0)</f>
        <v>135</v>
      </c>
      <c r="O88" s="103">
        <f>VLOOKUP($A88,'OI(Value)'!$A$7:$O$306,12,0)</f>
        <v>2</v>
      </c>
      <c r="P88" s="179">
        <f>VLOOKUP(A88,'OI(Value)'!A88:O289,8,0)</f>
        <v>236</v>
      </c>
      <c r="Q88" s="179">
        <f>VLOOKUP(A88,'OI(Value)'!A88:O289,9,0)</f>
        <v>-8</v>
      </c>
      <c r="R88" s="179">
        <f>VLOOKUP(A88,'OI(Value)'!A88:O289,11,0)</f>
        <v>135</v>
      </c>
      <c r="S88" s="179">
        <f>VLOOKUP(A88,'OI(Value)'!A88:O289,11,0)</f>
        <v>135</v>
      </c>
    </row>
    <row r="89" spans="1:19" x14ac:dyDescent="0.25">
      <c r="A89" s="105" t="str">
        <f>'Data shares'!C84</f>
        <v>HINDALCO</v>
      </c>
      <c r="B89" s="143">
        <f>VLOOKUP($A89,'Data shares'!$C:$FA,118)</f>
        <v>0.68</v>
      </c>
      <c r="C89" s="143">
        <f>VLOOKUP($A89,'Data shares'!$C:$FA,119)</f>
        <v>0.74</v>
      </c>
      <c r="D89" s="143">
        <f>VLOOKUP($A89,'Data shares'!$C:$FA,121)*100</f>
        <v>-8.1100000000000012</v>
      </c>
      <c r="E89" s="143">
        <f>VLOOKUP($A89,'Data shares'!$C:$FA,124)</f>
        <v>0.73</v>
      </c>
      <c r="F89" s="143">
        <f>VLOOKUP($A89,'Data shares'!$C:$FA,125)</f>
        <v>0.8</v>
      </c>
      <c r="G89" s="143">
        <f>VLOOKUP($A89,'Data shares'!$C:$FA,127)*100</f>
        <v>-8.75</v>
      </c>
      <c r="H89" s="103">
        <f>VLOOKUP($A89,'OI(Volume)'!$A$7:$O$427,8)</f>
        <v>18131400</v>
      </c>
      <c r="I89" s="103">
        <f>VLOOKUP($A89,'OI(Volume)'!$A$7:$O$427,9)</f>
        <v>222600</v>
      </c>
      <c r="J89" s="103">
        <f>VLOOKUP($A89,'OI(Volume)'!$A$7:$O$427,11)</f>
        <v>12325600</v>
      </c>
      <c r="K89" s="103">
        <f>VLOOKUP($A89,'OI(Volume)'!$A$7:$O$427,12)</f>
        <v>-865200</v>
      </c>
      <c r="L89" s="103">
        <f>VLOOKUP($A89,'OI(Value)'!$A$7:$O$306,8,0)</f>
        <v>1273</v>
      </c>
      <c r="M89" s="103">
        <f>VLOOKUP($A89,'OI(Value)'!$A$7:$O$306,9,0)</f>
        <v>16</v>
      </c>
      <c r="N89" s="103">
        <f>VLOOKUP($A89,'OI(Value)'!$A$7:$O$306,11,0)</f>
        <v>865</v>
      </c>
      <c r="O89" s="103">
        <f>VLOOKUP($A89,'OI(Value)'!$A$7:$O$306,12,0)</f>
        <v>-61</v>
      </c>
      <c r="P89" s="179">
        <f>VLOOKUP(A89,'OI(Value)'!A89:O290,8,0)</f>
        <v>1273</v>
      </c>
      <c r="Q89" s="179">
        <f>VLOOKUP(A89,'OI(Value)'!A89:O290,9,0)</f>
        <v>16</v>
      </c>
      <c r="R89" s="179">
        <f>VLOOKUP(A89,'OI(Value)'!A89:O290,11,0)</f>
        <v>865</v>
      </c>
      <c r="S89" s="179">
        <f>VLOOKUP(A89,'OI(Value)'!A89:O290,11,0)</f>
        <v>865</v>
      </c>
    </row>
    <row r="90" spans="1:19" x14ac:dyDescent="0.25">
      <c r="A90" s="105" t="str">
        <f>'Data shares'!C85</f>
        <v>HINDPETRO</v>
      </c>
      <c r="B90" s="143">
        <f>VLOOKUP($A90,'Data shares'!$C:$FA,118)</f>
        <v>0.56000000000000005</v>
      </c>
      <c r="C90" s="143">
        <f>VLOOKUP($A90,'Data shares'!$C:$FA,119)</f>
        <v>0.54</v>
      </c>
      <c r="D90" s="143">
        <f>VLOOKUP($A90,'Data shares'!$C:$FA,121)*100</f>
        <v>3.6999999999999997</v>
      </c>
      <c r="E90" s="143">
        <f>VLOOKUP($A90,'Data shares'!$C:$FA,124)</f>
        <v>0.43</v>
      </c>
      <c r="F90" s="143">
        <f>VLOOKUP($A90,'Data shares'!$C:$FA,125)</f>
        <v>0.46</v>
      </c>
      <c r="G90" s="143">
        <f>VLOOKUP($A90,'Data shares'!$C:$FA,127)*100</f>
        <v>-6.52</v>
      </c>
      <c r="H90" s="103">
        <f>VLOOKUP($A90,'OI(Volume)'!$A$7:$O$427,8)</f>
        <v>19980675</v>
      </c>
      <c r="I90" s="103">
        <f>VLOOKUP($A90,'OI(Volume)'!$A$7:$O$427,9)</f>
        <v>-1257525</v>
      </c>
      <c r="J90" s="103">
        <f>VLOOKUP($A90,'OI(Volume)'!$A$7:$O$427,11)</f>
        <v>11192175</v>
      </c>
      <c r="K90" s="103">
        <f>VLOOKUP($A90,'OI(Volume)'!$A$7:$O$427,12)</f>
        <v>-261225</v>
      </c>
      <c r="L90" s="103">
        <f>VLOOKUP($A90,'OI(Value)'!$A$7:$O$306,8,0)</f>
        <v>783</v>
      </c>
      <c r="M90" s="103">
        <f>VLOOKUP($A90,'OI(Value)'!$A$7:$O$306,9,0)</f>
        <v>-49</v>
      </c>
      <c r="N90" s="103">
        <f>VLOOKUP($A90,'OI(Value)'!$A$7:$O$306,11,0)</f>
        <v>438</v>
      </c>
      <c r="O90" s="103">
        <f>VLOOKUP($A90,'OI(Value)'!$A$7:$O$306,12,0)</f>
        <v>-10</v>
      </c>
      <c r="P90" s="179">
        <f>VLOOKUP(A90,'OI(Value)'!A90:O291,8,0)</f>
        <v>783</v>
      </c>
      <c r="Q90" s="179">
        <f>VLOOKUP(A90,'OI(Value)'!A90:O291,9,0)</f>
        <v>-49</v>
      </c>
      <c r="R90" s="179">
        <f>VLOOKUP(A90,'OI(Value)'!A90:O291,11,0)</f>
        <v>438</v>
      </c>
      <c r="S90" s="179">
        <f>VLOOKUP(A90,'OI(Value)'!A90:O291,11,0)</f>
        <v>438</v>
      </c>
    </row>
    <row r="91" spans="1:19" x14ac:dyDescent="0.25">
      <c r="A91" s="105" t="str">
        <f>'Data shares'!C86</f>
        <v>HINDUNILVR</v>
      </c>
      <c r="B91" s="143">
        <f>VLOOKUP($A91,'Data shares'!$C:$FA,118)</f>
        <v>0.69</v>
      </c>
      <c r="C91" s="143">
        <f>VLOOKUP($A91,'Data shares'!$C:$FA,119)</f>
        <v>0.52</v>
      </c>
      <c r="D91" s="143">
        <f>VLOOKUP($A91,'Data shares'!$C:$FA,121)*100</f>
        <v>32.690000000000005</v>
      </c>
      <c r="E91" s="143">
        <f>VLOOKUP($A91,'Data shares'!$C:$FA,124)</f>
        <v>0.4</v>
      </c>
      <c r="F91" s="143">
        <f>VLOOKUP($A91,'Data shares'!$C:$FA,125)</f>
        <v>0.46</v>
      </c>
      <c r="G91" s="143">
        <f>VLOOKUP($A91,'Data shares'!$C:$FA,127)*100</f>
        <v>-13.04</v>
      </c>
      <c r="H91" s="103">
        <f>VLOOKUP($A91,'OI(Volume)'!$A$7:$O$427,8)</f>
        <v>8148600</v>
      </c>
      <c r="I91" s="103">
        <f>VLOOKUP($A91,'OI(Volume)'!$A$7:$O$427,9)</f>
        <v>-119100</v>
      </c>
      <c r="J91" s="103">
        <f>VLOOKUP($A91,'OI(Volume)'!$A$7:$O$427,11)</f>
        <v>5634000</v>
      </c>
      <c r="K91" s="103">
        <f>VLOOKUP($A91,'OI(Volume)'!$A$7:$O$427,12)</f>
        <v>1293600</v>
      </c>
      <c r="L91" s="103">
        <f>VLOOKUP($A91,'OI(Value)'!$A$7:$O$306,8,0)</f>
        <v>2176</v>
      </c>
      <c r="M91" s="103">
        <f>VLOOKUP($A91,'OI(Value)'!$A$7:$O$306,9,0)</f>
        <v>-32</v>
      </c>
      <c r="N91" s="103">
        <f>VLOOKUP($A91,'OI(Value)'!$A$7:$O$306,11,0)</f>
        <v>1505</v>
      </c>
      <c r="O91" s="103">
        <f>VLOOKUP($A91,'OI(Value)'!$A$7:$O$306,12,0)</f>
        <v>345</v>
      </c>
      <c r="P91" s="179">
        <f>VLOOKUP(A91,'OI(Value)'!A91:O292,8,0)</f>
        <v>2176</v>
      </c>
      <c r="Q91" s="179">
        <f>VLOOKUP(A91,'OI(Value)'!A91:O292,9,0)</f>
        <v>-32</v>
      </c>
      <c r="R91" s="179">
        <f>VLOOKUP(A91,'OI(Value)'!A91:O292,11,0)</f>
        <v>1505</v>
      </c>
      <c r="S91" s="179">
        <f>VLOOKUP(A91,'OI(Value)'!A91:O292,11,0)</f>
        <v>1505</v>
      </c>
    </row>
    <row r="92" spans="1:19" x14ac:dyDescent="0.25">
      <c r="A92" s="105" t="str">
        <f>'Data shares'!C87</f>
        <v>HINDZINC</v>
      </c>
      <c r="B92" s="143">
        <f>VLOOKUP($A92,'Data shares'!$C:$FA,118)</f>
        <v>0.61</v>
      </c>
      <c r="C92" s="143">
        <f>VLOOKUP($A92,'Data shares'!$C:$FA,119)</f>
        <v>0.57999999999999996</v>
      </c>
      <c r="D92" s="143">
        <f>VLOOKUP($A92,'Data shares'!$C:$FA,121)*100</f>
        <v>5.17</v>
      </c>
      <c r="E92" s="143">
        <f>VLOOKUP($A92,'Data shares'!$C:$FA,124)</f>
        <v>0.57999999999999996</v>
      </c>
      <c r="F92" s="143">
        <f>VLOOKUP($A92,'Data shares'!$C:$FA,125)</f>
        <v>0.34</v>
      </c>
      <c r="G92" s="143">
        <f>VLOOKUP($A92,'Data shares'!$C:$FA,127)*100</f>
        <v>70.59</v>
      </c>
      <c r="H92" s="103">
        <f>VLOOKUP($A92,'OI(Volume)'!$A$7:$O$427,8)</f>
        <v>10018050</v>
      </c>
      <c r="I92" s="103">
        <f>VLOOKUP($A92,'OI(Volume)'!$A$7:$O$427,9)</f>
        <v>215600</v>
      </c>
      <c r="J92" s="103">
        <f>VLOOKUP($A92,'OI(Volume)'!$A$7:$O$427,11)</f>
        <v>6099275</v>
      </c>
      <c r="K92" s="103">
        <f>VLOOKUP($A92,'OI(Volume)'!$A$7:$O$427,12)</f>
        <v>443450</v>
      </c>
      <c r="L92" s="103">
        <f>VLOOKUP($A92,'OI(Value)'!$A$7:$O$306,8,0)</f>
        <v>431</v>
      </c>
      <c r="M92" s="103">
        <f>VLOOKUP($A92,'OI(Value)'!$A$7:$O$306,9,0)</f>
        <v>9</v>
      </c>
      <c r="N92" s="103">
        <f>VLOOKUP($A92,'OI(Value)'!$A$7:$O$306,11,0)</f>
        <v>263</v>
      </c>
      <c r="O92" s="103">
        <f>VLOOKUP($A92,'OI(Value)'!$A$7:$O$306,12,0)</f>
        <v>19</v>
      </c>
      <c r="P92" s="179">
        <f>VLOOKUP(A92,'OI(Value)'!A92:O293,8,0)</f>
        <v>431</v>
      </c>
      <c r="Q92" s="179">
        <f>VLOOKUP(A92,'OI(Value)'!A92:O293,9,0)</f>
        <v>9</v>
      </c>
      <c r="R92" s="179">
        <f>VLOOKUP(A92,'OI(Value)'!A92:O293,11,0)</f>
        <v>263</v>
      </c>
      <c r="S92" s="179">
        <f>VLOOKUP(A92,'OI(Value)'!A92:O293,11,0)</f>
        <v>263</v>
      </c>
    </row>
    <row r="93" spans="1:19" x14ac:dyDescent="0.25">
      <c r="A93" s="105" t="str">
        <f>'Data shares'!C88</f>
        <v>HUDCO</v>
      </c>
      <c r="B93" s="143">
        <f>VLOOKUP($A93,'Data shares'!$C:$FA,118)</f>
        <v>0.6</v>
      </c>
      <c r="C93" s="143">
        <f>VLOOKUP($A93,'Data shares'!$C:$FA,119)</f>
        <v>0.64</v>
      </c>
      <c r="D93" s="143">
        <f>VLOOKUP($A93,'Data shares'!$C:$FA,121)*100</f>
        <v>-6.25</v>
      </c>
      <c r="E93" s="143">
        <f>VLOOKUP($A93,'Data shares'!$C:$FA,124)</f>
        <v>0.41</v>
      </c>
      <c r="F93" s="143">
        <f>VLOOKUP($A93,'Data shares'!$C:$FA,125)</f>
        <v>0.48</v>
      </c>
      <c r="G93" s="143">
        <f>VLOOKUP($A93,'Data shares'!$C:$FA,127)*100</f>
        <v>-14.580000000000002</v>
      </c>
      <c r="H93" s="103">
        <f>VLOOKUP($A93,'OI(Volume)'!$A$7:$O$427,8)</f>
        <v>13861125</v>
      </c>
      <c r="I93" s="103">
        <f>VLOOKUP($A93,'OI(Volume)'!$A$7:$O$427,9)</f>
        <v>466200</v>
      </c>
      <c r="J93" s="103">
        <f>VLOOKUP($A93,'OI(Volume)'!$A$7:$O$427,11)</f>
        <v>8252850</v>
      </c>
      <c r="K93" s="103">
        <f>VLOOKUP($A93,'OI(Volume)'!$A$7:$O$427,12)</f>
        <v>-283050</v>
      </c>
      <c r="L93" s="103">
        <f>VLOOKUP($A93,'OI(Value)'!$A$7:$O$306,8,0)</f>
        <v>297</v>
      </c>
      <c r="M93" s="103">
        <f>VLOOKUP($A93,'OI(Value)'!$A$7:$O$306,9,0)</f>
        <v>10</v>
      </c>
      <c r="N93" s="103">
        <f>VLOOKUP($A93,'OI(Value)'!$A$7:$O$306,11,0)</f>
        <v>177</v>
      </c>
      <c r="O93" s="103">
        <f>VLOOKUP($A93,'OI(Value)'!$A$7:$O$306,12,0)</f>
        <v>-6</v>
      </c>
      <c r="P93" s="179">
        <f>VLOOKUP(A93,'OI(Value)'!A93:O294,8,0)</f>
        <v>297</v>
      </c>
      <c r="Q93" s="179">
        <f>VLOOKUP(A93,'OI(Value)'!A93:O294,9,0)</f>
        <v>10</v>
      </c>
      <c r="R93" s="179">
        <f>VLOOKUP(A93,'OI(Value)'!A93:O294,11,0)</f>
        <v>177</v>
      </c>
      <c r="S93" s="179">
        <f>VLOOKUP(A93,'OI(Value)'!A93:O294,11,0)</f>
        <v>177</v>
      </c>
    </row>
    <row r="94" spans="1:19" x14ac:dyDescent="0.25">
      <c r="A94" s="105" t="str">
        <f>'Data shares'!C89</f>
        <v>ICICIBANK</v>
      </c>
      <c r="B94" s="143">
        <f>VLOOKUP($A94,'Data shares'!$C:$FA,118)</f>
        <v>0.57999999999999996</v>
      </c>
      <c r="C94" s="143">
        <f>VLOOKUP($A94,'Data shares'!$C:$FA,119)</f>
        <v>0.61</v>
      </c>
      <c r="D94" s="143">
        <f>VLOOKUP($A94,'Data shares'!$C:$FA,121)*100</f>
        <v>-4.92</v>
      </c>
      <c r="E94" s="143">
        <f>VLOOKUP($A94,'Data shares'!$C:$FA,124)</f>
        <v>0.54</v>
      </c>
      <c r="F94" s="143">
        <f>VLOOKUP($A94,'Data shares'!$C:$FA,125)</f>
        <v>0.51</v>
      </c>
      <c r="G94" s="143">
        <f>VLOOKUP($A94,'Data shares'!$C:$FA,127)*100</f>
        <v>5.88</v>
      </c>
      <c r="H94" s="103">
        <f>VLOOKUP($A94,'OI(Volume)'!$A$7:$O$427,8)</f>
        <v>24348100</v>
      </c>
      <c r="I94" s="103">
        <f>VLOOKUP($A94,'OI(Volume)'!$A$7:$O$427,9)</f>
        <v>1451100</v>
      </c>
      <c r="J94" s="103">
        <f>VLOOKUP($A94,'OI(Volume)'!$A$7:$O$427,11)</f>
        <v>14119700</v>
      </c>
      <c r="K94" s="103">
        <f>VLOOKUP($A94,'OI(Volume)'!$A$7:$O$427,12)</f>
        <v>63700</v>
      </c>
      <c r="L94" s="103">
        <f>VLOOKUP($A94,'OI(Value)'!$A$7:$O$306,8,0)</f>
        <v>3484</v>
      </c>
      <c r="M94" s="103">
        <f>VLOOKUP($A94,'OI(Value)'!$A$7:$O$306,9,0)</f>
        <v>208</v>
      </c>
      <c r="N94" s="103">
        <f>VLOOKUP($A94,'OI(Value)'!$A$7:$O$306,11,0)</f>
        <v>2021</v>
      </c>
      <c r="O94" s="103">
        <f>VLOOKUP($A94,'OI(Value)'!$A$7:$O$306,12,0)</f>
        <v>9</v>
      </c>
      <c r="P94" s="179">
        <f>VLOOKUP(A94,'OI(Value)'!A94:O295,8,0)</f>
        <v>3484</v>
      </c>
      <c r="Q94" s="179">
        <f>VLOOKUP(A94,'OI(Value)'!A94:O295,9,0)</f>
        <v>208</v>
      </c>
      <c r="R94" s="179">
        <f>VLOOKUP(A94,'OI(Value)'!A94:O295,11,0)</f>
        <v>2021</v>
      </c>
      <c r="S94" s="179">
        <f>VLOOKUP(A94,'OI(Value)'!A94:O295,11,0)</f>
        <v>2021</v>
      </c>
    </row>
    <row r="95" spans="1:19" x14ac:dyDescent="0.25">
      <c r="A95" s="105" t="str">
        <f>'Data shares'!C90</f>
        <v>ICICIGI</v>
      </c>
      <c r="B95" s="143">
        <f>VLOOKUP($A95,'Data shares'!$C:$FA,118)</f>
        <v>0.78</v>
      </c>
      <c r="C95" s="143">
        <f>VLOOKUP($A95,'Data shares'!$C:$FA,119)</f>
        <v>0.88</v>
      </c>
      <c r="D95" s="143">
        <f>VLOOKUP($A95,'Data shares'!$C:$FA,121)*100</f>
        <v>-11.360000000000001</v>
      </c>
      <c r="E95" s="143">
        <f>VLOOKUP($A95,'Data shares'!$C:$FA,124)</f>
        <v>0.31</v>
      </c>
      <c r="F95" s="143">
        <f>VLOOKUP($A95,'Data shares'!$C:$FA,125)</f>
        <v>0.62</v>
      </c>
      <c r="G95" s="143">
        <f>VLOOKUP($A95,'Data shares'!$C:$FA,127)*100</f>
        <v>-50</v>
      </c>
      <c r="H95" s="103">
        <f>VLOOKUP($A95,'OI(Volume)'!$A$7:$O$427,8)</f>
        <v>710775</v>
      </c>
      <c r="I95" s="103">
        <f>VLOOKUP($A95,'OI(Volume)'!$A$7:$O$427,9)</f>
        <v>78325</v>
      </c>
      <c r="J95" s="103">
        <f>VLOOKUP($A95,'OI(Volume)'!$A$7:$O$427,11)</f>
        <v>555425</v>
      </c>
      <c r="K95" s="103">
        <f>VLOOKUP($A95,'OI(Volume)'!$A$7:$O$427,12)</f>
        <v>-3250</v>
      </c>
      <c r="L95" s="103">
        <f>VLOOKUP($A95,'OI(Value)'!$A$7:$O$306,8,0)</f>
        <v>140</v>
      </c>
      <c r="M95" s="103">
        <f>VLOOKUP($A95,'OI(Value)'!$A$7:$O$306,9,0)</f>
        <v>15</v>
      </c>
      <c r="N95" s="103">
        <f>VLOOKUP($A95,'OI(Value)'!$A$7:$O$306,11,0)</f>
        <v>110</v>
      </c>
      <c r="O95" s="103">
        <f>VLOOKUP($A95,'OI(Value)'!$A$7:$O$306,12,0)</f>
        <v>-1</v>
      </c>
      <c r="P95" s="179">
        <f>VLOOKUP(A95,'OI(Value)'!A95:O296,8,0)</f>
        <v>140</v>
      </c>
      <c r="Q95" s="179">
        <f>VLOOKUP(A95,'OI(Value)'!A95:O296,9,0)</f>
        <v>15</v>
      </c>
      <c r="R95" s="179">
        <f>VLOOKUP(A95,'OI(Value)'!A95:O296,11,0)</f>
        <v>110</v>
      </c>
      <c r="S95" s="179">
        <f>VLOOKUP(A95,'OI(Value)'!A95:O296,11,0)</f>
        <v>110</v>
      </c>
    </row>
    <row r="96" spans="1:19" x14ac:dyDescent="0.25">
      <c r="A96" s="105" t="str">
        <f>'Data shares'!C91</f>
        <v>ICICIPRULI</v>
      </c>
      <c r="B96" s="143">
        <f>VLOOKUP($A96,'Data shares'!$C:$FA,118)</f>
        <v>0.72</v>
      </c>
      <c r="C96" s="143">
        <f>VLOOKUP($A96,'Data shares'!$C:$FA,119)</f>
        <v>0.68</v>
      </c>
      <c r="D96" s="143">
        <f>VLOOKUP($A96,'Data shares'!$C:$FA,121)*100</f>
        <v>5.88</v>
      </c>
      <c r="E96" s="143">
        <f>VLOOKUP($A96,'Data shares'!$C:$FA,124)</f>
        <v>0.28999999999999998</v>
      </c>
      <c r="F96" s="143">
        <f>VLOOKUP($A96,'Data shares'!$C:$FA,125)</f>
        <v>0.34</v>
      </c>
      <c r="G96" s="143">
        <f>VLOOKUP($A96,'Data shares'!$C:$FA,127)*100</f>
        <v>-14.71</v>
      </c>
      <c r="H96" s="103">
        <f>VLOOKUP($A96,'OI(Volume)'!$A$7:$O$427,8)</f>
        <v>2861950</v>
      </c>
      <c r="I96" s="103">
        <f>VLOOKUP($A96,'OI(Volume)'!$A$7:$O$427,9)</f>
        <v>-12950</v>
      </c>
      <c r="J96" s="103">
        <f>VLOOKUP($A96,'OI(Volume)'!$A$7:$O$427,11)</f>
        <v>2055350</v>
      </c>
      <c r="K96" s="103">
        <f>VLOOKUP($A96,'OI(Volume)'!$A$7:$O$427,12)</f>
        <v>95275</v>
      </c>
      <c r="L96" s="103">
        <f>VLOOKUP($A96,'OI(Value)'!$A$7:$O$306,8,0)</f>
        <v>181</v>
      </c>
      <c r="M96" s="103">
        <f>VLOOKUP($A96,'OI(Value)'!$A$7:$O$306,9,0)</f>
        <v>-1</v>
      </c>
      <c r="N96" s="103">
        <f>VLOOKUP($A96,'OI(Value)'!$A$7:$O$306,11,0)</f>
        <v>130</v>
      </c>
      <c r="O96" s="103">
        <f>VLOOKUP($A96,'OI(Value)'!$A$7:$O$306,12,0)</f>
        <v>6</v>
      </c>
      <c r="P96" s="179">
        <f>VLOOKUP(A96,'OI(Value)'!A96:O297,8,0)</f>
        <v>181</v>
      </c>
      <c r="Q96" s="179">
        <f>VLOOKUP(A96,'OI(Value)'!A96:O297,9,0)</f>
        <v>-1</v>
      </c>
      <c r="R96" s="179">
        <f>VLOOKUP(A96,'OI(Value)'!A96:O297,11,0)</f>
        <v>130</v>
      </c>
      <c r="S96" s="179">
        <f>VLOOKUP(A96,'OI(Value)'!A96:O297,11,0)</f>
        <v>130</v>
      </c>
    </row>
    <row r="97" spans="1:19" x14ac:dyDescent="0.25">
      <c r="A97" s="105" t="str">
        <f>'Data shares'!C92</f>
        <v>IDEA</v>
      </c>
      <c r="B97" s="143">
        <f>VLOOKUP($A97,'Data shares'!$C:$FA,118)</f>
        <v>0.5</v>
      </c>
      <c r="C97" s="143">
        <f>VLOOKUP($A97,'Data shares'!$C:$FA,119)</f>
        <v>0.5</v>
      </c>
      <c r="D97" s="143">
        <f>VLOOKUP($A97,'Data shares'!$C:$FA,121)*100</f>
        <v>0</v>
      </c>
      <c r="E97" s="143">
        <f>VLOOKUP($A97,'Data shares'!$C:$FA,124)</f>
        <v>0.28000000000000003</v>
      </c>
      <c r="F97" s="143">
        <f>VLOOKUP($A97,'Data shares'!$C:$FA,125)</f>
        <v>0.26</v>
      </c>
      <c r="G97" s="143">
        <f>VLOOKUP($A97,'Data shares'!$C:$FA,127)*100</f>
        <v>7.6899999999999995</v>
      </c>
      <c r="H97" s="103">
        <f>VLOOKUP($A97,'OI(Volume)'!$A$7:$O$427,8)</f>
        <v>1406413575</v>
      </c>
      <c r="I97" s="103">
        <f>VLOOKUP($A97,'OI(Volume)'!$A$7:$O$427,9)</f>
        <v>-6933075</v>
      </c>
      <c r="J97" s="103">
        <f>VLOOKUP($A97,'OI(Volume)'!$A$7:$O$427,11)</f>
        <v>707459550</v>
      </c>
      <c r="K97" s="103">
        <f>VLOOKUP($A97,'OI(Volume)'!$A$7:$O$427,12)</f>
        <v>643275</v>
      </c>
      <c r="L97" s="103">
        <f>VLOOKUP($A97,'OI(Value)'!$A$7:$O$306,8,0)</f>
        <v>955</v>
      </c>
      <c r="M97" s="103">
        <f>VLOOKUP($A97,'OI(Value)'!$A$7:$O$306,9,0)</f>
        <v>-5</v>
      </c>
      <c r="N97" s="103">
        <f>VLOOKUP($A97,'OI(Value)'!$A$7:$O$306,11,0)</f>
        <v>480</v>
      </c>
      <c r="O97" s="103">
        <f>VLOOKUP($A97,'OI(Value)'!$A$7:$O$306,12,0)</f>
        <v>0</v>
      </c>
      <c r="P97" s="179">
        <f>VLOOKUP(A97,'OI(Value)'!A97:O298,8,0)</f>
        <v>955</v>
      </c>
      <c r="Q97" s="179">
        <f>VLOOKUP(A97,'OI(Value)'!A97:O298,9,0)</f>
        <v>-5</v>
      </c>
      <c r="R97" s="179">
        <f>VLOOKUP(A97,'OI(Value)'!A97:O298,11,0)</f>
        <v>480</v>
      </c>
      <c r="S97" s="179">
        <f>VLOOKUP(A97,'OI(Value)'!A97:O298,11,0)</f>
        <v>480</v>
      </c>
    </row>
    <row r="98" spans="1:19" x14ac:dyDescent="0.25">
      <c r="A98" s="105" t="str">
        <f>'Data shares'!C93</f>
        <v>IDFCFIRSTB</v>
      </c>
      <c r="B98" s="143">
        <f>VLOOKUP($A98,'Data shares'!$C:$FA,118)</f>
        <v>0.78</v>
      </c>
      <c r="C98" s="143">
        <f>VLOOKUP($A98,'Data shares'!$C:$FA,119)</f>
        <v>0.82</v>
      </c>
      <c r="D98" s="143">
        <f>VLOOKUP($A98,'Data shares'!$C:$FA,121)*100</f>
        <v>-4.88</v>
      </c>
      <c r="E98" s="143">
        <f>VLOOKUP($A98,'Data shares'!$C:$FA,124)</f>
        <v>0.66</v>
      </c>
      <c r="F98" s="143">
        <f>VLOOKUP($A98,'Data shares'!$C:$FA,125)</f>
        <v>0.7</v>
      </c>
      <c r="G98" s="143">
        <f>VLOOKUP($A98,'Data shares'!$C:$FA,127)*100</f>
        <v>-5.71</v>
      </c>
      <c r="H98" s="103">
        <f>VLOOKUP($A98,'OI(Volume)'!$A$7:$O$427,8)</f>
        <v>96506375</v>
      </c>
      <c r="I98" s="103">
        <f>VLOOKUP($A98,'OI(Volume)'!$A$7:$O$427,9)</f>
        <v>2151800</v>
      </c>
      <c r="J98" s="103">
        <f>VLOOKUP($A98,'OI(Volume)'!$A$7:$O$427,11)</f>
        <v>75034750</v>
      </c>
      <c r="K98" s="103">
        <f>VLOOKUP($A98,'OI(Volume)'!$A$7:$O$427,12)</f>
        <v>-1864275</v>
      </c>
      <c r="L98" s="103">
        <f>VLOOKUP($A98,'OI(Value)'!$A$7:$O$306,8,0)</f>
        <v>688</v>
      </c>
      <c r="M98" s="103">
        <f>VLOOKUP($A98,'OI(Value)'!$A$7:$O$306,9,0)</f>
        <v>15</v>
      </c>
      <c r="N98" s="103">
        <f>VLOOKUP($A98,'OI(Value)'!$A$7:$O$306,11,0)</f>
        <v>535</v>
      </c>
      <c r="O98" s="103">
        <f>VLOOKUP($A98,'OI(Value)'!$A$7:$O$306,12,0)</f>
        <v>-13</v>
      </c>
      <c r="P98" s="179">
        <f>VLOOKUP(A98,'OI(Value)'!A98:O299,8,0)</f>
        <v>688</v>
      </c>
      <c r="Q98" s="179">
        <f>VLOOKUP(A98,'OI(Value)'!A98:O299,9,0)</f>
        <v>15</v>
      </c>
      <c r="R98" s="179">
        <f>VLOOKUP(A98,'OI(Value)'!A98:O299,11,0)</f>
        <v>535</v>
      </c>
      <c r="S98" s="179">
        <f>VLOOKUP(A98,'OI(Value)'!A98:O299,11,0)</f>
        <v>535</v>
      </c>
    </row>
    <row r="99" spans="1:19" x14ac:dyDescent="0.25">
      <c r="A99" s="105" t="str">
        <f>'Data shares'!C94</f>
        <v>IEX</v>
      </c>
      <c r="B99" s="143">
        <f>VLOOKUP($A99,'Data shares'!$C:$FA,118)</f>
        <v>0.75</v>
      </c>
      <c r="C99" s="143">
        <f>VLOOKUP($A99,'Data shares'!$C:$FA,119)</f>
        <v>0.72</v>
      </c>
      <c r="D99" s="143">
        <f>VLOOKUP($A99,'Data shares'!$C:$FA,121)*100</f>
        <v>4.17</v>
      </c>
      <c r="E99" s="143">
        <f>VLOOKUP($A99,'Data shares'!$C:$FA,124)</f>
        <v>0.65</v>
      </c>
      <c r="F99" s="143">
        <f>VLOOKUP($A99,'Data shares'!$C:$FA,125)</f>
        <v>0.71</v>
      </c>
      <c r="G99" s="143">
        <f>VLOOKUP($A99,'Data shares'!$C:$FA,127)*100</f>
        <v>-8.4500000000000011</v>
      </c>
      <c r="H99" s="103">
        <f>VLOOKUP($A99,'OI(Volume)'!$A$7:$O$427,8)</f>
        <v>43196250</v>
      </c>
      <c r="I99" s="103">
        <f>VLOOKUP($A99,'OI(Volume)'!$A$7:$O$427,9)</f>
        <v>-1492500</v>
      </c>
      <c r="J99" s="103">
        <f>VLOOKUP($A99,'OI(Volume)'!$A$7:$O$427,11)</f>
        <v>32272500</v>
      </c>
      <c r="K99" s="103">
        <f>VLOOKUP($A99,'OI(Volume)'!$A$7:$O$427,12)</f>
        <v>131250</v>
      </c>
      <c r="L99" s="103">
        <f>VLOOKUP($A99,'OI(Value)'!$A$7:$O$306,8,0)</f>
        <v>620</v>
      </c>
      <c r="M99" s="103">
        <f>VLOOKUP($A99,'OI(Value)'!$A$7:$O$306,9,0)</f>
        <v>-21</v>
      </c>
      <c r="N99" s="103">
        <f>VLOOKUP($A99,'OI(Value)'!$A$7:$O$306,11,0)</f>
        <v>464</v>
      </c>
      <c r="O99" s="103">
        <f>VLOOKUP($A99,'OI(Value)'!$A$7:$O$306,12,0)</f>
        <v>2</v>
      </c>
      <c r="P99" s="179">
        <f>VLOOKUP(A99,'OI(Value)'!A99:O300,8,0)</f>
        <v>620</v>
      </c>
      <c r="Q99" s="179">
        <f>VLOOKUP(A99,'OI(Value)'!A99:O300,9,0)</f>
        <v>-21</v>
      </c>
      <c r="R99" s="179">
        <f>VLOOKUP(A99,'OI(Value)'!A99:O300,11,0)</f>
        <v>464</v>
      </c>
      <c r="S99" s="179">
        <f>VLOOKUP(A99,'OI(Value)'!A99:O300,11,0)</f>
        <v>464</v>
      </c>
    </row>
    <row r="100" spans="1:19" x14ac:dyDescent="0.25">
      <c r="A100" s="105" t="str">
        <f>'Data shares'!C95</f>
        <v>IGL</v>
      </c>
      <c r="B100" s="143">
        <f>VLOOKUP($A100,'Data shares'!$C:$FA,118)</f>
        <v>0.65</v>
      </c>
      <c r="C100" s="143">
        <f>VLOOKUP($A100,'Data shares'!$C:$FA,119)</f>
        <v>0.67</v>
      </c>
      <c r="D100" s="143">
        <f>VLOOKUP($A100,'Data shares'!$C:$FA,121)*100</f>
        <v>-2.9899999999999998</v>
      </c>
      <c r="E100" s="143">
        <f>VLOOKUP($A100,'Data shares'!$C:$FA,124)</f>
        <v>0.27</v>
      </c>
      <c r="F100" s="143">
        <f>VLOOKUP($A100,'Data shares'!$C:$FA,125)</f>
        <v>0.32</v>
      </c>
      <c r="G100" s="143">
        <f>VLOOKUP($A100,'Data shares'!$C:$FA,127)*100</f>
        <v>-15.620000000000001</v>
      </c>
      <c r="H100" s="103">
        <f>VLOOKUP($A100,'OI(Volume)'!$A$7:$O$427,8)</f>
        <v>8607500</v>
      </c>
      <c r="I100" s="103">
        <f>VLOOKUP($A100,'OI(Volume)'!$A$7:$O$427,9)</f>
        <v>382250</v>
      </c>
      <c r="J100" s="103">
        <f>VLOOKUP($A100,'OI(Volume)'!$A$7:$O$427,11)</f>
        <v>5621000</v>
      </c>
      <c r="K100" s="103">
        <f>VLOOKUP($A100,'OI(Volume)'!$A$7:$O$427,12)</f>
        <v>96250</v>
      </c>
      <c r="L100" s="103">
        <f>VLOOKUP($A100,'OI(Value)'!$A$7:$O$306,8,0)</f>
        <v>177</v>
      </c>
      <c r="M100" s="103">
        <f>VLOOKUP($A100,'OI(Value)'!$A$7:$O$306,9,0)</f>
        <v>8</v>
      </c>
      <c r="N100" s="103">
        <f>VLOOKUP($A100,'OI(Value)'!$A$7:$O$306,11,0)</f>
        <v>116</v>
      </c>
      <c r="O100" s="103">
        <f>VLOOKUP($A100,'OI(Value)'!$A$7:$O$306,12,0)</f>
        <v>2</v>
      </c>
      <c r="P100" s="179">
        <f>VLOOKUP(A100,'OI(Value)'!A100:O301,8,0)</f>
        <v>177</v>
      </c>
      <c r="Q100" s="179">
        <f>VLOOKUP(A100,'OI(Value)'!A100:O301,9,0)</f>
        <v>8</v>
      </c>
      <c r="R100" s="179">
        <f>VLOOKUP(A100,'OI(Value)'!A100:O301,11,0)</f>
        <v>116</v>
      </c>
      <c r="S100" s="179">
        <f>VLOOKUP(A100,'OI(Value)'!A100:O301,11,0)</f>
        <v>116</v>
      </c>
    </row>
    <row r="101" spans="1:19" x14ac:dyDescent="0.25">
      <c r="A101" s="105" t="str">
        <f>'Data shares'!C96</f>
        <v>IIFL</v>
      </c>
      <c r="B101" s="143">
        <f>VLOOKUP($A101,'Data shares'!$C:$FA,118)</f>
        <v>0.57999999999999996</v>
      </c>
      <c r="C101" s="143">
        <f>VLOOKUP($A101,'Data shares'!$C:$FA,119)</f>
        <v>0.56999999999999995</v>
      </c>
      <c r="D101" s="143">
        <f>VLOOKUP($A101,'Data shares'!$C:$FA,121)*100</f>
        <v>1.7500000000000002</v>
      </c>
      <c r="E101" s="143">
        <f>VLOOKUP($A101,'Data shares'!$C:$FA,124)</f>
        <v>0.49</v>
      </c>
      <c r="F101" s="143">
        <f>VLOOKUP($A101,'Data shares'!$C:$FA,125)</f>
        <v>0.3</v>
      </c>
      <c r="G101" s="143">
        <f>VLOOKUP($A101,'Data shares'!$C:$FA,127)*100</f>
        <v>63.33</v>
      </c>
      <c r="H101" s="103">
        <f>VLOOKUP($A101,'OI(Volume)'!$A$7:$O$427,8)</f>
        <v>5383950</v>
      </c>
      <c r="I101" s="103">
        <f>VLOOKUP($A101,'OI(Volume)'!$A$7:$O$427,9)</f>
        <v>-224400</v>
      </c>
      <c r="J101" s="103">
        <f>VLOOKUP($A101,'OI(Volume)'!$A$7:$O$427,11)</f>
        <v>3120150</v>
      </c>
      <c r="K101" s="103">
        <f>VLOOKUP($A101,'OI(Volume)'!$A$7:$O$427,12)</f>
        <v>-102300</v>
      </c>
      <c r="L101" s="103">
        <f>VLOOKUP($A101,'OI(Value)'!$A$7:$O$306,8,0)</f>
        <v>254</v>
      </c>
      <c r="M101" s="103">
        <f>VLOOKUP($A101,'OI(Value)'!$A$7:$O$306,9,0)</f>
        <v>-11</v>
      </c>
      <c r="N101" s="103">
        <f>VLOOKUP($A101,'OI(Value)'!$A$7:$O$306,11,0)</f>
        <v>147</v>
      </c>
      <c r="O101" s="103">
        <f>VLOOKUP($A101,'OI(Value)'!$A$7:$O$306,12,0)</f>
        <v>-5</v>
      </c>
      <c r="P101" s="179">
        <f>VLOOKUP(A101,'OI(Value)'!A101:O302,8,0)</f>
        <v>254</v>
      </c>
      <c r="Q101" s="179">
        <f>VLOOKUP(A101,'OI(Value)'!A101:O302,9,0)</f>
        <v>-11</v>
      </c>
      <c r="R101" s="179">
        <f>VLOOKUP(A101,'OI(Value)'!A101:O302,11,0)</f>
        <v>147</v>
      </c>
      <c r="S101" s="179">
        <f>VLOOKUP(A101,'OI(Value)'!A101:O302,11,0)</f>
        <v>147</v>
      </c>
    </row>
    <row r="102" spans="1:19" x14ac:dyDescent="0.25">
      <c r="A102" s="105" t="str">
        <f>'Data shares'!C97</f>
        <v>INDHOTEL</v>
      </c>
      <c r="B102" s="143">
        <f>VLOOKUP($A102,'Data shares'!$C:$FA,118)</f>
        <v>0.82</v>
      </c>
      <c r="C102" s="143">
        <f>VLOOKUP($A102,'Data shares'!$C:$FA,119)</f>
        <v>0.77</v>
      </c>
      <c r="D102" s="143">
        <f>VLOOKUP($A102,'Data shares'!$C:$FA,121)*100</f>
        <v>6.49</v>
      </c>
      <c r="E102" s="143">
        <f>VLOOKUP($A102,'Data shares'!$C:$FA,124)</f>
        <v>0.28999999999999998</v>
      </c>
      <c r="F102" s="143">
        <f>VLOOKUP($A102,'Data shares'!$C:$FA,125)</f>
        <v>0.44</v>
      </c>
      <c r="G102" s="143">
        <f>VLOOKUP($A102,'Data shares'!$C:$FA,127)*100</f>
        <v>-34.089999999999996</v>
      </c>
      <c r="H102" s="103">
        <f>VLOOKUP($A102,'OI(Volume)'!$A$7:$O$427,8)</f>
        <v>8849000</v>
      </c>
      <c r="I102" s="103">
        <f>VLOOKUP($A102,'OI(Volume)'!$A$7:$O$427,9)</f>
        <v>2785000</v>
      </c>
      <c r="J102" s="103">
        <f>VLOOKUP($A102,'OI(Volume)'!$A$7:$O$427,11)</f>
        <v>7272000</v>
      </c>
      <c r="K102" s="103">
        <f>VLOOKUP($A102,'OI(Volume)'!$A$7:$O$427,12)</f>
        <v>2633000</v>
      </c>
      <c r="L102" s="103">
        <f>VLOOKUP($A102,'OI(Value)'!$A$7:$O$306,8,0)</f>
        <v>714</v>
      </c>
      <c r="M102" s="103">
        <f>VLOOKUP($A102,'OI(Value)'!$A$7:$O$306,9,0)</f>
        <v>225</v>
      </c>
      <c r="N102" s="103">
        <f>VLOOKUP($A102,'OI(Value)'!$A$7:$O$306,11,0)</f>
        <v>587</v>
      </c>
      <c r="O102" s="103">
        <f>VLOOKUP($A102,'OI(Value)'!$A$7:$O$306,12,0)</f>
        <v>213</v>
      </c>
      <c r="P102" s="179">
        <f>VLOOKUP(A102,'OI(Value)'!A102:O303,8,0)</f>
        <v>714</v>
      </c>
      <c r="Q102" s="179">
        <f>VLOOKUP(A102,'OI(Value)'!A102:O303,9,0)</f>
        <v>225</v>
      </c>
      <c r="R102" s="179">
        <f>VLOOKUP(A102,'OI(Value)'!A102:O303,11,0)</f>
        <v>587</v>
      </c>
      <c r="S102" s="179">
        <f>VLOOKUP(A102,'OI(Value)'!A102:O303,11,0)</f>
        <v>587</v>
      </c>
    </row>
    <row r="103" spans="1:19" x14ac:dyDescent="0.25">
      <c r="A103" s="105" t="str">
        <f>'Data shares'!C98</f>
        <v>INDIANB</v>
      </c>
      <c r="B103" s="143">
        <f>VLOOKUP($A103,'Data shares'!$C:$FA,118)</f>
        <v>0.7</v>
      </c>
      <c r="C103" s="143">
        <f>VLOOKUP($A103,'Data shares'!$C:$FA,119)</f>
        <v>0.73</v>
      </c>
      <c r="D103" s="143">
        <f>VLOOKUP($A103,'Data shares'!$C:$FA,121)*100</f>
        <v>-4.1099999999999994</v>
      </c>
      <c r="E103" s="143">
        <f>VLOOKUP($A103,'Data shares'!$C:$FA,124)</f>
        <v>0.34</v>
      </c>
      <c r="F103" s="143">
        <f>VLOOKUP($A103,'Data shares'!$C:$FA,125)</f>
        <v>0.32</v>
      </c>
      <c r="G103" s="143">
        <f>VLOOKUP($A103,'Data shares'!$C:$FA,127)*100</f>
        <v>6.25</v>
      </c>
      <c r="H103" s="103">
        <f>VLOOKUP($A103,'OI(Volume)'!$A$7:$O$427,8)</f>
        <v>2847000</v>
      </c>
      <c r="I103" s="103">
        <f>VLOOKUP($A103,'OI(Volume)'!$A$7:$O$427,9)</f>
        <v>74000</v>
      </c>
      <c r="J103" s="103">
        <f>VLOOKUP($A103,'OI(Volume)'!$A$7:$O$427,11)</f>
        <v>1998000</v>
      </c>
      <c r="K103" s="103">
        <f>VLOOKUP($A103,'OI(Volume)'!$A$7:$O$427,12)</f>
        <v>-40000</v>
      </c>
      <c r="L103" s="103">
        <f>VLOOKUP($A103,'OI(Value)'!$A$7:$O$306,8,0)</f>
        <v>191</v>
      </c>
      <c r="M103" s="103">
        <f>VLOOKUP($A103,'OI(Value)'!$A$7:$O$306,9,0)</f>
        <v>5</v>
      </c>
      <c r="N103" s="103">
        <f>VLOOKUP($A103,'OI(Value)'!$A$7:$O$306,11,0)</f>
        <v>134</v>
      </c>
      <c r="O103" s="103">
        <f>VLOOKUP($A103,'OI(Value)'!$A$7:$O$306,12,0)</f>
        <v>-3</v>
      </c>
      <c r="P103" s="179">
        <f>VLOOKUP(A103,'OI(Value)'!A103:O304,8,0)</f>
        <v>191</v>
      </c>
      <c r="Q103" s="179">
        <f>VLOOKUP(A103,'OI(Value)'!A103:O304,9,0)</f>
        <v>5</v>
      </c>
      <c r="R103" s="179">
        <f>VLOOKUP(A103,'OI(Value)'!A103:O304,11,0)</f>
        <v>134</v>
      </c>
      <c r="S103" s="179">
        <f>VLOOKUP(A103,'OI(Value)'!A103:O304,11,0)</f>
        <v>134</v>
      </c>
    </row>
    <row r="104" spans="1:19" x14ac:dyDescent="0.25">
      <c r="A104" s="105" t="str">
        <f>'Data shares'!C99</f>
        <v>INDIAVIX</v>
      </c>
      <c r="B104" s="143">
        <f>VLOOKUP($A104,'Data shares'!$C:$FA,118)</f>
        <v>0</v>
      </c>
      <c r="C104" s="143">
        <f>VLOOKUP($A104,'Data shares'!$C:$FA,119)</f>
        <v>0</v>
      </c>
      <c r="D104" s="143">
        <f>VLOOKUP($A104,'Data shares'!$C:$FA,121)*100</f>
        <v>0</v>
      </c>
      <c r="E104" s="143">
        <f>VLOOKUP($A104,'Data shares'!$C:$FA,124)</f>
        <v>0</v>
      </c>
      <c r="F104" s="143">
        <f>VLOOKUP($A104,'Data shares'!$C:$FA,125)</f>
        <v>0</v>
      </c>
      <c r="G104" s="143">
        <f>VLOOKUP($A104,'Data shares'!$C:$FA,127)*100</f>
        <v>0</v>
      </c>
      <c r="H104" s="103">
        <f>VLOOKUP($A104,'OI(Volume)'!$A$7:$O$427,8)</f>
        <v>0</v>
      </c>
      <c r="I104" s="103">
        <f>VLOOKUP($A104,'OI(Volume)'!$A$7:$O$427,9)</f>
        <v>0</v>
      </c>
      <c r="J104" s="103">
        <f>VLOOKUP($A104,'OI(Volume)'!$A$7:$O$427,11)</f>
        <v>0</v>
      </c>
      <c r="K104" s="103">
        <f>VLOOKUP($A104,'OI(Volume)'!$A$7:$O$427,12)</f>
        <v>0</v>
      </c>
      <c r="L104" s="103">
        <f>VLOOKUP($A104,'OI(Value)'!$A$7:$O$306,8,0)</f>
        <v>0</v>
      </c>
      <c r="M104" s="103">
        <f>VLOOKUP($A104,'OI(Value)'!$A$7:$O$306,9,0)</f>
        <v>0</v>
      </c>
      <c r="N104" s="103">
        <f>VLOOKUP($A104,'OI(Value)'!$A$7:$O$306,11,0)</f>
        <v>0</v>
      </c>
      <c r="O104" s="103">
        <f>VLOOKUP($A104,'OI(Value)'!$A$7:$O$306,12,0)</f>
        <v>0</v>
      </c>
      <c r="P104" s="179">
        <f>VLOOKUP(A104,'OI(Value)'!A104:O305,8,0)</f>
        <v>0</v>
      </c>
      <c r="Q104" s="179">
        <f>VLOOKUP(A104,'OI(Value)'!A104:O305,9,0)</f>
        <v>0</v>
      </c>
      <c r="R104" s="179">
        <f>VLOOKUP(A104,'OI(Value)'!A104:O305,11,0)</f>
        <v>0</v>
      </c>
      <c r="S104" s="179">
        <f>VLOOKUP(A104,'OI(Value)'!A104:O305,11,0)</f>
        <v>0</v>
      </c>
    </row>
    <row r="105" spans="1:19" x14ac:dyDescent="0.25">
      <c r="A105" s="105" t="str">
        <f>'Data shares'!C100</f>
        <v>INDIGO</v>
      </c>
      <c r="B105" s="143">
        <f>VLOOKUP($A105,'Data shares'!$C:$FA,118)</f>
        <v>1.02</v>
      </c>
      <c r="C105" s="143">
        <f>VLOOKUP($A105,'Data shares'!$C:$FA,119)</f>
        <v>0.96</v>
      </c>
      <c r="D105" s="143">
        <f>VLOOKUP($A105,'Data shares'!$C:$FA,121)*100</f>
        <v>6.25</v>
      </c>
      <c r="E105" s="143">
        <f>VLOOKUP($A105,'Data shares'!$C:$FA,124)</f>
        <v>0.44</v>
      </c>
      <c r="F105" s="143">
        <f>VLOOKUP($A105,'Data shares'!$C:$FA,125)</f>
        <v>0.79</v>
      </c>
      <c r="G105" s="143">
        <f>VLOOKUP($A105,'Data shares'!$C:$FA,127)*100</f>
        <v>-44.3</v>
      </c>
      <c r="H105" s="103">
        <f>VLOOKUP($A105,'OI(Volume)'!$A$7:$O$427,8)</f>
        <v>1593450</v>
      </c>
      <c r="I105" s="103">
        <f>VLOOKUP($A105,'OI(Volume)'!$A$7:$O$427,9)</f>
        <v>67500</v>
      </c>
      <c r="J105" s="103">
        <f>VLOOKUP($A105,'OI(Volume)'!$A$7:$O$427,11)</f>
        <v>1628100</v>
      </c>
      <c r="K105" s="103">
        <f>VLOOKUP($A105,'OI(Volume)'!$A$7:$O$427,12)</f>
        <v>157500</v>
      </c>
      <c r="L105" s="103">
        <f>VLOOKUP($A105,'OI(Value)'!$A$7:$O$306,8,0)</f>
        <v>979</v>
      </c>
      <c r="M105" s="103">
        <f>VLOOKUP($A105,'OI(Value)'!$A$7:$O$306,9,0)</f>
        <v>41</v>
      </c>
      <c r="N105" s="103">
        <f>VLOOKUP($A105,'OI(Value)'!$A$7:$O$306,11,0)</f>
        <v>1000</v>
      </c>
      <c r="O105" s="103">
        <f>VLOOKUP($A105,'OI(Value)'!$A$7:$O$306,12,0)</f>
        <v>97</v>
      </c>
      <c r="P105" s="179">
        <f>VLOOKUP(A105,'OI(Value)'!A105:O306,8,0)</f>
        <v>979</v>
      </c>
      <c r="Q105" s="179">
        <f>VLOOKUP(A105,'OI(Value)'!A105:O306,9,0)</f>
        <v>41</v>
      </c>
      <c r="R105" s="179">
        <f>VLOOKUP(A105,'OI(Value)'!A105:O306,11,0)</f>
        <v>1000</v>
      </c>
      <c r="S105" s="179">
        <f>VLOOKUP(A105,'OI(Value)'!A105:O306,11,0)</f>
        <v>1000</v>
      </c>
    </row>
    <row r="106" spans="1:19" x14ac:dyDescent="0.25">
      <c r="A106" s="105" t="str">
        <f>'Data shares'!C101</f>
        <v>INDUSINDBK</v>
      </c>
      <c r="B106" s="143">
        <f>VLOOKUP($A106,'Data shares'!$C:$FA,118)</f>
        <v>0.57999999999999996</v>
      </c>
      <c r="C106" s="143">
        <f>VLOOKUP($A106,'Data shares'!$C:$FA,119)</f>
        <v>0.62</v>
      </c>
      <c r="D106" s="143">
        <f>VLOOKUP($A106,'Data shares'!$C:$FA,121)*100</f>
        <v>-6.45</v>
      </c>
      <c r="E106" s="143">
        <f>VLOOKUP($A106,'Data shares'!$C:$FA,124)</f>
        <v>0.49</v>
      </c>
      <c r="F106" s="143">
        <f>VLOOKUP($A106,'Data shares'!$C:$FA,125)</f>
        <v>0.56000000000000005</v>
      </c>
      <c r="G106" s="143">
        <f>VLOOKUP($A106,'Data shares'!$C:$FA,127)*100</f>
        <v>-12.5</v>
      </c>
      <c r="H106" s="103">
        <f>VLOOKUP($A106,'OI(Volume)'!$A$7:$O$427,8)</f>
        <v>18755100</v>
      </c>
      <c r="I106" s="103">
        <f>VLOOKUP($A106,'OI(Volume)'!$A$7:$O$427,9)</f>
        <v>907900</v>
      </c>
      <c r="J106" s="103">
        <f>VLOOKUP($A106,'OI(Volume)'!$A$7:$O$427,11)</f>
        <v>10921400</v>
      </c>
      <c r="K106" s="103">
        <f>VLOOKUP($A106,'OI(Volume)'!$A$7:$O$427,12)</f>
        <v>-187600</v>
      </c>
      <c r="L106" s="103">
        <f>VLOOKUP($A106,'OI(Value)'!$A$7:$O$306,8,0)</f>
        <v>1463</v>
      </c>
      <c r="M106" s="103">
        <f>VLOOKUP($A106,'OI(Value)'!$A$7:$O$306,9,0)</f>
        <v>71</v>
      </c>
      <c r="N106" s="103">
        <f>VLOOKUP($A106,'OI(Value)'!$A$7:$O$306,11,0)</f>
        <v>852</v>
      </c>
      <c r="O106" s="103">
        <f>VLOOKUP($A106,'OI(Value)'!$A$7:$O$306,12,0)</f>
        <v>-15</v>
      </c>
      <c r="P106" s="179">
        <f>VLOOKUP(A106,'OI(Value)'!A106:O307,8,0)</f>
        <v>1463</v>
      </c>
      <c r="Q106" s="179">
        <f>VLOOKUP(A106,'OI(Value)'!A106:O307,9,0)</f>
        <v>71</v>
      </c>
      <c r="R106" s="179">
        <f>VLOOKUP(A106,'OI(Value)'!A106:O307,11,0)</f>
        <v>852</v>
      </c>
      <c r="S106" s="179">
        <f>VLOOKUP(A106,'OI(Value)'!A106:O307,11,0)</f>
        <v>852</v>
      </c>
    </row>
    <row r="107" spans="1:19" x14ac:dyDescent="0.25">
      <c r="A107" s="105" t="str">
        <f>'Data shares'!C102</f>
        <v>INDUSTOWER</v>
      </c>
      <c r="B107" s="143">
        <f>VLOOKUP($A107,'Data shares'!$C:$FA,118)</f>
        <v>0.68</v>
      </c>
      <c r="C107" s="143">
        <f>VLOOKUP($A107,'Data shares'!$C:$FA,119)</f>
        <v>0.54</v>
      </c>
      <c r="D107" s="143">
        <f>VLOOKUP($A107,'Data shares'!$C:$FA,121)*100</f>
        <v>25.929999999999996</v>
      </c>
      <c r="E107" s="143">
        <f>VLOOKUP($A107,'Data shares'!$C:$FA,124)</f>
        <v>0.39</v>
      </c>
      <c r="F107" s="143">
        <f>VLOOKUP($A107,'Data shares'!$C:$FA,125)</f>
        <v>0.27</v>
      </c>
      <c r="G107" s="143">
        <f>VLOOKUP($A107,'Data shares'!$C:$FA,127)*100</f>
        <v>44.440000000000005</v>
      </c>
      <c r="H107" s="103">
        <f>VLOOKUP($A107,'OI(Volume)'!$A$7:$O$427,8)</f>
        <v>22540300</v>
      </c>
      <c r="I107" s="103">
        <f>VLOOKUP($A107,'OI(Volume)'!$A$7:$O$427,9)</f>
        <v>-2480300</v>
      </c>
      <c r="J107" s="103">
        <f>VLOOKUP($A107,'OI(Volume)'!$A$7:$O$427,11)</f>
        <v>15344200</v>
      </c>
      <c r="K107" s="103">
        <f>VLOOKUP($A107,'OI(Volume)'!$A$7:$O$427,12)</f>
        <v>1766300</v>
      </c>
      <c r="L107" s="103">
        <f>VLOOKUP($A107,'OI(Value)'!$A$7:$O$306,8,0)</f>
        <v>788</v>
      </c>
      <c r="M107" s="103">
        <f>VLOOKUP($A107,'OI(Value)'!$A$7:$O$306,9,0)</f>
        <v>-87</v>
      </c>
      <c r="N107" s="103">
        <f>VLOOKUP($A107,'OI(Value)'!$A$7:$O$306,11,0)</f>
        <v>536</v>
      </c>
      <c r="O107" s="103">
        <f>VLOOKUP($A107,'OI(Value)'!$A$7:$O$306,12,0)</f>
        <v>62</v>
      </c>
      <c r="P107" s="179">
        <f>VLOOKUP(A107,'OI(Value)'!A107:O308,8,0)</f>
        <v>788</v>
      </c>
      <c r="Q107" s="179">
        <f>VLOOKUP(A107,'OI(Value)'!A107:O308,9,0)</f>
        <v>-87</v>
      </c>
      <c r="R107" s="179">
        <f>VLOOKUP(A107,'OI(Value)'!A107:O308,11,0)</f>
        <v>536</v>
      </c>
      <c r="S107" s="179">
        <f>VLOOKUP(A107,'OI(Value)'!A107:O308,11,0)</f>
        <v>536</v>
      </c>
    </row>
    <row r="108" spans="1:19" x14ac:dyDescent="0.25">
      <c r="A108" s="105" t="str">
        <f>'Data shares'!C103</f>
        <v>INFY</v>
      </c>
      <c r="B108" s="143">
        <f>VLOOKUP($A108,'Data shares'!$C:$FA,118)</f>
        <v>0.68</v>
      </c>
      <c r="C108" s="143">
        <f>VLOOKUP($A108,'Data shares'!$C:$FA,119)</f>
        <v>0.55000000000000004</v>
      </c>
      <c r="D108" s="143">
        <f>VLOOKUP($A108,'Data shares'!$C:$FA,121)*100</f>
        <v>23.64</v>
      </c>
      <c r="E108" s="143">
        <f>VLOOKUP($A108,'Data shares'!$C:$FA,124)</f>
        <v>0.44</v>
      </c>
      <c r="F108" s="143">
        <f>VLOOKUP($A108,'Data shares'!$C:$FA,125)</f>
        <v>0.48</v>
      </c>
      <c r="G108" s="143">
        <f>VLOOKUP($A108,'Data shares'!$C:$FA,127)*100</f>
        <v>-8.33</v>
      </c>
      <c r="H108" s="103">
        <f>VLOOKUP($A108,'OI(Volume)'!$A$7:$O$427,8)</f>
        <v>25406400</v>
      </c>
      <c r="I108" s="103">
        <f>VLOOKUP($A108,'OI(Volume)'!$A$7:$O$427,9)</f>
        <v>-2772000</v>
      </c>
      <c r="J108" s="103">
        <f>VLOOKUP($A108,'OI(Volume)'!$A$7:$O$427,11)</f>
        <v>17354400</v>
      </c>
      <c r="K108" s="103">
        <f>VLOOKUP($A108,'OI(Volume)'!$A$7:$O$427,12)</f>
        <v>1722800</v>
      </c>
      <c r="L108" s="103">
        <f>VLOOKUP($A108,'OI(Value)'!$A$7:$O$306,8,0)</f>
        <v>3807</v>
      </c>
      <c r="M108" s="103">
        <f>VLOOKUP($A108,'OI(Value)'!$A$7:$O$306,9,0)</f>
        <v>-415</v>
      </c>
      <c r="N108" s="103">
        <f>VLOOKUP($A108,'OI(Value)'!$A$7:$O$306,11,0)</f>
        <v>2601</v>
      </c>
      <c r="O108" s="103">
        <f>VLOOKUP($A108,'OI(Value)'!$A$7:$O$306,12,0)</f>
        <v>258</v>
      </c>
      <c r="P108" s="179">
        <f>VLOOKUP(A108,'OI(Value)'!A108:O309,8,0)</f>
        <v>3807</v>
      </c>
      <c r="Q108" s="179">
        <f>VLOOKUP(A108,'OI(Value)'!A108:O309,9,0)</f>
        <v>-415</v>
      </c>
      <c r="R108" s="179">
        <f>VLOOKUP(A108,'OI(Value)'!A108:O309,11,0)</f>
        <v>2601</v>
      </c>
      <c r="S108" s="179">
        <f>VLOOKUP(A108,'OI(Value)'!A108:O309,11,0)</f>
        <v>2601</v>
      </c>
    </row>
    <row r="109" spans="1:19" x14ac:dyDescent="0.25">
      <c r="A109" s="105" t="str">
        <f>'Data shares'!C104</f>
        <v>INOXWIND</v>
      </c>
      <c r="B109" s="143">
        <f>VLOOKUP($A109,'Data shares'!$C:$FA,118)</f>
        <v>0.52</v>
      </c>
      <c r="C109" s="143">
        <f>VLOOKUP($A109,'Data shares'!$C:$FA,119)</f>
        <v>0.51</v>
      </c>
      <c r="D109" s="143">
        <f>VLOOKUP($A109,'Data shares'!$C:$FA,121)*100</f>
        <v>1.96</v>
      </c>
      <c r="E109" s="143">
        <f>VLOOKUP($A109,'Data shares'!$C:$FA,124)</f>
        <v>0.34</v>
      </c>
      <c r="F109" s="143">
        <f>VLOOKUP($A109,'Data shares'!$C:$FA,125)</f>
        <v>0.27</v>
      </c>
      <c r="G109" s="143">
        <f>VLOOKUP($A109,'Data shares'!$C:$FA,127)*100</f>
        <v>25.929999999999996</v>
      </c>
      <c r="H109" s="103">
        <f>VLOOKUP($A109,'OI(Volume)'!$A$7:$O$427,8)</f>
        <v>22939992</v>
      </c>
      <c r="I109" s="103">
        <f>VLOOKUP($A109,'OI(Volume)'!$A$7:$O$427,9)</f>
        <v>-1485488</v>
      </c>
      <c r="J109" s="103">
        <f>VLOOKUP($A109,'OI(Volume)'!$A$7:$O$427,11)</f>
        <v>11998424</v>
      </c>
      <c r="K109" s="103">
        <f>VLOOKUP($A109,'OI(Volume)'!$A$7:$O$427,12)</f>
        <v>-399184</v>
      </c>
      <c r="L109" s="103">
        <f>VLOOKUP($A109,'OI(Value)'!$A$7:$O$306,8,0)</f>
        <v>331</v>
      </c>
      <c r="M109" s="103">
        <f>VLOOKUP($A109,'OI(Value)'!$A$7:$O$306,9,0)</f>
        <v>-21</v>
      </c>
      <c r="N109" s="103">
        <f>VLOOKUP($A109,'OI(Value)'!$A$7:$O$306,11,0)</f>
        <v>173</v>
      </c>
      <c r="O109" s="103">
        <f>VLOOKUP($A109,'OI(Value)'!$A$7:$O$306,12,0)</f>
        <v>-6</v>
      </c>
      <c r="P109" s="179">
        <f>VLOOKUP(A109,'OI(Value)'!A109:O310,8,0)</f>
        <v>331</v>
      </c>
      <c r="Q109" s="179">
        <f>VLOOKUP(A109,'OI(Value)'!A109:O310,9,0)</f>
        <v>-21</v>
      </c>
      <c r="R109" s="179">
        <f>VLOOKUP(A109,'OI(Value)'!A109:O310,11,0)</f>
        <v>173</v>
      </c>
      <c r="S109" s="179">
        <f>VLOOKUP(A109,'OI(Value)'!A109:O310,11,0)</f>
        <v>173</v>
      </c>
    </row>
    <row r="110" spans="1:19" x14ac:dyDescent="0.25">
      <c r="A110" s="105" t="str">
        <f>'Data shares'!C105</f>
        <v>IOC</v>
      </c>
      <c r="B110" s="143">
        <f>VLOOKUP($A110,'Data shares'!$C:$FA,118)</f>
        <v>0.85</v>
      </c>
      <c r="C110" s="143">
        <f>VLOOKUP($A110,'Data shares'!$C:$FA,119)</f>
        <v>0.82</v>
      </c>
      <c r="D110" s="143">
        <f>VLOOKUP($A110,'Data shares'!$C:$FA,121)*100</f>
        <v>3.66</v>
      </c>
      <c r="E110" s="143">
        <f>VLOOKUP($A110,'Data shares'!$C:$FA,124)</f>
        <v>0.77</v>
      </c>
      <c r="F110" s="143">
        <f>VLOOKUP($A110,'Data shares'!$C:$FA,125)</f>
        <v>0.68</v>
      </c>
      <c r="G110" s="143">
        <f>VLOOKUP($A110,'Data shares'!$C:$FA,127)*100</f>
        <v>13.239999999999998</v>
      </c>
      <c r="H110" s="103">
        <f>VLOOKUP($A110,'OI(Volume)'!$A$7:$O$427,8)</f>
        <v>47701875</v>
      </c>
      <c r="I110" s="103">
        <f>VLOOKUP($A110,'OI(Volume)'!$A$7:$O$427,9)</f>
        <v>-1048125</v>
      </c>
      <c r="J110" s="103">
        <f>VLOOKUP($A110,'OI(Volume)'!$A$7:$O$427,11)</f>
        <v>40316250</v>
      </c>
      <c r="K110" s="103">
        <f>VLOOKUP($A110,'OI(Volume)'!$A$7:$O$427,12)</f>
        <v>117000</v>
      </c>
      <c r="L110" s="103">
        <f>VLOOKUP($A110,'OI(Value)'!$A$7:$O$306,8,0)</f>
        <v>676</v>
      </c>
      <c r="M110" s="103">
        <f>VLOOKUP($A110,'OI(Value)'!$A$7:$O$306,9,0)</f>
        <v>-15</v>
      </c>
      <c r="N110" s="103">
        <f>VLOOKUP($A110,'OI(Value)'!$A$7:$O$306,11,0)</f>
        <v>571</v>
      </c>
      <c r="O110" s="103">
        <f>VLOOKUP($A110,'OI(Value)'!$A$7:$O$306,12,0)</f>
        <v>2</v>
      </c>
      <c r="P110" s="179">
        <f>VLOOKUP(A110,'OI(Value)'!A110:O311,8,0)</f>
        <v>676</v>
      </c>
      <c r="Q110" s="179">
        <f>VLOOKUP(A110,'OI(Value)'!A110:O311,9,0)</f>
        <v>-15</v>
      </c>
      <c r="R110" s="179">
        <f>VLOOKUP(A110,'OI(Value)'!A110:O311,11,0)</f>
        <v>571</v>
      </c>
      <c r="S110" s="179">
        <f>VLOOKUP(A110,'OI(Value)'!A110:O311,11,0)</f>
        <v>571</v>
      </c>
    </row>
    <row r="111" spans="1:19" x14ac:dyDescent="0.25">
      <c r="A111" s="105" t="str">
        <f>'Data shares'!C106</f>
        <v>IRB</v>
      </c>
      <c r="B111" s="143">
        <f>VLOOKUP($A111,'Data shares'!$C:$FA,118)</f>
        <v>0.48</v>
      </c>
      <c r="C111" s="143">
        <f>VLOOKUP($A111,'Data shares'!$C:$FA,119)</f>
        <v>0.52</v>
      </c>
      <c r="D111" s="143">
        <f>VLOOKUP($A111,'Data shares'!$C:$FA,121)*100</f>
        <v>-7.6899999999999995</v>
      </c>
      <c r="E111" s="143">
        <f>VLOOKUP($A111,'Data shares'!$C:$FA,124)</f>
        <v>0.47</v>
      </c>
      <c r="F111" s="143">
        <f>VLOOKUP($A111,'Data shares'!$C:$FA,125)</f>
        <v>0.26</v>
      </c>
      <c r="G111" s="143">
        <f>VLOOKUP($A111,'Data shares'!$C:$FA,127)*100</f>
        <v>80.77</v>
      </c>
      <c r="H111" s="103">
        <f>VLOOKUP($A111,'OI(Volume)'!$A$7:$O$427,8)</f>
        <v>31207275</v>
      </c>
      <c r="I111" s="103">
        <f>VLOOKUP($A111,'OI(Volume)'!$A$7:$O$427,9)</f>
        <v>723850</v>
      </c>
      <c r="J111" s="103">
        <f>VLOOKUP($A111,'OI(Volume)'!$A$7:$O$427,11)</f>
        <v>14990700</v>
      </c>
      <c r="K111" s="103">
        <f>VLOOKUP($A111,'OI(Volume)'!$A$7:$O$427,12)</f>
        <v>-969025</v>
      </c>
      <c r="L111" s="103">
        <f>VLOOKUP($A111,'OI(Value)'!$A$7:$O$306,8,0)</f>
        <v>139</v>
      </c>
      <c r="M111" s="103">
        <f>VLOOKUP($A111,'OI(Value)'!$A$7:$O$306,9,0)</f>
        <v>3</v>
      </c>
      <c r="N111" s="103">
        <f>VLOOKUP($A111,'OI(Value)'!$A$7:$O$306,11,0)</f>
        <v>67</v>
      </c>
      <c r="O111" s="103">
        <f>VLOOKUP($A111,'OI(Value)'!$A$7:$O$306,12,0)</f>
        <v>-4</v>
      </c>
      <c r="P111" s="179">
        <f>VLOOKUP(A111,'OI(Value)'!A111:O312,8,0)</f>
        <v>139</v>
      </c>
      <c r="Q111" s="179">
        <f>VLOOKUP(A111,'OI(Value)'!A111:O312,9,0)</f>
        <v>3</v>
      </c>
      <c r="R111" s="179">
        <f>VLOOKUP(A111,'OI(Value)'!A111:O312,11,0)</f>
        <v>67</v>
      </c>
      <c r="S111" s="179">
        <f>VLOOKUP(A111,'OI(Value)'!A111:O312,11,0)</f>
        <v>67</v>
      </c>
    </row>
    <row r="112" spans="1:19" x14ac:dyDescent="0.25">
      <c r="A112" s="105" t="str">
        <f>'Data shares'!C107</f>
        <v>IRCTC</v>
      </c>
      <c r="B112" s="143">
        <f>VLOOKUP($A112,'Data shares'!$C:$FA,118)</f>
        <v>0.7</v>
      </c>
      <c r="C112" s="143">
        <f>VLOOKUP($A112,'Data shares'!$C:$FA,119)</f>
        <v>0.67</v>
      </c>
      <c r="D112" s="143">
        <f>VLOOKUP($A112,'Data shares'!$C:$FA,121)*100</f>
        <v>4.4799999999999995</v>
      </c>
      <c r="E112" s="143">
        <f>VLOOKUP($A112,'Data shares'!$C:$FA,124)</f>
        <v>0.31</v>
      </c>
      <c r="F112" s="143">
        <f>VLOOKUP($A112,'Data shares'!$C:$FA,125)</f>
        <v>0.37</v>
      </c>
      <c r="G112" s="143">
        <f>VLOOKUP($A112,'Data shares'!$C:$FA,127)*100</f>
        <v>-16.220000000000002</v>
      </c>
      <c r="H112" s="103">
        <f>VLOOKUP($A112,'OI(Volume)'!$A$7:$O$427,8)</f>
        <v>8817375</v>
      </c>
      <c r="I112" s="103">
        <f>VLOOKUP($A112,'OI(Volume)'!$A$7:$O$427,9)</f>
        <v>64750</v>
      </c>
      <c r="J112" s="103">
        <f>VLOOKUP($A112,'OI(Volume)'!$A$7:$O$427,11)</f>
        <v>6139000</v>
      </c>
      <c r="K112" s="103">
        <f>VLOOKUP($A112,'OI(Volume)'!$A$7:$O$427,12)</f>
        <v>282625</v>
      </c>
      <c r="L112" s="103">
        <f>VLOOKUP($A112,'OI(Value)'!$A$7:$O$306,8,0)</f>
        <v>645</v>
      </c>
      <c r="M112" s="103">
        <f>VLOOKUP($A112,'OI(Value)'!$A$7:$O$306,9,0)</f>
        <v>5</v>
      </c>
      <c r="N112" s="103">
        <f>VLOOKUP($A112,'OI(Value)'!$A$7:$O$306,11,0)</f>
        <v>449</v>
      </c>
      <c r="O112" s="103">
        <f>VLOOKUP($A112,'OI(Value)'!$A$7:$O$306,12,0)</f>
        <v>21</v>
      </c>
      <c r="P112" s="179">
        <f>VLOOKUP(A112,'OI(Value)'!A112:O313,8,0)</f>
        <v>645</v>
      </c>
      <c r="Q112" s="179">
        <f>VLOOKUP(A112,'OI(Value)'!A112:O313,9,0)</f>
        <v>5</v>
      </c>
      <c r="R112" s="179">
        <f>VLOOKUP(A112,'OI(Value)'!A112:O313,11,0)</f>
        <v>449</v>
      </c>
      <c r="S112" s="179">
        <f>VLOOKUP(A112,'OI(Value)'!A112:O313,11,0)</f>
        <v>449</v>
      </c>
    </row>
    <row r="113" spans="1:19" x14ac:dyDescent="0.25">
      <c r="A113" s="105" t="str">
        <f>'Data shares'!C108</f>
        <v>IREDA</v>
      </c>
      <c r="B113" s="143">
        <f>VLOOKUP($A113,'Data shares'!$C:$FA,118)</f>
        <v>0.57999999999999996</v>
      </c>
      <c r="C113" s="143">
        <f>VLOOKUP($A113,'Data shares'!$C:$FA,119)</f>
        <v>0.59</v>
      </c>
      <c r="D113" s="143">
        <f>VLOOKUP($A113,'Data shares'!$C:$FA,121)*100</f>
        <v>-1.69</v>
      </c>
      <c r="E113" s="143">
        <f>VLOOKUP($A113,'Data shares'!$C:$FA,124)</f>
        <v>0.56000000000000005</v>
      </c>
      <c r="F113" s="143">
        <f>VLOOKUP($A113,'Data shares'!$C:$FA,125)</f>
        <v>0.27</v>
      </c>
      <c r="G113" s="143">
        <f>VLOOKUP($A113,'Data shares'!$C:$FA,127)*100</f>
        <v>107.41000000000001</v>
      </c>
      <c r="H113" s="103">
        <f>VLOOKUP($A113,'OI(Volume)'!$A$7:$O$427,8)</f>
        <v>19385550</v>
      </c>
      <c r="I113" s="103">
        <f>VLOOKUP($A113,'OI(Volume)'!$A$7:$O$427,9)</f>
        <v>148350</v>
      </c>
      <c r="J113" s="103">
        <f>VLOOKUP($A113,'OI(Volume)'!$A$7:$O$427,11)</f>
        <v>11257350</v>
      </c>
      <c r="K113" s="103">
        <f>VLOOKUP($A113,'OI(Volume)'!$A$7:$O$427,12)</f>
        <v>-144900</v>
      </c>
      <c r="L113" s="103">
        <f>VLOOKUP($A113,'OI(Value)'!$A$7:$O$306,8,0)</f>
        <v>288</v>
      </c>
      <c r="M113" s="103">
        <f>VLOOKUP($A113,'OI(Value)'!$A$7:$O$306,9,0)</f>
        <v>2</v>
      </c>
      <c r="N113" s="103">
        <f>VLOOKUP($A113,'OI(Value)'!$A$7:$O$306,11,0)</f>
        <v>167</v>
      </c>
      <c r="O113" s="103">
        <f>VLOOKUP($A113,'OI(Value)'!$A$7:$O$306,12,0)</f>
        <v>-2</v>
      </c>
      <c r="P113" s="179">
        <f>VLOOKUP(A113,'OI(Value)'!A113:O314,8,0)</f>
        <v>288</v>
      </c>
      <c r="Q113" s="179">
        <f>VLOOKUP(A113,'OI(Value)'!A113:O314,9,0)</f>
        <v>2</v>
      </c>
      <c r="R113" s="179">
        <f>VLOOKUP(A113,'OI(Value)'!A113:O314,11,0)</f>
        <v>167</v>
      </c>
      <c r="S113" s="179">
        <f>VLOOKUP(A113,'OI(Value)'!A113:O314,11,0)</f>
        <v>167</v>
      </c>
    </row>
    <row r="114" spans="1:19" x14ac:dyDescent="0.25">
      <c r="A114" s="105" t="str">
        <f>'Data shares'!C109</f>
        <v>IRFC</v>
      </c>
      <c r="B114" s="143">
        <f>VLOOKUP($A114,'Data shares'!$C:$FA,118)</f>
        <v>0.43</v>
      </c>
      <c r="C114" s="143">
        <f>VLOOKUP($A114,'Data shares'!$C:$FA,119)</f>
        <v>0.43</v>
      </c>
      <c r="D114" s="143">
        <f>VLOOKUP($A114,'Data shares'!$C:$FA,121)*100</f>
        <v>0</v>
      </c>
      <c r="E114" s="143">
        <f>VLOOKUP($A114,'Data shares'!$C:$FA,124)</f>
        <v>0.42</v>
      </c>
      <c r="F114" s="143">
        <f>VLOOKUP($A114,'Data shares'!$C:$FA,125)</f>
        <v>0.32</v>
      </c>
      <c r="G114" s="143">
        <f>VLOOKUP($A114,'Data shares'!$C:$FA,127)*100</f>
        <v>31.25</v>
      </c>
      <c r="H114" s="103">
        <f>VLOOKUP($A114,'OI(Volume)'!$A$7:$O$427,8)</f>
        <v>36465000</v>
      </c>
      <c r="I114" s="103">
        <f>VLOOKUP($A114,'OI(Volume)'!$A$7:$O$427,9)</f>
        <v>680000</v>
      </c>
      <c r="J114" s="103">
        <f>VLOOKUP($A114,'OI(Volume)'!$A$7:$O$427,11)</f>
        <v>15848250</v>
      </c>
      <c r="K114" s="103">
        <f>VLOOKUP($A114,'OI(Volume)'!$A$7:$O$427,12)</f>
        <v>522750</v>
      </c>
      <c r="L114" s="103">
        <f>VLOOKUP($A114,'OI(Value)'!$A$7:$O$306,8,0)</f>
        <v>464</v>
      </c>
      <c r="M114" s="103">
        <f>VLOOKUP($A114,'OI(Value)'!$A$7:$O$306,9,0)</f>
        <v>9</v>
      </c>
      <c r="N114" s="103">
        <f>VLOOKUP($A114,'OI(Value)'!$A$7:$O$306,11,0)</f>
        <v>202</v>
      </c>
      <c r="O114" s="103">
        <f>VLOOKUP($A114,'OI(Value)'!$A$7:$O$306,12,0)</f>
        <v>7</v>
      </c>
      <c r="P114" s="179">
        <f>VLOOKUP(A114,'OI(Value)'!A114:O315,8,0)</f>
        <v>464</v>
      </c>
      <c r="Q114" s="179">
        <f>VLOOKUP(A114,'OI(Value)'!A114:O315,9,0)</f>
        <v>9</v>
      </c>
      <c r="R114" s="179">
        <f>VLOOKUP(A114,'OI(Value)'!A114:O315,11,0)</f>
        <v>202</v>
      </c>
      <c r="S114" s="179">
        <f>VLOOKUP(A114,'OI(Value)'!A114:O315,11,0)</f>
        <v>202</v>
      </c>
    </row>
    <row r="115" spans="1:19" x14ac:dyDescent="0.25">
      <c r="A115" s="105" t="str">
        <f>'Data shares'!C110</f>
        <v>ITC</v>
      </c>
      <c r="B115" s="143">
        <f>VLOOKUP($A115,'Data shares'!$C:$FA,118)</f>
        <v>0.54</v>
      </c>
      <c r="C115" s="143">
        <f>VLOOKUP($A115,'Data shares'!$C:$FA,119)</f>
        <v>0.53</v>
      </c>
      <c r="D115" s="143">
        <f>VLOOKUP($A115,'Data shares'!$C:$FA,121)*100</f>
        <v>1.8900000000000001</v>
      </c>
      <c r="E115" s="143">
        <f>VLOOKUP($A115,'Data shares'!$C:$FA,124)</f>
        <v>0.54</v>
      </c>
      <c r="F115" s="143">
        <f>VLOOKUP($A115,'Data shares'!$C:$FA,125)</f>
        <v>0.59</v>
      </c>
      <c r="G115" s="143">
        <f>VLOOKUP($A115,'Data shares'!$C:$FA,127)*100</f>
        <v>-8.4699999999999989</v>
      </c>
      <c r="H115" s="103">
        <f>VLOOKUP($A115,'OI(Volume)'!$A$7:$O$427,8)</f>
        <v>60032000</v>
      </c>
      <c r="I115" s="103">
        <f>VLOOKUP($A115,'OI(Volume)'!$A$7:$O$427,9)</f>
        <v>1587200</v>
      </c>
      <c r="J115" s="103">
        <f>VLOOKUP($A115,'OI(Volume)'!$A$7:$O$427,11)</f>
        <v>32172800</v>
      </c>
      <c r="K115" s="103">
        <f>VLOOKUP($A115,'OI(Volume)'!$A$7:$O$427,12)</f>
        <v>1440000</v>
      </c>
      <c r="L115" s="103">
        <f>VLOOKUP($A115,'OI(Value)'!$A$7:$O$306,8,0)</f>
        <v>2445</v>
      </c>
      <c r="M115" s="103">
        <f>VLOOKUP($A115,'OI(Value)'!$A$7:$O$306,9,0)</f>
        <v>65</v>
      </c>
      <c r="N115" s="103">
        <f>VLOOKUP($A115,'OI(Value)'!$A$7:$O$306,11,0)</f>
        <v>1310</v>
      </c>
      <c r="O115" s="103">
        <f>VLOOKUP($A115,'OI(Value)'!$A$7:$O$306,12,0)</f>
        <v>59</v>
      </c>
      <c r="P115" s="179">
        <f>VLOOKUP(A115,'OI(Value)'!A115:O316,8,0)</f>
        <v>2445</v>
      </c>
      <c r="Q115" s="179">
        <f>VLOOKUP(A115,'OI(Value)'!A115:O316,9,0)</f>
        <v>65</v>
      </c>
      <c r="R115" s="179">
        <f>VLOOKUP(A115,'OI(Value)'!A115:O316,11,0)</f>
        <v>1310</v>
      </c>
      <c r="S115" s="179">
        <f>VLOOKUP(A115,'OI(Value)'!A115:O316,11,0)</f>
        <v>1310</v>
      </c>
    </row>
    <row r="116" spans="1:19" x14ac:dyDescent="0.25">
      <c r="A116" s="105" t="str">
        <f>'Data shares'!C111</f>
        <v>JINDALSTEL</v>
      </c>
      <c r="B116" s="143">
        <f>VLOOKUP($A116,'Data shares'!$C:$FA,118)</f>
        <v>0.83</v>
      </c>
      <c r="C116" s="143">
        <f>VLOOKUP($A116,'Data shares'!$C:$FA,119)</f>
        <v>0.79</v>
      </c>
      <c r="D116" s="143">
        <f>VLOOKUP($A116,'Data shares'!$C:$FA,121)*100</f>
        <v>5.0599999999999996</v>
      </c>
      <c r="E116" s="143">
        <f>VLOOKUP($A116,'Data shares'!$C:$FA,124)</f>
        <v>0.43</v>
      </c>
      <c r="F116" s="143">
        <f>VLOOKUP($A116,'Data shares'!$C:$FA,125)</f>
        <v>0.46</v>
      </c>
      <c r="G116" s="143">
        <f>VLOOKUP($A116,'Data shares'!$C:$FA,127)*100</f>
        <v>-6.52</v>
      </c>
      <c r="H116" s="103">
        <f>VLOOKUP($A116,'OI(Volume)'!$A$7:$O$427,8)</f>
        <v>4409375</v>
      </c>
      <c r="I116" s="103">
        <f>VLOOKUP($A116,'OI(Volume)'!$A$7:$O$427,9)</f>
        <v>-276250</v>
      </c>
      <c r="J116" s="103">
        <f>VLOOKUP($A116,'OI(Volume)'!$A$7:$O$427,11)</f>
        <v>3651250</v>
      </c>
      <c r="K116" s="103">
        <f>VLOOKUP($A116,'OI(Volume)'!$A$7:$O$427,12)</f>
        <v>-46875</v>
      </c>
      <c r="L116" s="103">
        <f>VLOOKUP($A116,'OI(Value)'!$A$7:$O$306,8,0)</f>
        <v>447</v>
      </c>
      <c r="M116" s="103">
        <f>VLOOKUP($A116,'OI(Value)'!$A$7:$O$306,9,0)</f>
        <v>-28</v>
      </c>
      <c r="N116" s="103">
        <f>VLOOKUP($A116,'OI(Value)'!$A$7:$O$306,11,0)</f>
        <v>371</v>
      </c>
      <c r="O116" s="103">
        <f>VLOOKUP($A116,'OI(Value)'!$A$7:$O$306,12,0)</f>
        <v>-5</v>
      </c>
      <c r="P116" s="179">
        <f>VLOOKUP(A116,'OI(Value)'!A116:O317,8,0)</f>
        <v>447</v>
      </c>
      <c r="Q116" s="179">
        <f>VLOOKUP(A116,'OI(Value)'!A116:O317,9,0)</f>
        <v>-28</v>
      </c>
      <c r="R116" s="179">
        <f>VLOOKUP(A116,'OI(Value)'!A116:O317,11,0)</f>
        <v>371</v>
      </c>
      <c r="S116" s="179">
        <f>VLOOKUP(A116,'OI(Value)'!A116:O317,11,0)</f>
        <v>371</v>
      </c>
    </row>
    <row r="117" spans="1:19" x14ac:dyDescent="0.25">
      <c r="A117" s="105" t="str">
        <f>'Data shares'!C112</f>
        <v>JIOFIN</v>
      </c>
      <c r="B117" s="143">
        <f>VLOOKUP($A117,'Data shares'!$C:$FA,118)</f>
        <v>0.7</v>
      </c>
      <c r="C117" s="143">
        <f>VLOOKUP($A117,'Data shares'!$C:$FA,119)</f>
        <v>0.77</v>
      </c>
      <c r="D117" s="143">
        <f>VLOOKUP($A117,'Data shares'!$C:$FA,121)*100</f>
        <v>-9.09</v>
      </c>
      <c r="E117" s="143">
        <f>VLOOKUP($A117,'Data shares'!$C:$FA,124)</f>
        <v>0.54</v>
      </c>
      <c r="F117" s="143">
        <f>VLOOKUP($A117,'Data shares'!$C:$FA,125)</f>
        <v>0.55000000000000004</v>
      </c>
      <c r="G117" s="143">
        <f>VLOOKUP($A117,'Data shares'!$C:$FA,127)*100</f>
        <v>-1.82</v>
      </c>
      <c r="H117" s="103">
        <f>VLOOKUP($A117,'OI(Volume)'!$A$7:$O$427,8)</f>
        <v>59191800</v>
      </c>
      <c r="I117" s="103">
        <f>VLOOKUP($A117,'OI(Volume)'!$A$7:$O$427,9)</f>
        <v>3616650</v>
      </c>
      <c r="J117" s="103">
        <f>VLOOKUP($A117,'OI(Volume)'!$A$7:$O$427,11)</f>
        <v>41590300</v>
      </c>
      <c r="K117" s="103">
        <f>VLOOKUP($A117,'OI(Volume)'!$A$7:$O$427,12)</f>
        <v>-994050</v>
      </c>
      <c r="L117" s="103">
        <f>VLOOKUP($A117,'OI(Value)'!$A$7:$O$306,8,0)</f>
        <v>1948</v>
      </c>
      <c r="M117" s="103">
        <f>VLOOKUP($A117,'OI(Value)'!$A$7:$O$306,9,0)</f>
        <v>119</v>
      </c>
      <c r="N117" s="103">
        <f>VLOOKUP($A117,'OI(Value)'!$A$7:$O$306,11,0)</f>
        <v>1369</v>
      </c>
      <c r="O117" s="103">
        <f>VLOOKUP($A117,'OI(Value)'!$A$7:$O$306,12,0)</f>
        <v>-33</v>
      </c>
      <c r="P117" s="179">
        <f>VLOOKUP(A117,'OI(Value)'!A117:O318,8,0)</f>
        <v>1948</v>
      </c>
      <c r="Q117" s="179">
        <f>VLOOKUP(A117,'OI(Value)'!A117:O318,9,0)</f>
        <v>119</v>
      </c>
      <c r="R117" s="179">
        <f>VLOOKUP(A117,'OI(Value)'!A117:O318,11,0)</f>
        <v>1369</v>
      </c>
      <c r="S117" s="179">
        <f>VLOOKUP(A117,'OI(Value)'!A117:O318,11,0)</f>
        <v>1369</v>
      </c>
    </row>
    <row r="118" spans="1:19" x14ac:dyDescent="0.25">
      <c r="A118" s="105" t="str">
        <f>'Data shares'!C113</f>
        <v>JSL</v>
      </c>
      <c r="B118" s="143">
        <f>VLOOKUP($A118,'Data shares'!$C:$FA,118)</f>
        <v>0.79</v>
      </c>
      <c r="C118" s="143">
        <f>VLOOKUP($A118,'Data shares'!$C:$FA,119)</f>
        <v>0.68</v>
      </c>
      <c r="D118" s="143">
        <f>VLOOKUP($A118,'Data shares'!$C:$FA,121)*100</f>
        <v>16.18</v>
      </c>
      <c r="E118" s="143">
        <f>VLOOKUP($A118,'Data shares'!$C:$FA,124)</f>
        <v>0.55000000000000004</v>
      </c>
      <c r="F118" s="143">
        <f>VLOOKUP($A118,'Data shares'!$C:$FA,125)</f>
        <v>0.34</v>
      </c>
      <c r="G118" s="143">
        <f>VLOOKUP($A118,'Data shares'!$C:$FA,127)*100</f>
        <v>61.760000000000005</v>
      </c>
      <c r="H118" s="103">
        <f>VLOOKUP($A118,'OI(Volume)'!$A$7:$O$427,8)</f>
        <v>2065500</v>
      </c>
      <c r="I118" s="103">
        <f>VLOOKUP($A118,'OI(Volume)'!$A$7:$O$427,9)</f>
        <v>-70550</v>
      </c>
      <c r="J118" s="103">
        <f>VLOOKUP($A118,'OI(Volume)'!$A$7:$O$427,11)</f>
        <v>1623500</v>
      </c>
      <c r="K118" s="103">
        <f>VLOOKUP($A118,'OI(Volume)'!$A$7:$O$427,12)</f>
        <v>175950</v>
      </c>
      <c r="L118" s="103">
        <f>VLOOKUP($A118,'OI(Value)'!$A$7:$O$306,8,0)</f>
        <v>158</v>
      </c>
      <c r="M118" s="103">
        <f>VLOOKUP($A118,'OI(Value)'!$A$7:$O$306,9,0)</f>
        <v>-5</v>
      </c>
      <c r="N118" s="103">
        <f>VLOOKUP($A118,'OI(Value)'!$A$7:$O$306,11,0)</f>
        <v>124</v>
      </c>
      <c r="O118" s="103">
        <f>VLOOKUP($A118,'OI(Value)'!$A$7:$O$306,12,0)</f>
        <v>13</v>
      </c>
      <c r="P118" s="179">
        <f>VLOOKUP(A118,'OI(Value)'!A118:O319,8,0)</f>
        <v>158</v>
      </c>
      <c r="Q118" s="179">
        <f>VLOOKUP(A118,'OI(Value)'!A118:O319,9,0)</f>
        <v>-5</v>
      </c>
      <c r="R118" s="179">
        <f>VLOOKUP(A118,'OI(Value)'!A118:O319,11,0)</f>
        <v>124</v>
      </c>
      <c r="S118" s="179">
        <f>VLOOKUP(A118,'OI(Value)'!A118:O319,11,0)</f>
        <v>124</v>
      </c>
    </row>
    <row r="119" spans="1:19" x14ac:dyDescent="0.25">
      <c r="A119" s="105" t="str">
        <f>'Data shares'!C114</f>
        <v>JSWENERGY</v>
      </c>
      <c r="B119" s="143">
        <f>VLOOKUP($A119,'Data shares'!$C:$FA,118)</f>
        <v>0.56000000000000005</v>
      </c>
      <c r="C119" s="143">
        <f>VLOOKUP($A119,'Data shares'!$C:$FA,119)</f>
        <v>0.56000000000000005</v>
      </c>
      <c r="D119" s="143">
        <f>VLOOKUP($A119,'Data shares'!$C:$FA,121)*100</f>
        <v>0</v>
      </c>
      <c r="E119" s="143">
        <f>VLOOKUP($A119,'Data shares'!$C:$FA,124)</f>
        <v>0.39</v>
      </c>
      <c r="F119" s="143">
        <f>VLOOKUP($A119,'Data shares'!$C:$FA,125)</f>
        <v>0.28000000000000003</v>
      </c>
      <c r="G119" s="143">
        <f>VLOOKUP($A119,'Data shares'!$C:$FA,127)*100</f>
        <v>39.290000000000006</v>
      </c>
      <c r="H119" s="103">
        <f>VLOOKUP($A119,'OI(Volume)'!$A$7:$O$427,8)</f>
        <v>8397000</v>
      </c>
      <c r="I119" s="103">
        <f>VLOOKUP($A119,'OI(Volume)'!$A$7:$O$427,9)</f>
        <v>372000</v>
      </c>
      <c r="J119" s="103">
        <f>VLOOKUP($A119,'OI(Volume)'!$A$7:$O$427,11)</f>
        <v>4734000</v>
      </c>
      <c r="K119" s="103">
        <f>VLOOKUP($A119,'OI(Volume)'!$A$7:$O$427,12)</f>
        <v>203000</v>
      </c>
      <c r="L119" s="103">
        <f>VLOOKUP($A119,'OI(Value)'!$A$7:$O$306,8,0)</f>
        <v>448</v>
      </c>
      <c r="M119" s="103">
        <f>VLOOKUP($A119,'OI(Value)'!$A$7:$O$306,9,0)</f>
        <v>20</v>
      </c>
      <c r="N119" s="103">
        <f>VLOOKUP($A119,'OI(Value)'!$A$7:$O$306,11,0)</f>
        <v>253</v>
      </c>
      <c r="O119" s="103">
        <f>VLOOKUP($A119,'OI(Value)'!$A$7:$O$306,12,0)</f>
        <v>11</v>
      </c>
      <c r="P119" s="179">
        <f>VLOOKUP(A119,'OI(Value)'!A119:O320,8,0)</f>
        <v>448</v>
      </c>
      <c r="Q119" s="179">
        <f>VLOOKUP(A119,'OI(Value)'!A119:O320,9,0)</f>
        <v>20</v>
      </c>
      <c r="R119" s="179">
        <f>VLOOKUP(A119,'OI(Value)'!A119:O320,11,0)</f>
        <v>253</v>
      </c>
      <c r="S119" s="179">
        <f>VLOOKUP(A119,'OI(Value)'!A119:O320,11,0)</f>
        <v>253</v>
      </c>
    </row>
    <row r="120" spans="1:19" x14ac:dyDescent="0.25">
      <c r="A120" s="105" t="str">
        <f>'Data shares'!C115</f>
        <v>JSWSTEEL</v>
      </c>
      <c r="B120" s="143">
        <f>VLOOKUP($A120,'Data shares'!$C:$FA,118)</f>
        <v>0.77</v>
      </c>
      <c r="C120" s="143">
        <f>VLOOKUP($A120,'Data shares'!$C:$FA,119)</f>
        <v>0.67</v>
      </c>
      <c r="D120" s="143">
        <f>VLOOKUP($A120,'Data shares'!$C:$FA,121)*100</f>
        <v>14.93</v>
      </c>
      <c r="E120" s="143">
        <f>VLOOKUP($A120,'Data shares'!$C:$FA,124)</f>
        <v>0.4</v>
      </c>
      <c r="F120" s="143">
        <f>VLOOKUP($A120,'Data shares'!$C:$FA,125)</f>
        <v>0.37</v>
      </c>
      <c r="G120" s="143">
        <f>VLOOKUP($A120,'Data shares'!$C:$FA,127)*100</f>
        <v>8.1100000000000012</v>
      </c>
      <c r="H120" s="103">
        <f>VLOOKUP($A120,'OI(Volume)'!$A$7:$O$427,8)</f>
        <v>8768925</v>
      </c>
      <c r="I120" s="103">
        <f>VLOOKUP($A120,'OI(Volume)'!$A$7:$O$427,9)</f>
        <v>191025</v>
      </c>
      <c r="J120" s="103">
        <f>VLOOKUP($A120,'OI(Volume)'!$A$7:$O$427,11)</f>
        <v>6768225</v>
      </c>
      <c r="K120" s="103">
        <f>VLOOKUP($A120,'OI(Volume)'!$A$7:$O$427,12)</f>
        <v>988200</v>
      </c>
      <c r="L120" s="103">
        <f>VLOOKUP($A120,'OI(Value)'!$A$7:$O$306,8,0)</f>
        <v>952</v>
      </c>
      <c r="M120" s="103">
        <f>VLOOKUP($A120,'OI(Value)'!$A$7:$O$306,9,0)</f>
        <v>21</v>
      </c>
      <c r="N120" s="103">
        <f>VLOOKUP($A120,'OI(Value)'!$A$7:$O$306,11,0)</f>
        <v>735</v>
      </c>
      <c r="O120" s="103">
        <f>VLOOKUP($A120,'OI(Value)'!$A$7:$O$306,12,0)</f>
        <v>107</v>
      </c>
      <c r="P120" s="179">
        <f>VLOOKUP(A120,'OI(Value)'!A120:O321,8,0)</f>
        <v>952</v>
      </c>
      <c r="Q120" s="179">
        <f>VLOOKUP(A120,'OI(Value)'!A120:O321,9,0)</f>
        <v>21</v>
      </c>
      <c r="R120" s="179">
        <f>VLOOKUP(A120,'OI(Value)'!A120:O321,11,0)</f>
        <v>735</v>
      </c>
      <c r="S120" s="179">
        <f>VLOOKUP(A120,'OI(Value)'!A120:O321,11,0)</f>
        <v>735</v>
      </c>
    </row>
    <row r="121" spans="1:19" x14ac:dyDescent="0.25">
      <c r="A121" s="105" t="str">
        <f>'Data shares'!C116</f>
        <v>JUBLFOOD</v>
      </c>
      <c r="B121" s="143">
        <f>VLOOKUP($A121,'Data shares'!$C:$FA,118)</f>
        <v>0.52</v>
      </c>
      <c r="C121" s="143">
        <f>VLOOKUP($A121,'Data shares'!$C:$FA,119)</f>
        <v>0.51</v>
      </c>
      <c r="D121" s="143">
        <f>VLOOKUP($A121,'Data shares'!$C:$FA,121)*100</f>
        <v>1.96</v>
      </c>
      <c r="E121" s="143">
        <f>VLOOKUP($A121,'Data shares'!$C:$FA,124)</f>
        <v>0.36</v>
      </c>
      <c r="F121" s="143">
        <f>VLOOKUP($A121,'Data shares'!$C:$FA,125)</f>
        <v>0.41</v>
      </c>
      <c r="G121" s="143">
        <f>VLOOKUP($A121,'Data shares'!$C:$FA,127)*100</f>
        <v>-12.2</v>
      </c>
      <c r="H121" s="103">
        <f>VLOOKUP($A121,'OI(Volume)'!$A$7:$O$427,8)</f>
        <v>7905000</v>
      </c>
      <c r="I121" s="103">
        <f>VLOOKUP($A121,'OI(Volume)'!$A$7:$O$427,9)</f>
        <v>-92500</v>
      </c>
      <c r="J121" s="103">
        <f>VLOOKUP($A121,'OI(Volume)'!$A$7:$O$427,11)</f>
        <v>4135000</v>
      </c>
      <c r="K121" s="103">
        <f>VLOOKUP($A121,'OI(Volume)'!$A$7:$O$427,12)</f>
        <v>37500</v>
      </c>
      <c r="L121" s="103">
        <f>VLOOKUP($A121,'OI(Value)'!$A$7:$O$306,8,0)</f>
        <v>503</v>
      </c>
      <c r="M121" s="103">
        <f>VLOOKUP($A121,'OI(Value)'!$A$7:$O$306,9,0)</f>
        <v>-6</v>
      </c>
      <c r="N121" s="103">
        <f>VLOOKUP($A121,'OI(Value)'!$A$7:$O$306,11,0)</f>
        <v>263</v>
      </c>
      <c r="O121" s="103">
        <f>VLOOKUP($A121,'OI(Value)'!$A$7:$O$306,12,0)</f>
        <v>2</v>
      </c>
      <c r="P121" s="179">
        <f>VLOOKUP(A121,'OI(Value)'!A121:O322,8,0)</f>
        <v>503</v>
      </c>
      <c r="Q121" s="179">
        <f>VLOOKUP(A121,'OI(Value)'!A121:O322,9,0)</f>
        <v>-6</v>
      </c>
      <c r="R121" s="179">
        <f>VLOOKUP(A121,'OI(Value)'!A121:O322,11,0)</f>
        <v>263</v>
      </c>
      <c r="S121" s="179">
        <f>VLOOKUP(A121,'OI(Value)'!A121:O322,11,0)</f>
        <v>263</v>
      </c>
    </row>
    <row r="122" spans="1:19" x14ac:dyDescent="0.25">
      <c r="A122" s="105" t="str">
        <f>'Data shares'!C117</f>
        <v>KALYANKJIL</v>
      </c>
      <c r="B122" s="143">
        <f>VLOOKUP($A122,'Data shares'!$C:$FA,118)</f>
        <v>0.35</v>
      </c>
      <c r="C122" s="143">
        <f>VLOOKUP($A122,'Data shares'!$C:$FA,119)</f>
        <v>0.33</v>
      </c>
      <c r="D122" s="143">
        <f>VLOOKUP($A122,'Data shares'!$C:$FA,121)*100</f>
        <v>6.0600000000000005</v>
      </c>
      <c r="E122" s="143">
        <f>VLOOKUP($A122,'Data shares'!$C:$FA,124)</f>
        <v>0.3</v>
      </c>
      <c r="F122" s="143">
        <f>VLOOKUP($A122,'Data shares'!$C:$FA,125)</f>
        <v>0.44</v>
      </c>
      <c r="G122" s="143">
        <f>VLOOKUP($A122,'Data shares'!$C:$FA,127)*100</f>
        <v>-31.819999999999997</v>
      </c>
      <c r="H122" s="103">
        <f>VLOOKUP($A122,'OI(Volume)'!$A$7:$O$427,8)</f>
        <v>29474875</v>
      </c>
      <c r="I122" s="103">
        <f>VLOOKUP($A122,'OI(Volume)'!$A$7:$O$427,9)</f>
        <v>439450</v>
      </c>
      <c r="J122" s="103">
        <f>VLOOKUP($A122,'OI(Volume)'!$A$7:$O$427,11)</f>
        <v>10171975</v>
      </c>
      <c r="K122" s="103">
        <f>VLOOKUP($A122,'OI(Volume)'!$A$7:$O$427,12)</f>
        <v>533450</v>
      </c>
      <c r="L122" s="103">
        <f>VLOOKUP($A122,'OI(Value)'!$A$7:$O$306,8,0)</f>
        <v>1507</v>
      </c>
      <c r="M122" s="103">
        <f>VLOOKUP($A122,'OI(Value)'!$A$7:$O$306,9,0)</f>
        <v>22</v>
      </c>
      <c r="N122" s="103">
        <f>VLOOKUP($A122,'OI(Value)'!$A$7:$O$306,11,0)</f>
        <v>520</v>
      </c>
      <c r="O122" s="103">
        <f>VLOOKUP($A122,'OI(Value)'!$A$7:$O$306,12,0)</f>
        <v>27</v>
      </c>
      <c r="P122" s="179">
        <f>VLOOKUP(A122,'OI(Value)'!A122:O323,8,0)</f>
        <v>1507</v>
      </c>
      <c r="Q122" s="179">
        <f>VLOOKUP(A122,'OI(Value)'!A122:O323,9,0)</f>
        <v>22</v>
      </c>
      <c r="R122" s="179">
        <f>VLOOKUP(A122,'OI(Value)'!A122:O323,11,0)</f>
        <v>520</v>
      </c>
      <c r="S122" s="179">
        <f>VLOOKUP(A122,'OI(Value)'!A122:O323,11,0)</f>
        <v>520</v>
      </c>
    </row>
    <row r="123" spans="1:19" x14ac:dyDescent="0.25">
      <c r="A123" s="105" t="str">
        <f>'Data shares'!C118</f>
        <v>KAYNES</v>
      </c>
      <c r="B123" s="143">
        <f>VLOOKUP($A123,'Data shares'!$C:$FA,118)</f>
        <v>0.63</v>
      </c>
      <c r="C123" s="143">
        <f>VLOOKUP($A123,'Data shares'!$C:$FA,119)</f>
        <v>0.68</v>
      </c>
      <c r="D123" s="143">
        <f>VLOOKUP($A123,'Data shares'!$C:$FA,121)*100</f>
        <v>-7.35</v>
      </c>
      <c r="E123" s="143">
        <f>VLOOKUP($A123,'Data shares'!$C:$FA,124)</f>
        <v>0.45</v>
      </c>
      <c r="F123" s="143">
        <f>VLOOKUP($A123,'Data shares'!$C:$FA,125)</f>
        <v>0.44</v>
      </c>
      <c r="G123" s="143">
        <f>VLOOKUP($A123,'Data shares'!$C:$FA,127)*100</f>
        <v>2.27</v>
      </c>
      <c r="H123" s="103">
        <f>VLOOKUP($A123,'OI(Volume)'!$A$7:$O$427,8)</f>
        <v>967100</v>
      </c>
      <c r="I123" s="103">
        <f>VLOOKUP($A123,'OI(Volume)'!$A$7:$O$427,9)</f>
        <v>72700</v>
      </c>
      <c r="J123" s="103">
        <f>VLOOKUP($A123,'OI(Volume)'!$A$7:$O$427,11)</f>
        <v>610700</v>
      </c>
      <c r="K123" s="103">
        <f>VLOOKUP($A123,'OI(Volume)'!$A$7:$O$427,12)</f>
        <v>3000</v>
      </c>
      <c r="L123" s="103">
        <f>VLOOKUP($A123,'OI(Value)'!$A$7:$O$306,8,0)</f>
        <v>601</v>
      </c>
      <c r="M123" s="103">
        <f>VLOOKUP($A123,'OI(Value)'!$A$7:$O$306,9,0)</f>
        <v>45</v>
      </c>
      <c r="N123" s="103">
        <f>VLOOKUP($A123,'OI(Value)'!$A$7:$O$306,11,0)</f>
        <v>380</v>
      </c>
      <c r="O123" s="103">
        <f>VLOOKUP($A123,'OI(Value)'!$A$7:$O$306,12,0)</f>
        <v>2</v>
      </c>
      <c r="P123" s="179">
        <f>VLOOKUP(A123,'OI(Value)'!A123:O324,8,0)</f>
        <v>601</v>
      </c>
      <c r="Q123" s="179">
        <f>VLOOKUP(A123,'OI(Value)'!A123:O324,9,0)</f>
        <v>45</v>
      </c>
      <c r="R123" s="179">
        <f>VLOOKUP(A123,'OI(Value)'!A123:O324,11,0)</f>
        <v>380</v>
      </c>
      <c r="S123" s="179">
        <f>VLOOKUP(A123,'OI(Value)'!A123:O324,11,0)</f>
        <v>380</v>
      </c>
    </row>
    <row r="124" spans="1:19" x14ac:dyDescent="0.25">
      <c r="A124" s="105" t="str">
        <f>'Data shares'!C119</f>
        <v>KEI</v>
      </c>
      <c r="B124" s="143">
        <f>VLOOKUP($A124,'Data shares'!$C:$FA,118)</f>
        <v>0.72</v>
      </c>
      <c r="C124" s="143">
        <f>VLOOKUP($A124,'Data shares'!$C:$FA,119)</f>
        <v>1.01</v>
      </c>
      <c r="D124" s="143">
        <f>VLOOKUP($A124,'Data shares'!$C:$FA,121)*100</f>
        <v>-28.71</v>
      </c>
      <c r="E124" s="143">
        <f>VLOOKUP($A124,'Data shares'!$C:$FA,124)</f>
        <v>0.32</v>
      </c>
      <c r="F124" s="143">
        <f>VLOOKUP($A124,'Data shares'!$C:$FA,125)</f>
        <v>0.44</v>
      </c>
      <c r="G124" s="143">
        <f>VLOOKUP($A124,'Data shares'!$C:$FA,127)*100</f>
        <v>-27.27</v>
      </c>
      <c r="H124" s="103">
        <f>VLOOKUP($A124,'OI(Volume)'!$A$7:$O$427,8)</f>
        <v>507325</v>
      </c>
      <c r="I124" s="103">
        <f>VLOOKUP($A124,'OI(Volume)'!$A$7:$O$427,9)</f>
        <v>144200</v>
      </c>
      <c r="J124" s="103">
        <f>VLOOKUP($A124,'OI(Volume)'!$A$7:$O$427,11)</f>
        <v>363300</v>
      </c>
      <c r="K124" s="103">
        <f>VLOOKUP($A124,'OI(Volume)'!$A$7:$O$427,12)</f>
        <v>-2450</v>
      </c>
      <c r="L124" s="103">
        <f>VLOOKUP($A124,'OI(Value)'!$A$7:$O$306,8,0)</f>
        <v>202</v>
      </c>
      <c r="M124" s="103">
        <f>VLOOKUP($A124,'OI(Value)'!$A$7:$O$306,9,0)</f>
        <v>58</v>
      </c>
      <c r="N124" s="103">
        <f>VLOOKUP($A124,'OI(Value)'!$A$7:$O$306,11,0)</f>
        <v>145</v>
      </c>
      <c r="O124" s="103">
        <f>VLOOKUP($A124,'OI(Value)'!$A$7:$O$306,12,0)</f>
        <v>-1</v>
      </c>
      <c r="P124" s="179">
        <f>VLOOKUP(A124,'OI(Value)'!A124:O325,8,0)</f>
        <v>202</v>
      </c>
      <c r="Q124" s="179">
        <f>VLOOKUP(A124,'OI(Value)'!A124:O325,9,0)</f>
        <v>58</v>
      </c>
      <c r="R124" s="179">
        <f>VLOOKUP(A124,'OI(Value)'!A124:O325,11,0)</f>
        <v>145</v>
      </c>
      <c r="S124" s="179">
        <f>VLOOKUP(A124,'OI(Value)'!A124:O325,11,0)</f>
        <v>145</v>
      </c>
    </row>
    <row r="125" spans="1:19" x14ac:dyDescent="0.25">
      <c r="A125" s="105" t="str">
        <f>'Data shares'!C120</f>
        <v>KFINTECH</v>
      </c>
      <c r="B125" s="143">
        <f>VLOOKUP($A125,'Data shares'!$C:$FA,118)</f>
        <v>0.47</v>
      </c>
      <c r="C125" s="143">
        <f>VLOOKUP($A125,'Data shares'!$C:$FA,119)</f>
        <v>0.56000000000000005</v>
      </c>
      <c r="D125" s="143">
        <f>VLOOKUP($A125,'Data shares'!$C:$FA,121)*100</f>
        <v>-16.07</v>
      </c>
      <c r="E125" s="143">
        <f>VLOOKUP($A125,'Data shares'!$C:$FA,124)</f>
        <v>0.35</v>
      </c>
      <c r="F125" s="143">
        <f>VLOOKUP($A125,'Data shares'!$C:$FA,125)</f>
        <v>0.33</v>
      </c>
      <c r="G125" s="143">
        <f>VLOOKUP($A125,'Data shares'!$C:$FA,127)*100</f>
        <v>6.0600000000000005</v>
      </c>
      <c r="H125" s="103">
        <f>VLOOKUP($A125,'OI(Volume)'!$A$7:$O$427,8)</f>
        <v>1063350</v>
      </c>
      <c r="I125" s="103">
        <f>VLOOKUP($A125,'OI(Volume)'!$A$7:$O$427,9)</f>
        <v>155250</v>
      </c>
      <c r="J125" s="103">
        <f>VLOOKUP($A125,'OI(Volume)'!$A$7:$O$427,11)</f>
        <v>497250</v>
      </c>
      <c r="K125" s="103">
        <f>VLOOKUP($A125,'OI(Volume)'!$A$7:$O$427,12)</f>
        <v>-15750</v>
      </c>
      <c r="L125" s="103">
        <f>VLOOKUP($A125,'OI(Value)'!$A$7:$O$306,8,0)</f>
        <v>118</v>
      </c>
      <c r="M125" s="103">
        <f>VLOOKUP($A125,'OI(Value)'!$A$7:$O$306,9,0)</f>
        <v>17</v>
      </c>
      <c r="N125" s="103">
        <f>VLOOKUP($A125,'OI(Value)'!$A$7:$O$306,11,0)</f>
        <v>55</v>
      </c>
      <c r="O125" s="103">
        <f>VLOOKUP($A125,'OI(Value)'!$A$7:$O$306,12,0)</f>
        <v>-2</v>
      </c>
      <c r="P125" s="179">
        <f>VLOOKUP(A125,'OI(Value)'!A125:O326,8,0)</f>
        <v>118</v>
      </c>
      <c r="Q125" s="179">
        <f>VLOOKUP(A125,'OI(Value)'!A125:O326,9,0)</f>
        <v>17</v>
      </c>
      <c r="R125" s="179">
        <f>VLOOKUP(A125,'OI(Value)'!A125:O326,11,0)</f>
        <v>55</v>
      </c>
      <c r="S125" s="179">
        <f>VLOOKUP(A125,'OI(Value)'!A125:O326,11,0)</f>
        <v>55</v>
      </c>
    </row>
    <row r="126" spans="1:19" x14ac:dyDescent="0.25">
      <c r="A126" s="105" t="str">
        <f>'Data shares'!C121</f>
        <v>KOTAKBANK</v>
      </c>
      <c r="B126" s="143">
        <f>VLOOKUP($A126,'Data shares'!$C:$FA,118)</f>
        <v>0.72</v>
      </c>
      <c r="C126" s="143">
        <f>VLOOKUP($A126,'Data shares'!$C:$FA,119)</f>
        <v>0.74</v>
      </c>
      <c r="D126" s="143">
        <f>VLOOKUP($A126,'Data shares'!$C:$FA,121)*100</f>
        <v>-2.7</v>
      </c>
      <c r="E126" s="143">
        <f>VLOOKUP($A126,'Data shares'!$C:$FA,124)</f>
        <v>0.64</v>
      </c>
      <c r="F126" s="143">
        <f>VLOOKUP($A126,'Data shares'!$C:$FA,125)</f>
        <v>0.57999999999999996</v>
      </c>
      <c r="G126" s="143">
        <f>VLOOKUP($A126,'Data shares'!$C:$FA,127)*100</f>
        <v>10.34</v>
      </c>
      <c r="H126" s="103">
        <f>VLOOKUP($A126,'OI(Volume)'!$A$7:$O$427,8)</f>
        <v>7740400</v>
      </c>
      <c r="I126" s="103">
        <f>VLOOKUP($A126,'OI(Volume)'!$A$7:$O$427,9)</f>
        <v>62400</v>
      </c>
      <c r="J126" s="103">
        <f>VLOOKUP($A126,'OI(Volume)'!$A$7:$O$427,11)</f>
        <v>5545200</v>
      </c>
      <c r="K126" s="103">
        <f>VLOOKUP($A126,'OI(Volume)'!$A$7:$O$427,12)</f>
        <v>-159600</v>
      </c>
      <c r="L126" s="103">
        <f>VLOOKUP($A126,'OI(Value)'!$A$7:$O$306,8,0)</f>
        <v>1563</v>
      </c>
      <c r="M126" s="103">
        <f>VLOOKUP($A126,'OI(Value)'!$A$7:$O$306,9,0)</f>
        <v>13</v>
      </c>
      <c r="N126" s="103">
        <f>VLOOKUP($A126,'OI(Value)'!$A$7:$O$306,11,0)</f>
        <v>1120</v>
      </c>
      <c r="O126" s="103">
        <f>VLOOKUP($A126,'OI(Value)'!$A$7:$O$306,12,0)</f>
        <v>-32</v>
      </c>
      <c r="P126" s="179">
        <f>VLOOKUP(A126,'OI(Value)'!A126:O327,8,0)</f>
        <v>1563</v>
      </c>
      <c r="Q126" s="179">
        <f>VLOOKUP(A126,'OI(Value)'!A126:O327,9,0)</f>
        <v>13</v>
      </c>
      <c r="R126" s="179">
        <f>VLOOKUP(A126,'OI(Value)'!A126:O327,11,0)</f>
        <v>1120</v>
      </c>
      <c r="S126" s="179">
        <f>VLOOKUP(A126,'OI(Value)'!A126:O327,11,0)</f>
        <v>1120</v>
      </c>
    </row>
    <row r="127" spans="1:19" x14ac:dyDescent="0.25">
      <c r="A127" s="105" t="str">
        <f>'Data shares'!C122</f>
        <v>KPITTECH</v>
      </c>
      <c r="B127" s="143">
        <f>VLOOKUP($A127,'Data shares'!$C:$FA,118)</f>
        <v>0.86</v>
      </c>
      <c r="C127" s="143">
        <f>VLOOKUP($A127,'Data shares'!$C:$FA,119)</f>
        <v>0.84</v>
      </c>
      <c r="D127" s="143">
        <f>VLOOKUP($A127,'Data shares'!$C:$FA,121)*100</f>
        <v>2.3800000000000003</v>
      </c>
      <c r="E127" s="143">
        <f>VLOOKUP($A127,'Data shares'!$C:$FA,124)</f>
        <v>0.28999999999999998</v>
      </c>
      <c r="F127" s="143">
        <f>VLOOKUP($A127,'Data shares'!$C:$FA,125)</f>
        <v>0.56000000000000005</v>
      </c>
      <c r="G127" s="143">
        <f>VLOOKUP($A127,'Data shares'!$C:$FA,127)*100</f>
        <v>-48.209999999999994</v>
      </c>
      <c r="H127" s="103">
        <f>VLOOKUP($A127,'OI(Volume)'!$A$7:$O$427,8)</f>
        <v>2887600</v>
      </c>
      <c r="I127" s="103">
        <f>VLOOKUP($A127,'OI(Volume)'!$A$7:$O$427,9)</f>
        <v>36400</v>
      </c>
      <c r="J127" s="103">
        <f>VLOOKUP($A127,'OI(Volume)'!$A$7:$O$427,11)</f>
        <v>2469200</v>
      </c>
      <c r="K127" s="103">
        <f>VLOOKUP($A127,'OI(Volume)'!$A$7:$O$427,12)</f>
        <v>68800</v>
      </c>
      <c r="L127" s="103">
        <f>VLOOKUP($A127,'OI(Value)'!$A$7:$O$306,8,0)</f>
        <v>352</v>
      </c>
      <c r="M127" s="103">
        <f>VLOOKUP($A127,'OI(Value)'!$A$7:$O$306,9,0)</f>
        <v>4</v>
      </c>
      <c r="N127" s="103">
        <f>VLOOKUP($A127,'OI(Value)'!$A$7:$O$306,11,0)</f>
        <v>301</v>
      </c>
      <c r="O127" s="103">
        <f>VLOOKUP($A127,'OI(Value)'!$A$7:$O$306,12,0)</f>
        <v>8</v>
      </c>
      <c r="P127" s="179">
        <f>VLOOKUP(A127,'OI(Value)'!A127:O328,8,0)</f>
        <v>352</v>
      </c>
      <c r="Q127" s="179">
        <f>VLOOKUP(A127,'OI(Value)'!A127:O328,9,0)</f>
        <v>4</v>
      </c>
      <c r="R127" s="179">
        <f>VLOOKUP(A127,'OI(Value)'!A127:O328,11,0)</f>
        <v>301</v>
      </c>
      <c r="S127" s="179">
        <f>VLOOKUP(A127,'OI(Value)'!A127:O328,11,0)</f>
        <v>301</v>
      </c>
    </row>
    <row r="128" spans="1:19" x14ac:dyDescent="0.25">
      <c r="A128" s="105" t="str">
        <f>'Data shares'!C123</f>
        <v>LAURUSLABS</v>
      </c>
      <c r="B128" s="143">
        <f>VLOOKUP($A128,'Data shares'!$C:$FA,118)</f>
        <v>0.63</v>
      </c>
      <c r="C128" s="143">
        <f>VLOOKUP($A128,'Data shares'!$C:$FA,119)</f>
        <v>0.67</v>
      </c>
      <c r="D128" s="143">
        <f>VLOOKUP($A128,'Data shares'!$C:$FA,121)*100</f>
        <v>-5.9700000000000006</v>
      </c>
      <c r="E128" s="143">
        <f>VLOOKUP($A128,'Data shares'!$C:$FA,124)</f>
        <v>0.5</v>
      </c>
      <c r="F128" s="143">
        <f>VLOOKUP($A128,'Data shares'!$C:$FA,125)</f>
        <v>0.43</v>
      </c>
      <c r="G128" s="143">
        <f>VLOOKUP($A128,'Data shares'!$C:$FA,127)*100</f>
        <v>16.28</v>
      </c>
      <c r="H128" s="103">
        <f>VLOOKUP($A128,'OI(Volume)'!$A$7:$O$427,8)</f>
        <v>15289800</v>
      </c>
      <c r="I128" s="103">
        <f>VLOOKUP($A128,'OI(Volume)'!$A$7:$O$427,9)</f>
        <v>691900</v>
      </c>
      <c r="J128" s="103">
        <f>VLOOKUP($A128,'OI(Volume)'!$A$7:$O$427,11)</f>
        <v>9569300</v>
      </c>
      <c r="K128" s="103">
        <f>VLOOKUP($A128,'OI(Volume)'!$A$7:$O$427,12)</f>
        <v>-147900</v>
      </c>
      <c r="L128" s="103">
        <f>VLOOKUP($A128,'OI(Value)'!$A$7:$O$306,8,0)</f>
        <v>1340</v>
      </c>
      <c r="M128" s="103">
        <f>VLOOKUP($A128,'OI(Value)'!$A$7:$O$306,9,0)</f>
        <v>61</v>
      </c>
      <c r="N128" s="103">
        <f>VLOOKUP($A128,'OI(Value)'!$A$7:$O$306,11,0)</f>
        <v>839</v>
      </c>
      <c r="O128" s="103">
        <f>VLOOKUP($A128,'OI(Value)'!$A$7:$O$306,12,0)</f>
        <v>-13</v>
      </c>
      <c r="P128" s="179">
        <f>VLOOKUP(A128,'OI(Value)'!A128:O329,8,0)</f>
        <v>1340</v>
      </c>
      <c r="Q128" s="179">
        <f>VLOOKUP(A128,'OI(Value)'!A128:O329,9,0)</f>
        <v>61</v>
      </c>
      <c r="R128" s="179">
        <f>VLOOKUP(A128,'OI(Value)'!A128:O329,11,0)</f>
        <v>839</v>
      </c>
      <c r="S128" s="179">
        <f>VLOOKUP(A128,'OI(Value)'!A128:O329,11,0)</f>
        <v>839</v>
      </c>
    </row>
    <row r="129" spans="1:19" x14ac:dyDescent="0.25">
      <c r="A129" s="105" t="str">
        <f>'Data shares'!C124</f>
        <v>LICHSGFIN</v>
      </c>
      <c r="B129" s="143">
        <f>VLOOKUP($A129,'Data shares'!$C:$FA,118)</f>
        <v>0.65</v>
      </c>
      <c r="C129" s="143">
        <f>VLOOKUP($A129,'Data shares'!$C:$FA,119)</f>
        <v>0.66</v>
      </c>
      <c r="D129" s="143">
        <f>VLOOKUP($A129,'Data shares'!$C:$FA,121)*100</f>
        <v>-1.52</v>
      </c>
      <c r="E129" s="143">
        <f>VLOOKUP($A129,'Data shares'!$C:$FA,124)</f>
        <v>0.39</v>
      </c>
      <c r="F129" s="143">
        <f>VLOOKUP($A129,'Data shares'!$C:$FA,125)</f>
        <v>0.34</v>
      </c>
      <c r="G129" s="143">
        <f>VLOOKUP($A129,'Data shares'!$C:$FA,127)*100</f>
        <v>14.71</v>
      </c>
      <c r="H129" s="103">
        <f>VLOOKUP($A129,'OI(Volume)'!$A$7:$O$427,8)</f>
        <v>12132000</v>
      </c>
      <c r="I129" s="103">
        <f>VLOOKUP($A129,'OI(Volume)'!$A$7:$O$427,9)</f>
        <v>-4000</v>
      </c>
      <c r="J129" s="103">
        <f>VLOOKUP($A129,'OI(Volume)'!$A$7:$O$427,11)</f>
        <v>7906000</v>
      </c>
      <c r="K129" s="103">
        <f>VLOOKUP($A129,'OI(Volume)'!$A$7:$O$427,12)</f>
        <v>-160000</v>
      </c>
      <c r="L129" s="103">
        <f>VLOOKUP($A129,'OI(Value)'!$A$7:$O$306,8,0)</f>
        <v>694</v>
      </c>
      <c r="M129" s="103">
        <f>VLOOKUP($A129,'OI(Value)'!$A$7:$O$306,9,0)</f>
        <v>0</v>
      </c>
      <c r="N129" s="103">
        <f>VLOOKUP($A129,'OI(Value)'!$A$7:$O$306,11,0)</f>
        <v>452</v>
      </c>
      <c r="O129" s="103">
        <f>VLOOKUP($A129,'OI(Value)'!$A$7:$O$306,12,0)</f>
        <v>-9</v>
      </c>
      <c r="P129" s="179">
        <f>VLOOKUP(A129,'OI(Value)'!A129:O330,8,0)</f>
        <v>694</v>
      </c>
      <c r="Q129" s="179">
        <f>VLOOKUP(A129,'OI(Value)'!A129:O330,9,0)</f>
        <v>0</v>
      </c>
      <c r="R129" s="179">
        <f>VLOOKUP(A129,'OI(Value)'!A129:O330,11,0)</f>
        <v>452</v>
      </c>
      <c r="S129" s="179">
        <f>VLOOKUP(A129,'OI(Value)'!A129:O330,11,0)</f>
        <v>452</v>
      </c>
    </row>
    <row r="130" spans="1:19" x14ac:dyDescent="0.25">
      <c r="A130" s="105" t="str">
        <f>'Data shares'!C125</f>
        <v>LICI</v>
      </c>
      <c r="B130" s="143">
        <f>VLOOKUP($A130,'Data shares'!$C:$FA,118)</f>
        <v>0.56999999999999995</v>
      </c>
      <c r="C130" s="143">
        <f>VLOOKUP($A130,'Data shares'!$C:$FA,119)</f>
        <v>0.55000000000000004</v>
      </c>
      <c r="D130" s="143">
        <f>VLOOKUP($A130,'Data shares'!$C:$FA,121)*100</f>
        <v>3.64</v>
      </c>
      <c r="E130" s="143">
        <f>VLOOKUP($A130,'Data shares'!$C:$FA,124)</f>
        <v>0.45</v>
      </c>
      <c r="F130" s="143">
        <f>VLOOKUP($A130,'Data shares'!$C:$FA,125)</f>
        <v>0.38</v>
      </c>
      <c r="G130" s="143">
        <f>VLOOKUP($A130,'Data shares'!$C:$FA,127)*100</f>
        <v>18.420000000000002</v>
      </c>
      <c r="H130" s="103">
        <f>VLOOKUP($A130,'OI(Volume)'!$A$7:$O$427,8)</f>
        <v>5122600</v>
      </c>
      <c r="I130" s="103">
        <f>VLOOKUP($A130,'OI(Volume)'!$A$7:$O$427,9)</f>
        <v>-134400</v>
      </c>
      <c r="J130" s="103">
        <f>VLOOKUP($A130,'OI(Volume)'!$A$7:$O$427,11)</f>
        <v>2939300</v>
      </c>
      <c r="K130" s="103">
        <f>VLOOKUP($A130,'OI(Volume)'!$A$7:$O$427,12)</f>
        <v>63700</v>
      </c>
      <c r="L130" s="103">
        <f>VLOOKUP($A130,'OI(Value)'!$A$7:$O$306,8,0)</f>
        <v>462</v>
      </c>
      <c r="M130" s="103">
        <f>VLOOKUP($A130,'OI(Value)'!$A$7:$O$306,9,0)</f>
        <v>-12</v>
      </c>
      <c r="N130" s="103">
        <f>VLOOKUP($A130,'OI(Value)'!$A$7:$O$306,11,0)</f>
        <v>265</v>
      </c>
      <c r="O130" s="103">
        <f>VLOOKUP($A130,'OI(Value)'!$A$7:$O$306,12,0)</f>
        <v>6</v>
      </c>
      <c r="P130" s="179">
        <f>VLOOKUP(A130,'OI(Value)'!A130:O331,8,0)</f>
        <v>462</v>
      </c>
      <c r="Q130" s="179">
        <f>VLOOKUP(A130,'OI(Value)'!A130:O331,9,0)</f>
        <v>-12</v>
      </c>
      <c r="R130" s="179">
        <f>VLOOKUP(A130,'OI(Value)'!A130:O331,11,0)</f>
        <v>265</v>
      </c>
      <c r="S130" s="179">
        <f>VLOOKUP(A130,'OI(Value)'!A130:O331,11,0)</f>
        <v>265</v>
      </c>
    </row>
    <row r="131" spans="1:19" x14ac:dyDescent="0.25">
      <c r="A131" s="105" t="str">
        <f>'Data shares'!C126</f>
        <v>LODHA</v>
      </c>
      <c r="B131" s="143">
        <f>VLOOKUP($A131,'Data shares'!$C:$FA,118)</f>
        <v>0.64</v>
      </c>
      <c r="C131" s="143">
        <f>VLOOKUP($A131,'Data shares'!$C:$FA,119)</f>
        <v>0.53</v>
      </c>
      <c r="D131" s="143">
        <f>VLOOKUP($A131,'Data shares'!$C:$FA,121)*100</f>
        <v>20.75</v>
      </c>
      <c r="E131" s="143">
        <f>VLOOKUP($A131,'Data shares'!$C:$FA,124)</f>
        <v>0.2</v>
      </c>
      <c r="F131" s="143">
        <f>VLOOKUP($A131,'Data shares'!$C:$FA,125)</f>
        <v>0.61</v>
      </c>
      <c r="G131" s="143">
        <f>VLOOKUP($A131,'Data shares'!$C:$FA,127)*100</f>
        <v>-67.210000000000008</v>
      </c>
      <c r="H131" s="103">
        <f>VLOOKUP($A131,'OI(Volume)'!$A$7:$O$427,8)</f>
        <v>1926000</v>
      </c>
      <c r="I131" s="103">
        <f>VLOOKUP($A131,'OI(Volume)'!$A$7:$O$427,9)</f>
        <v>-183150</v>
      </c>
      <c r="J131" s="103">
        <f>VLOOKUP($A131,'OI(Volume)'!$A$7:$O$427,11)</f>
        <v>1242000</v>
      </c>
      <c r="K131" s="103">
        <f>VLOOKUP($A131,'OI(Volume)'!$A$7:$O$427,12)</f>
        <v>128250</v>
      </c>
      <c r="L131" s="103">
        <f>VLOOKUP($A131,'OI(Value)'!$A$7:$O$306,8,0)</f>
        <v>250</v>
      </c>
      <c r="M131" s="103">
        <f>VLOOKUP($A131,'OI(Value)'!$A$7:$O$306,9,0)</f>
        <v>-24</v>
      </c>
      <c r="N131" s="103">
        <f>VLOOKUP($A131,'OI(Value)'!$A$7:$O$306,11,0)</f>
        <v>161</v>
      </c>
      <c r="O131" s="103">
        <f>VLOOKUP($A131,'OI(Value)'!$A$7:$O$306,12,0)</f>
        <v>17</v>
      </c>
      <c r="P131" s="179">
        <f>VLOOKUP(A131,'OI(Value)'!A131:O332,8,0)</f>
        <v>250</v>
      </c>
      <c r="Q131" s="179">
        <f>VLOOKUP(A131,'OI(Value)'!A131:O332,9,0)</f>
        <v>-24</v>
      </c>
      <c r="R131" s="179">
        <f>VLOOKUP(A131,'OI(Value)'!A131:O332,11,0)</f>
        <v>161</v>
      </c>
      <c r="S131" s="179">
        <f>VLOOKUP(A131,'OI(Value)'!A131:O332,11,0)</f>
        <v>161</v>
      </c>
    </row>
    <row r="132" spans="1:19" x14ac:dyDescent="0.25">
      <c r="A132" s="105" t="str">
        <f>'Data shares'!C127</f>
        <v>LT</v>
      </c>
      <c r="B132" s="143">
        <f>VLOOKUP($A132,'Data shares'!$C:$FA,118)</f>
        <v>0.48</v>
      </c>
      <c r="C132" s="143">
        <f>VLOOKUP($A132,'Data shares'!$C:$FA,119)</f>
        <v>0.53</v>
      </c>
      <c r="D132" s="143">
        <f>VLOOKUP($A132,'Data shares'!$C:$FA,121)*100</f>
        <v>-9.43</v>
      </c>
      <c r="E132" s="143">
        <f>VLOOKUP($A132,'Data shares'!$C:$FA,124)</f>
        <v>0.44</v>
      </c>
      <c r="F132" s="143">
        <f>VLOOKUP($A132,'Data shares'!$C:$FA,125)</f>
        <v>0.38</v>
      </c>
      <c r="G132" s="143">
        <f>VLOOKUP($A132,'Data shares'!$C:$FA,127)*100</f>
        <v>15.790000000000001</v>
      </c>
      <c r="H132" s="103">
        <f>VLOOKUP($A132,'OI(Volume)'!$A$7:$O$427,8)</f>
        <v>6356000</v>
      </c>
      <c r="I132" s="103">
        <f>VLOOKUP($A132,'OI(Volume)'!$A$7:$O$427,9)</f>
        <v>926100</v>
      </c>
      <c r="J132" s="103">
        <f>VLOOKUP($A132,'OI(Volume)'!$A$7:$O$427,11)</f>
        <v>3020850</v>
      </c>
      <c r="K132" s="103">
        <f>VLOOKUP($A132,'OI(Volume)'!$A$7:$O$427,12)</f>
        <v>118300</v>
      </c>
      <c r="L132" s="103">
        <f>VLOOKUP($A132,'OI(Value)'!$A$7:$O$306,8,0)</f>
        <v>2285</v>
      </c>
      <c r="M132" s="103">
        <f>VLOOKUP($A132,'OI(Value)'!$A$7:$O$306,9,0)</f>
        <v>333</v>
      </c>
      <c r="N132" s="103">
        <f>VLOOKUP($A132,'OI(Value)'!$A$7:$O$306,11,0)</f>
        <v>1086</v>
      </c>
      <c r="O132" s="103">
        <f>VLOOKUP($A132,'OI(Value)'!$A$7:$O$306,12,0)</f>
        <v>43</v>
      </c>
      <c r="P132" s="179">
        <f>VLOOKUP(A132,'OI(Value)'!A132:O333,8,0)</f>
        <v>2285</v>
      </c>
      <c r="Q132" s="179">
        <f>VLOOKUP(A132,'OI(Value)'!A132:O333,9,0)</f>
        <v>333</v>
      </c>
      <c r="R132" s="179">
        <f>VLOOKUP(A132,'OI(Value)'!A132:O333,11,0)</f>
        <v>1086</v>
      </c>
      <c r="S132" s="179">
        <f>VLOOKUP(A132,'OI(Value)'!A132:O333,11,0)</f>
        <v>1086</v>
      </c>
    </row>
    <row r="133" spans="1:19" x14ac:dyDescent="0.25">
      <c r="A133" s="105" t="str">
        <f>'Data shares'!C128</f>
        <v>LTF</v>
      </c>
      <c r="B133" s="143">
        <f>VLOOKUP($A133,'Data shares'!$C:$FA,118)</f>
        <v>0.97</v>
      </c>
      <c r="C133" s="143">
        <f>VLOOKUP($A133,'Data shares'!$C:$FA,119)</f>
        <v>0.98</v>
      </c>
      <c r="D133" s="143">
        <f>VLOOKUP($A133,'Data shares'!$C:$FA,121)*100</f>
        <v>-1.02</v>
      </c>
      <c r="E133" s="143">
        <f>VLOOKUP($A133,'Data shares'!$C:$FA,124)</f>
        <v>0.46</v>
      </c>
      <c r="F133" s="143">
        <f>VLOOKUP($A133,'Data shares'!$C:$FA,125)</f>
        <v>0.54</v>
      </c>
      <c r="G133" s="143">
        <f>VLOOKUP($A133,'Data shares'!$C:$FA,127)*100</f>
        <v>-14.81</v>
      </c>
      <c r="H133" s="103">
        <f>VLOOKUP($A133,'OI(Volume)'!$A$7:$O$427,8)</f>
        <v>29351036</v>
      </c>
      <c r="I133" s="103">
        <f>VLOOKUP($A133,'OI(Volume)'!$A$7:$O$427,9)</f>
        <v>481896</v>
      </c>
      <c r="J133" s="103">
        <f>VLOOKUP($A133,'OI(Volume)'!$A$7:$O$427,11)</f>
        <v>28445250</v>
      </c>
      <c r="K133" s="103">
        <f>VLOOKUP($A133,'OI(Volume)'!$A$7:$O$427,12)</f>
        <v>111550</v>
      </c>
      <c r="L133" s="103">
        <f>VLOOKUP($A133,'OI(Value)'!$A$7:$O$306,8,0)</f>
        <v>635</v>
      </c>
      <c r="M133" s="103">
        <f>VLOOKUP($A133,'OI(Value)'!$A$7:$O$306,9,0)</f>
        <v>10</v>
      </c>
      <c r="N133" s="103">
        <f>VLOOKUP($A133,'OI(Value)'!$A$7:$O$306,11,0)</f>
        <v>616</v>
      </c>
      <c r="O133" s="103">
        <f>VLOOKUP($A133,'OI(Value)'!$A$7:$O$306,12,0)</f>
        <v>2</v>
      </c>
      <c r="P133" s="179">
        <f>VLOOKUP(A133,'OI(Value)'!A133:O334,8,0)</f>
        <v>635</v>
      </c>
      <c r="Q133" s="179">
        <f>VLOOKUP(A133,'OI(Value)'!A133:O334,9,0)</f>
        <v>10</v>
      </c>
      <c r="R133" s="179">
        <f>VLOOKUP(A133,'OI(Value)'!A133:O334,11,0)</f>
        <v>616</v>
      </c>
      <c r="S133" s="179">
        <f>VLOOKUP(A133,'OI(Value)'!A133:O334,11,0)</f>
        <v>616</v>
      </c>
    </row>
    <row r="134" spans="1:19" x14ac:dyDescent="0.25">
      <c r="A134" s="105" t="str">
        <f>'Data shares'!C129</f>
        <v>LTIM</v>
      </c>
      <c r="B134" s="143">
        <f>VLOOKUP($A134,'Data shares'!$C:$FA,118)</f>
        <v>0.66</v>
      </c>
      <c r="C134" s="143">
        <f>VLOOKUP($A134,'Data shares'!$C:$FA,119)</f>
        <v>0.56999999999999995</v>
      </c>
      <c r="D134" s="143">
        <f>VLOOKUP($A134,'Data shares'!$C:$FA,121)*100</f>
        <v>15.790000000000001</v>
      </c>
      <c r="E134" s="143">
        <f>VLOOKUP($A134,'Data shares'!$C:$FA,124)</f>
        <v>0.34</v>
      </c>
      <c r="F134" s="143">
        <f>VLOOKUP($A134,'Data shares'!$C:$FA,125)</f>
        <v>0.43</v>
      </c>
      <c r="G134" s="143">
        <f>VLOOKUP($A134,'Data shares'!$C:$FA,127)*100</f>
        <v>-20.93</v>
      </c>
      <c r="H134" s="103">
        <f>VLOOKUP($A134,'OI(Volume)'!$A$7:$O$427,8)</f>
        <v>853800</v>
      </c>
      <c r="I134" s="103">
        <f>VLOOKUP($A134,'OI(Volume)'!$A$7:$O$427,9)</f>
        <v>-93900</v>
      </c>
      <c r="J134" s="103">
        <f>VLOOKUP($A134,'OI(Volume)'!$A$7:$O$427,11)</f>
        <v>566100</v>
      </c>
      <c r="K134" s="103">
        <f>VLOOKUP($A134,'OI(Volume)'!$A$7:$O$427,12)</f>
        <v>24300</v>
      </c>
      <c r="L134" s="103">
        <f>VLOOKUP($A134,'OI(Value)'!$A$7:$O$306,8,0)</f>
        <v>443</v>
      </c>
      <c r="M134" s="103">
        <f>VLOOKUP($A134,'OI(Value)'!$A$7:$O$306,9,0)</f>
        <v>-49</v>
      </c>
      <c r="N134" s="103">
        <f>VLOOKUP($A134,'OI(Value)'!$A$7:$O$306,11,0)</f>
        <v>294</v>
      </c>
      <c r="O134" s="103">
        <f>VLOOKUP($A134,'OI(Value)'!$A$7:$O$306,12,0)</f>
        <v>13</v>
      </c>
      <c r="P134" s="179">
        <f>VLOOKUP(A134,'OI(Value)'!A134:O335,8,0)</f>
        <v>443</v>
      </c>
      <c r="Q134" s="179">
        <f>VLOOKUP(A134,'OI(Value)'!A134:O335,9,0)</f>
        <v>-49</v>
      </c>
      <c r="R134" s="179">
        <f>VLOOKUP(A134,'OI(Value)'!A134:O335,11,0)</f>
        <v>294</v>
      </c>
      <c r="S134" s="179">
        <f>VLOOKUP(A134,'OI(Value)'!A134:O335,11,0)</f>
        <v>294</v>
      </c>
    </row>
    <row r="135" spans="1:19" x14ac:dyDescent="0.25">
      <c r="A135" s="105" t="str">
        <f>'Data shares'!C130</f>
        <v>LUPIN</v>
      </c>
      <c r="B135" s="143">
        <f>VLOOKUP($A135,'Data shares'!$C:$FA,118)</f>
        <v>0.69</v>
      </c>
      <c r="C135" s="143">
        <f>VLOOKUP($A135,'Data shares'!$C:$FA,119)</f>
        <v>0.73</v>
      </c>
      <c r="D135" s="143">
        <f>VLOOKUP($A135,'Data shares'!$C:$FA,121)*100</f>
        <v>-5.48</v>
      </c>
      <c r="E135" s="143">
        <f>VLOOKUP($A135,'Data shares'!$C:$FA,124)</f>
        <v>0.64</v>
      </c>
      <c r="F135" s="143">
        <f>VLOOKUP($A135,'Data shares'!$C:$FA,125)</f>
        <v>0.39</v>
      </c>
      <c r="G135" s="143">
        <f>VLOOKUP($A135,'Data shares'!$C:$FA,127)*100</f>
        <v>64.099999999999994</v>
      </c>
      <c r="H135" s="103">
        <f>VLOOKUP($A135,'OI(Volume)'!$A$7:$O$427,8)</f>
        <v>3833075</v>
      </c>
      <c r="I135" s="103">
        <f>VLOOKUP($A135,'OI(Volume)'!$A$7:$O$427,9)</f>
        <v>256700</v>
      </c>
      <c r="J135" s="103">
        <f>VLOOKUP($A135,'OI(Volume)'!$A$7:$O$427,11)</f>
        <v>2633300</v>
      </c>
      <c r="K135" s="103">
        <f>VLOOKUP($A135,'OI(Volume)'!$A$7:$O$427,12)</f>
        <v>39525</v>
      </c>
      <c r="L135" s="103">
        <f>VLOOKUP($A135,'OI(Value)'!$A$7:$O$306,8,0)</f>
        <v>745</v>
      </c>
      <c r="M135" s="103">
        <f>VLOOKUP($A135,'OI(Value)'!$A$7:$O$306,9,0)</f>
        <v>50</v>
      </c>
      <c r="N135" s="103">
        <f>VLOOKUP($A135,'OI(Value)'!$A$7:$O$306,11,0)</f>
        <v>512</v>
      </c>
      <c r="O135" s="103">
        <f>VLOOKUP($A135,'OI(Value)'!$A$7:$O$306,12,0)</f>
        <v>8</v>
      </c>
      <c r="P135" s="179">
        <f>VLOOKUP(A135,'OI(Value)'!A135:O336,8,0)</f>
        <v>745</v>
      </c>
      <c r="Q135" s="179">
        <f>VLOOKUP(A135,'OI(Value)'!A135:O336,9,0)</f>
        <v>50</v>
      </c>
      <c r="R135" s="179">
        <f>VLOOKUP(A135,'OI(Value)'!A135:O336,11,0)</f>
        <v>512</v>
      </c>
      <c r="S135" s="179">
        <f>VLOOKUP(A135,'OI(Value)'!A135:O336,11,0)</f>
        <v>512</v>
      </c>
    </row>
    <row r="136" spans="1:19" x14ac:dyDescent="0.25">
      <c r="A136" s="105" t="str">
        <f>'Data shares'!C131</f>
        <v>M&amp;M</v>
      </c>
      <c r="B136" s="143">
        <f>VLOOKUP($A136,'Data shares'!$C:$FA,118)</f>
        <v>0.85</v>
      </c>
      <c r="C136" s="143">
        <f>VLOOKUP($A136,'Data shares'!$C:$FA,119)</f>
        <v>0.8</v>
      </c>
      <c r="D136" s="143">
        <f>VLOOKUP($A136,'Data shares'!$C:$FA,121)*100</f>
        <v>6.25</v>
      </c>
      <c r="E136" s="143">
        <f>VLOOKUP($A136,'Data shares'!$C:$FA,124)</f>
        <v>0.54</v>
      </c>
      <c r="F136" s="143">
        <f>VLOOKUP($A136,'Data shares'!$C:$FA,125)</f>
        <v>0.61</v>
      </c>
      <c r="G136" s="143">
        <f>VLOOKUP($A136,'Data shares'!$C:$FA,127)*100</f>
        <v>-11.48</v>
      </c>
      <c r="H136" s="103">
        <f>VLOOKUP($A136,'OI(Volume)'!$A$7:$O$427,8)</f>
        <v>6939600</v>
      </c>
      <c r="I136" s="103">
        <f>VLOOKUP($A136,'OI(Volume)'!$A$7:$O$427,9)</f>
        <v>56800</v>
      </c>
      <c r="J136" s="103">
        <f>VLOOKUP($A136,'OI(Volume)'!$A$7:$O$427,11)</f>
        <v>5909400</v>
      </c>
      <c r="K136" s="103">
        <f>VLOOKUP($A136,'OI(Volume)'!$A$7:$O$427,12)</f>
        <v>415800</v>
      </c>
      <c r="L136" s="103">
        <f>VLOOKUP($A136,'OI(Value)'!$A$7:$O$306,8,0)</f>
        <v>2357</v>
      </c>
      <c r="M136" s="103">
        <f>VLOOKUP($A136,'OI(Value)'!$A$7:$O$306,9,0)</f>
        <v>19</v>
      </c>
      <c r="N136" s="103">
        <f>VLOOKUP($A136,'OI(Value)'!$A$7:$O$306,11,0)</f>
        <v>2007</v>
      </c>
      <c r="O136" s="103">
        <f>VLOOKUP($A136,'OI(Value)'!$A$7:$O$306,12,0)</f>
        <v>141</v>
      </c>
      <c r="P136" s="179">
        <f>VLOOKUP(A136,'OI(Value)'!A136:O337,8,0)</f>
        <v>2357</v>
      </c>
      <c r="Q136" s="179">
        <f>VLOOKUP(A136,'OI(Value)'!A136:O337,9,0)</f>
        <v>19</v>
      </c>
      <c r="R136" s="179">
        <f>VLOOKUP(A136,'OI(Value)'!A136:O337,11,0)</f>
        <v>2007</v>
      </c>
      <c r="S136" s="179">
        <f>VLOOKUP(A136,'OI(Value)'!A136:O337,11,0)</f>
        <v>2007</v>
      </c>
    </row>
    <row r="137" spans="1:19" x14ac:dyDescent="0.25">
      <c r="A137" s="105" t="str">
        <f>'Data shares'!C132</f>
        <v>MANAPPURAM</v>
      </c>
      <c r="B137" s="143">
        <f>VLOOKUP($A137,'Data shares'!$C:$FA,118)</f>
        <v>0.82</v>
      </c>
      <c r="C137" s="143">
        <f>VLOOKUP($A137,'Data shares'!$C:$FA,119)</f>
        <v>0.86</v>
      </c>
      <c r="D137" s="143">
        <f>VLOOKUP($A137,'Data shares'!$C:$FA,121)*100</f>
        <v>-4.6500000000000004</v>
      </c>
      <c r="E137" s="143">
        <f>VLOOKUP($A137,'Data shares'!$C:$FA,124)</f>
        <v>0.79</v>
      </c>
      <c r="F137" s="143">
        <f>VLOOKUP($A137,'Data shares'!$C:$FA,125)</f>
        <v>0.7</v>
      </c>
      <c r="G137" s="143">
        <f>VLOOKUP($A137,'Data shares'!$C:$FA,127)*100</f>
        <v>12.86</v>
      </c>
      <c r="H137" s="103">
        <f>VLOOKUP($A137,'OI(Volume)'!$A$7:$O$427,8)</f>
        <v>18825000</v>
      </c>
      <c r="I137" s="103">
        <f>VLOOKUP($A137,'OI(Volume)'!$A$7:$O$427,9)</f>
        <v>669000</v>
      </c>
      <c r="J137" s="103">
        <f>VLOOKUP($A137,'OI(Volume)'!$A$7:$O$427,11)</f>
        <v>15432000</v>
      </c>
      <c r="K137" s="103">
        <f>VLOOKUP($A137,'OI(Volume)'!$A$7:$O$427,12)</f>
        <v>-123000</v>
      </c>
      <c r="L137" s="103">
        <f>VLOOKUP($A137,'OI(Value)'!$A$7:$O$306,8,0)</f>
        <v>502</v>
      </c>
      <c r="M137" s="103">
        <f>VLOOKUP($A137,'OI(Value)'!$A$7:$O$306,9,0)</f>
        <v>18</v>
      </c>
      <c r="N137" s="103">
        <f>VLOOKUP($A137,'OI(Value)'!$A$7:$O$306,11,0)</f>
        <v>411</v>
      </c>
      <c r="O137" s="103">
        <f>VLOOKUP($A137,'OI(Value)'!$A$7:$O$306,12,0)</f>
        <v>-3</v>
      </c>
      <c r="P137" s="179">
        <f>VLOOKUP(A137,'OI(Value)'!A137:O338,8,0)</f>
        <v>502</v>
      </c>
      <c r="Q137" s="179">
        <f>VLOOKUP(A137,'OI(Value)'!A137:O338,9,0)</f>
        <v>18</v>
      </c>
      <c r="R137" s="179">
        <f>VLOOKUP(A137,'OI(Value)'!A137:O338,11,0)</f>
        <v>411</v>
      </c>
      <c r="S137" s="179">
        <f>VLOOKUP(A137,'OI(Value)'!A137:O338,11,0)</f>
        <v>411</v>
      </c>
    </row>
    <row r="138" spans="1:19" x14ac:dyDescent="0.25">
      <c r="A138" s="105" t="str">
        <f>'Data shares'!C133</f>
        <v>MANKIND</v>
      </c>
      <c r="B138" s="143">
        <f>VLOOKUP($A138,'Data shares'!$C:$FA,118)</f>
        <v>0.48</v>
      </c>
      <c r="C138" s="143">
        <f>VLOOKUP($A138,'Data shares'!$C:$FA,119)</f>
        <v>0.47</v>
      </c>
      <c r="D138" s="143">
        <f>VLOOKUP($A138,'Data shares'!$C:$FA,121)*100</f>
        <v>2.13</v>
      </c>
      <c r="E138" s="143">
        <f>VLOOKUP($A138,'Data shares'!$C:$FA,124)</f>
        <v>0.19</v>
      </c>
      <c r="F138" s="143">
        <f>VLOOKUP($A138,'Data shares'!$C:$FA,125)</f>
        <v>0.18</v>
      </c>
      <c r="G138" s="143">
        <f>VLOOKUP($A138,'Data shares'!$C:$FA,127)*100</f>
        <v>5.56</v>
      </c>
      <c r="H138" s="103">
        <f>VLOOKUP($A138,'OI(Volume)'!$A$7:$O$427,8)</f>
        <v>804375</v>
      </c>
      <c r="I138" s="103">
        <f>VLOOKUP($A138,'OI(Volume)'!$A$7:$O$427,9)</f>
        <v>-11025</v>
      </c>
      <c r="J138" s="103">
        <f>VLOOKUP($A138,'OI(Volume)'!$A$7:$O$427,11)</f>
        <v>382950</v>
      </c>
      <c r="K138" s="103">
        <f>VLOOKUP($A138,'OI(Volume)'!$A$7:$O$427,12)</f>
        <v>-450</v>
      </c>
      <c r="L138" s="103">
        <f>VLOOKUP($A138,'OI(Value)'!$A$7:$O$306,8,0)</f>
        <v>202</v>
      </c>
      <c r="M138" s="103">
        <f>VLOOKUP($A138,'OI(Value)'!$A$7:$O$306,9,0)</f>
        <v>-3</v>
      </c>
      <c r="N138" s="103">
        <f>VLOOKUP($A138,'OI(Value)'!$A$7:$O$306,11,0)</f>
        <v>96</v>
      </c>
      <c r="O138" s="103">
        <f>VLOOKUP($A138,'OI(Value)'!$A$7:$O$306,12,0)</f>
        <v>0</v>
      </c>
      <c r="P138" s="179">
        <f>VLOOKUP(A138,'OI(Value)'!A138:O339,8,0)</f>
        <v>202</v>
      </c>
      <c r="Q138" s="179">
        <f>VLOOKUP(A138,'OI(Value)'!A138:O339,9,0)</f>
        <v>-3</v>
      </c>
      <c r="R138" s="179">
        <f>VLOOKUP(A138,'OI(Value)'!A138:O339,11,0)</f>
        <v>96</v>
      </c>
      <c r="S138" s="179">
        <f>VLOOKUP(A138,'OI(Value)'!A138:O339,11,0)</f>
        <v>96</v>
      </c>
    </row>
    <row r="139" spans="1:19" x14ac:dyDescent="0.25">
      <c r="A139" s="105" t="str">
        <f>'Data shares'!C134</f>
        <v>MARICO</v>
      </c>
      <c r="B139" s="143">
        <f>VLOOKUP($A139,'Data shares'!$C:$FA,118)</f>
        <v>0.7</v>
      </c>
      <c r="C139" s="143">
        <f>VLOOKUP($A139,'Data shares'!$C:$FA,119)</f>
        <v>0.41</v>
      </c>
      <c r="D139" s="143">
        <f>VLOOKUP($A139,'Data shares'!$C:$FA,121)*100</f>
        <v>70.73</v>
      </c>
      <c r="E139" s="143">
        <f>VLOOKUP($A139,'Data shares'!$C:$FA,124)</f>
        <v>0.26</v>
      </c>
      <c r="F139" s="143">
        <f>VLOOKUP($A139,'Data shares'!$C:$FA,125)</f>
        <v>0.3</v>
      </c>
      <c r="G139" s="143">
        <f>VLOOKUP($A139,'Data shares'!$C:$FA,127)*100</f>
        <v>-13.33</v>
      </c>
      <c r="H139" s="103">
        <f>VLOOKUP($A139,'OI(Volume)'!$A$7:$O$427,8)</f>
        <v>6571200</v>
      </c>
      <c r="I139" s="103">
        <f>VLOOKUP($A139,'OI(Volume)'!$A$7:$O$427,9)</f>
        <v>-578400</v>
      </c>
      <c r="J139" s="103">
        <f>VLOOKUP($A139,'OI(Volume)'!$A$7:$O$427,11)</f>
        <v>4614000</v>
      </c>
      <c r="K139" s="103">
        <f>VLOOKUP($A139,'OI(Volume)'!$A$7:$O$427,12)</f>
        <v>1700400</v>
      </c>
      <c r="L139" s="103">
        <f>VLOOKUP($A139,'OI(Value)'!$A$7:$O$306,8,0)</f>
        <v>494</v>
      </c>
      <c r="M139" s="103">
        <f>VLOOKUP($A139,'OI(Value)'!$A$7:$O$306,9,0)</f>
        <v>-44</v>
      </c>
      <c r="N139" s="103">
        <f>VLOOKUP($A139,'OI(Value)'!$A$7:$O$306,11,0)</f>
        <v>347</v>
      </c>
      <c r="O139" s="103">
        <f>VLOOKUP($A139,'OI(Value)'!$A$7:$O$306,12,0)</f>
        <v>128</v>
      </c>
      <c r="P139" s="179">
        <f>VLOOKUP(A139,'OI(Value)'!A139:O340,8,0)</f>
        <v>494</v>
      </c>
      <c r="Q139" s="179">
        <f>VLOOKUP(A139,'OI(Value)'!A139:O340,9,0)</f>
        <v>-44</v>
      </c>
      <c r="R139" s="179">
        <f>VLOOKUP(A139,'OI(Value)'!A139:O340,11,0)</f>
        <v>347</v>
      </c>
      <c r="S139" s="179">
        <f>VLOOKUP(A139,'OI(Value)'!A139:O340,11,0)</f>
        <v>347</v>
      </c>
    </row>
    <row r="140" spans="1:19" x14ac:dyDescent="0.25">
      <c r="A140" s="105" t="str">
        <f>'Data shares'!C135</f>
        <v>MARUTI</v>
      </c>
      <c r="B140" s="143">
        <f>VLOOKUP($A140,'Data shares'!$C:$FA,118)</f>
        <v>1.1100000000000001</v>
      </c>
      <c r="C140" s="143">
        <f>VLOOKUP($A140,'Data shares'!$C:$FA,119)</f>
        <v>1.1399999999999999</v>
      </c>
      <c r="D140" s="143">
        <f>VLOOKUP($A140,'Data shares'!$C:$FA,121)*100</f>
        <v>-2.63</v>
      </c>
      <c r="E140" s="143">
        <f>VLOOKUP($A140,'Data shares'!$C:$FA,124)</f>
        <v>0.94</v>
      </c>
      <c r="F140" s="143">
        <f>VLOOKUP($A140,'Data shares'!$C:$FA,125)</f>
        <v>0.76</v>
      </c>
      <c r="G140" s="143">
        <f>VLOOKUP($A140,'Data shares'!$C:$FA,127)*100</f>
        <v>23.68</v>
      </c>
      <c r="H140" s="103">
        <f>VLOOKUP($A140,'OI(Volume)'!$A$7:$O$427,8)</f>
        <v>4336600</v>
      </c>
      <c r="I140" s="103">
        <f>VLOOKUP($A140,'OI(Volume)'!$A$7:$O$427,9)</f>
        <v>52400</v>
      </c>
      <c r="J140" s="103">
        <f>VLOOKUP($A140,'OI(Volume)'!$A$7:$O$427,11)</f>
        <v>4805650</v>
      </c>
      <c r="K140" s="103">
        <f>VLOOKUP($A140,'OI(Volume)'!$A$7:$O$427,12)</f>
        <v>-57150</v>
      </c>
      <c r="L140" s="103">
        <f>VLOOKUP($A140,'OI(Value)'!$A$7:$O$306,8,0)</f>
        <v>6167</v>
      </c>
      <c r="M140" s="103">
        <f>VLOOKUP($A140,'OI(Value)'!$A$7:$O$306,9,0)</f>
        <v>75</v>
      </c>
      <c r="N140" s="103">
        <f>VLOOKUP($A140,'OI(Value)'!$A$7:$O$306,11,0)</f>
        <v>6834</v>
      </c>
      <c r="O140" s="103">
        <f>VLOOKUP($A140,'OI(Value)'!$A$7:$O$306,12,0)</f>
        <v>-81</v>
      </c>
      <c r="P140" s="179">
        <f>VLOOKUP(A140,'OI(Value)'!A140:O341,8,0)</f>
        <v>6167</v>
      </c>
      <c r="Q140" s="179">
        <f>VLOOKUP(A140,'OI(Value)'!A140:O341,9,0)</f>
        <v>75</v>
      </c>
      <c r="R140" s="179">
        <f>VLOOKUP(A140,'OI(Value)'!A140:O341,11,0)</f>
        <v>6834</v>
      </c>
      <c r="S140" s="179">
        <f>VLOOKUP(A140,'OI(Value)'!A140:O341,11,0)</f>
        <v>6834</v>
      </c>
    </row>
    <row r="141" spans="1:19" x14ac:dyDescent="0.25">
      <c r="A141" s="105" t="str">
        <f>'Data shares'!C136</f>
        <v>MAXHEALTH</v>
      </c>
      <c r="B141" s="143">
        <f>VLOOKUP($A141,'Data shares'!$C:$FA,118)</f>
        <v>0.36</v>
      </c>
      <c r="C141" s="143">
        <f>VLOOKUP($A141,'Data shares'!$C:$FA,119)</f>
        <v>0.36</v>
      </c>
      <c r="D141" s="143">
        <f>VLOOKUP($A141,'Data shares'!$C:$FA,121)*100</f>
        <v>0</v>
      </c>
      <c r="E141" s="143">
        <f>VLOOKUP($A141,'Data shares'!$C:$FA,124)</f>
        <v>0.4</v>
      </c>
      <c r="F141" s="143">
        <f>VLOOKUP($A141,'Data shares'!$C:$FA,125)</f>
        <v>0.31</v>
      </c>
      <c r="G141" s="143">
        <f>VLOOKUP($A141,'Data shares'!$C:$FA,127)*100</f>
        <v>29.03</v>
      </c>
      <c r="H141" s="103">
        <f>VLOOKUP($A141,'OI(Volume)'!$A$7:$O$427,8)</f>
        <v>4524975</v>
      </c>
      <c r="I141" s="103">
        <f>VLOOKUP($A141,'OI(Volume)'!$A$7:$O$427,9)</f>
        <v>130200</v>
      </c>
      <c r="J141" s="103">
        <f>VLOOKUP($A141,'OI(Volume)'!$A$7:$O$427,11)</f>
        <v>1650075</v>
      </c>
      <c r="K141" s="103">
        <f>VLOOKUP($A141,'OI(Volume)'!$A$7:$O$427,12)</f>
        <v>76650</v>
      </c>
      <c r="L141" s="103">
        <f>VLOOKUP($A141,'OI(Value)'!$A$7:$O$306,8,0)</f>
        <v>556</v>
      </c>
      <c r="M141" s="103">
        <f>VLOOKUP($A141,'OI(Value)'!$A$7:$O$306,9,0)</f>
        <v>16</v>
      </c>
      <c r="N141" s="103">
        <f>VLOOKUP($A141,'OI(Value)'!$A$7:$O$306,11,0)</f>
        <v>203</v>
      </c>
      <c r="O141" s="103">
        <f>VLOOKUP($A141,'OI(Value)'!$A$7:$O$306,12,0)</f>
        <v>9</v>
      </c>
      <c r="P141" s="179">
        <f>VLOOKUP(A141,'OI(Value)'!A141:O342,8,0)</f>
        <v>556</v>
      </c>
      <c r="Q141" s="179">
        <f>VLOOKUP(A141,'OI(Value)'!A141:O342,9,0)</f>
        <v>16</v>
      </c>
      <c r="R141" s="179">
        <f>VLOOKUP(A141,'OI(Value)'!A141:O342,11,0)</f>
        <v>203</v>
      </c>
      <c r="S141" s="179">
        <f>VLOOKUP(A141,'OI(Value)'!A141:O342,11,0)</f>
        <v>203</v>
      </c>
    </row>
    <row r="142" spans="1:19" x14ac:dyDescent="0.25">
      <c r="A142" s="105" t="str">
        <f>'Data shares'!C137</f>
        <v>MAZDOCK</v>
      </c>
      <c r="B142" s="143">
        <f>VLOOKUP($A142,'Data shares'!$C:$FA,118)</f>
        <v>0.46</v>
      </c>
      <c r="C142" s="143">
        <f>VLOOKUP($A142,'Data shares'!$C:$FA,119)</f>
        <v>0.42</v>
      </c>
      <c r="D142" s="143">
        <f>VLOOKUP($A142,'Data shares'!$C:$FA,121)*100</f>
        <v>9.5200000000000014</v>
      </c>
      <c r="E142" s="143">
        <f>VLOOKUP($A142,'Data shares'!$C:$FA,124)</f>
        <v>0.31</v>
      </c>
      <c r="F142" s="143">
        <f>VLOOKUP($A142,'Data shares'!$C:$FA,125)</f>
        <v>0.18</v>
      </c>
      <c r="G142" s="143">
        <f>VLOOKUP($A142,'Data shares'!$C:$FA,127)*100</f>
        <v>72.22</v>
      </c>
      <c r="H142" s="103">
        <f>VLOOKUP($A142,'OI(Volume)'!$A$7:$O$427,8)</f>
        <v>2069375</v>
      </c>
      <c r="I142" s="103">
        <f>VLOOKUP($A142,'OI(Volume)'!$A$7:$O$427,9)</f>
        <v>-135450</v>
      </c>
      <c r="J142" s="103">
        <f>VLOOKUP($A142,'OI(Volume)'!$A$7:$O$427,11)</f>
        <v>952175</v>
      </c>
      <c r="K142" s="103">
        <f>VLOOKUP($A142,'OI(Volume)'!$A$7:$O$427,12)</f>
        <v>15400</v>
      </c>
      <c r="L142" s="103">
        <f>VLOOKUP($A142,'OI(Value)'!$A$7:$O$306,8,0)</f>
        <v>576</v>
      </c>
      <c r="M142" s="103">
        <f>VLOOKUP($A142,'OI(Value)'!$A$7:$O$306,9,0)</f>
        <v>-38</v>
      </c>
      <c r="N142" s="103">
        <f>VLOOKUP($A142,'OI(Value)'!$A$7:$O$306,11,0)</f>
        <v>265</v>
      </c>
      <c r="O142" s="103">
        <f>VLOOKUP($A142,'OI(Value)'!$A$7:$O$306,12,0)</f>
        <v>4</v>
      </c>
      <c r="P142" s="179">
        <f>VLOOKUP(A142,'OI(Value)'!A142:O343,8,0)</f>
        <v>576</v>
      </c>
      <c r="Q142" s="179">
        <f>VLOOKUP(A142,'OI(Value)'!A142:O343,9,0)</f>
        <v>-38</v>
      </c>
      <c r="R142" s="179">
        <f>VLOOKUP(A142,'OI(Value)'!A142:O343,11,0)</f>
        <v>265</v>
      </c>
      <c r="S142" s="179">
        <f>VLOOKUP(A142,'OI(Value)'!A142:O343,11,0)</f>
        <v>265</v>
      </c>
    </row>
    <row r="143" spans="1:19" x14ac:dyDescent="0.25">
      <c r="A143" s="105" t="str">
        <f>'Data shares'!C138</f>
        <v>MCX</v>
      </c>
      <c r="B143" s="143">
        <f>VLOOKUP($A143,'Data shares'!$C:$FA,118)</f>
        <v>0.66</v>
      </c>
      <c r="C143" s="143">
        <f>VLOOKUP($A143,'Data shares'!$C:$FA,119)</f>
        <v>0.71</v>
      </c>
      <c r="D143" s="143">
        <f>VLOOKUP($A143,'Data shares'!$C:$FA,121)*100</f>
        <v>-7.04</v>
      </c>
      <c r="E143" s="143">
        <f>VLOOKUP($A143,'Data shares'!$C:$FA,124)</f>
        <v>0.77</v>
      </c>
      <c r="F143" s="143">
        <f>VLOOKUP($A143,'Data shares'!$C:$FA,125)</f>
        <v>0.83</v>
      </c>
      <c r="G143" s="143">
        <f>VLOOKUP($A143,'Data shares'!$C:$FA,127)*100</f>
        <v>-7.23</v>
      </c>
      <c r="H143" s="103">
        <f>VLOOKUP($A143,'OI(Volume)'!$A$7:$O$427,8)</f>
        <v>2119250</v>
      </c>
      <c r="I143" s="103">
        <f>VLOOKUP($A143,'OI(Volume)'!$A$7:$O$427,9)</f>
        <v>23625</v>
      </c>
      <c r="J143" s="103">
        <f>VLOOKUP($A143,'OI(Volume)'!$A$7:$O$427,11)</f>
        <v>1399250</v>
      </c>
      <c r="K143" s="103">
        <f>VLOOKUP($A143,'OI(Volume)'!$A$7:$O$427,12)</f>
        <v>-81250</v>
      </c>
      <c r="L143" s="103">
        <f>VLOOKUP($A143,'OI(Value)'!$A$7:$O$306,8,0)</f>
        <v>1748</v>
      </c>
      <c r="M143" s="103">
        <f>VLOOKUP($A143,'OI(Value)'!$A$7:$O$306,9,0)</f>
        <v>19</v>
      </c>
      <c r="N143" s="103">
        <f>VLOOKUP($A143,'OI(Value)'!$A$7:$O$306,11,0)</f>
        <v>1154</v>
      </c>
      <c r="O143" s="103">
        <f>VLOOKUP($A143,'OI(Value)'!$A$7:$O$306,12,0)</f>
        <v>-67</v>
      </c>
      <c r="P143" s="179">
        <f>VLOOKUP(A143,'OI(Value)'!A143:O344,8,0)</f>
        <v>1748</v>
      </c>
      <c r="Q143" s="179">
        <f>VLOOKUP(A143,'OI(Value)'!A143:O344,9,0)</f>
        <v>19</v>
      </c>
      <c r="R143" s="179">
        <f>VLOOKUP(A143,'OI(Value)'!A143:O344,11,0)</f>
        <v>1154</v>
      </c>
      <c r="S143" s="179">
        <f>VLOOKUP(A143,'OI(Value)'!A143:O344,11,0)</f>
        <v>1154</v>
      </c>
    </row>
    <row r="144" spans="1:19" x14ac:dyDescent="0.25">
      <c r="A144" s="105" t="str">
        <f>'Data shares'!C139</f>
        <v>MFSL</v>
      </c>
      <c r="B144" s="143">
        <f>VLOOKUP($A144,'Data shares'!$C:$FA,118)</f>
        <v>0.91</v>
      </c>
      <c r="C144" s="143">
        <f>VLOOKUP($A144,'Data shares'!$C:$FA,119)</f>
        <v>0.88</v>
      </c>
      <c r="D144" s="143">
        <f>VLOOKUP($A144,'Data shares'!$C:$FA,121)*100</f>
        <v>3.4099999999999997</v>
      </c>
      <c r="E144" s="143">
        <f>VLOOKUP($A144,'Data shares'!$C:$FA,124)</f>
        <v>0.55000000000000004</v>
      </c>
      <c r="F144" s="143">
        <f>VLOOKUP($A144,'Data shares'!$C:$FA,125)</f>
        <v>1.1499999999999999</v>
      </c>
      <c r="G144" s="143">
        <f>VLOOKUP($A144,'Data shares'!$C:$FA,127)*100</f>
        <v>-52.17</v>
      </c>
      <c r="H144" s="103">
        <f>VLOOKUP($A144,'OI(Volume)'!$A$7:$O$427,8)</f>
        <v>1512000</v>
      </c>
      <c r="I144" s="103">
        <f>VLOOKUP($A144,'OI(Volume)'!$A$7:$O$427,9)</f>
        <v>-52000</v>
      </c>
      <c r="J144" s="103">
        <f>VLOOKUP($A144,'OI(Volume)'!$A$7:$O$427,11)</f>
        <v>1371200</v>
      </c>
      <c r="K144" s="103">
        <f>VLOOKUP($A144,'OI(Volume)'!$A$7:$O$427,12)</f>
        <v>-4800</v>
      </c>
      <c r="L144" s="103">
        <f>VLOOKUP($A144,'OI(Value)'!$A$7:$O$306,8,0)</f>
        <v>249</v>
      </c>
      <c r="M144" s="103">
        <f>VLOOKUP($A144,'OI(Value)'!$A$7:$O$306,9,0)</f>
        <v>-9</v>
      </c>
      <c r="N144" s="103">
        <f>VLOOKUP($A144,'OI(Value)'!$A$7:$O$306,11,0)</f>
        <v>226</v>
      </c>
      <c r="O144" s="103">
        <f>VLOOKUP($A144,'OI(Value)'!$A$7:$O$306,12,0)</f>
        <v>-1</v>
      </c>
      <c r="P144" s="179">
        <f>VLOOKUP(A144,'OI(Value)'!A144:O345,8,0)</f>
        <v>249</v>
      </c>
      <c r="Q144" s="179">
        <f>VLOOKUP(A144,'OI(Value)'!A144:O345,9,0)</f>
        <v>-9</v>
      </c>
      <c r="R144" s="179">
        <f>VLOOKUP(A144,'OI(Value)'!A144:O345,11,0)</f>
        <v>226</v>
      </c>
      <c r="S144" s="179">
        <f>VLOOKUP(A144,'OI(Value)'!A144:O345,11,0)</f>
        <v>226</v>
      </c>
    </row>
    <row r="145" spans="1:19" x14ac:dyDescent="0.25">
      <c r="A145" s="105" t="str">
        <f>'Data shares'!C140</f>
        <v>MIDCPNIFTY</v>
      </c>
      <c r="B145" s="143">
        <f>VLOOKUP($A145,'Data shares'!$C:$FA,118)</f>
        <v>1.33</v>
      </c>
      <c r="C145" s="143">
        <f>VLOOKUP($A145,'Data shares'!$C:$FA,119)</f>
        <v>1.1200000000000001</v>
      </c>
      <c r="D145" s="143">
        <f>VLOOKUP($A145,'Data shares'!$C:$FA,121)*100</f>
        <v>18.75</v>
      </c>
      <c r="E145" s="143">
        <f>VLOOKUP($A145,'Data shares'!$C:$FA,124)</f>
        <v>1.1299999999999999</v>
      </c>
      <c r="F145" s="143">
        <f>VLOOKUP($A145,'Data shares'!$C:$FA,125)</f>
        <v>0.92</v>
      </c>
      <c r="G145" s="143">
        <f>VLOOKUP($A145,'Data shares'!$C:$FA,127)*100</f>
        <v>22.830000000000002</v>
      </c>
      <c r="H145" s="103">
        <f>VLOOKUP($A145,'OI(Volume)'!$A$7:$O$427,8)</f>
        <v>7932820</v>
      </c>
      <c r="I145" s="103">
        <f>VLOOKUP($A145,'OI(Volume)'!$A$7:$O$427,9)</f>
        <v>488880</v>
      </c>
      <c r="J145" s="103">
        <f>VLOOKUP($A145,'OI(Volume)'!$A$7:$O$427,11)</f>
        <v>10563980</v>
      </c>
      <c r="K145" s="103">
        <f>VLOOKUP($A145,'OI(Volume)'!$A$7:$O$427,12)</f>
        <v>2204300</v>
      </c>
      <c r="L145" s="103">
        <f>VLOOKUP($A145,'OI(Value)'!$A$7:$O$306,8,0)</f>
        <v>10332</v>
      </c>
      <c r="M145" s="103">
        <f>VLOOKUP($A145,'OI(Value)'!$A$7:$O$306,9,0)</f>
        <v>637</v>
      </c>
      <c r="N145" s="103">
        <f>VLOOKUP($A145,'OI(Value)'!$A$7:$O$306,11,0)</f>
        <v>13758</v>
      </c>
      <c r="O145" s="103">
        <f>VLOOKUP($A145,'OI(Value)'!$A$7:$O$306,12,0)</f>
        <v>2871</v>
      </c>
      <c r="P145" s="179">
        <f>VLOOKUP(A145,'OI(Value)'!A145:O346,8,0)</f>
        <v>10332</v>
      </c>
      <c r="Q145" s="179">
        <f>VLOOKUP(A145,'OI(Value)'!A145:O346,9,0)</f>
        <v>637</v>
      </c>
      <c r="R145" s="179">
        <f>VLOOKUP(A145,'OI(Value)'!A145:O346,11,0)</f>
        <v>13758</v>
      </c>
      <c r="S145" s="179">
        <f>VLOOKUP(A145,'OI(Value)'!A145:O346,11,0)</f>
        <v>13758</v>
      </c>
    </row>
    <row r="146" spans="1:19" x14ac:dyDescent="0.25">
      <c r="A146" s="105" t="str">
        <f>'Data shares'!C141</f>
        <v>MOTHERSON</v>
      </c>
      <c r="B146" s="143">
        <f>VLOOKUP($A146,'Data shares'!$C:$FA,118)</f>
        <v>0.73</v>
      </c>
      <c r="C146" s="143">
        <f>VLOOKUP($A146,'Data shares'!$C:$FA,119)</f>
        <v>0.87</v>
      </c>
      <c r="D146" s="143">
        <f>VLOOKUP($A146,'Data shares'!$C:$FA,121)*100</f>
        <v>-16.09</v>
      </c>
      <c r="E146" s="143">
        <f>VLOOKUP($A146,'Data shares'!$C:$FA,124)</f>
        <v>0.53</v>
      </c>
      <c r="F146" s="143">
        <f>VLOOKUP($A146,'Data shares'!$C:$FA,125)</f>
        <v>0.33</v>
      </c>
      <c r="G146" s="143">
        <f>VLOOKUP($A146,'Data shares'!$C:$FA,127)*100</f>
        <v>60.61</v>
      </c>
      <c r="H146" s="103">
        <f>VLOOKUP($A146,'OI(Volume)'!$A$7:$O$427,8)</f>
        <v>48800250</v>
      </c>
      <c r="I146" s="103">
        <f>VLOOKUP($A146,'OI(Volume)'!$A$7:$O$427,9)</f>
        <v>3929850</v>
      </c>
      <c r="J146" s="103">
        <f>VLOOKUP($A146,'OI(Volume)'!$A$7:$O$427,11)</f>
        <v>35866800</v>
      </c>
      <c r="K146" s="103">
        <f>VLOOKUP($A146,'OI(Volume)'!$A$7:$O$427,12)</f>
        <v>-3259500</v>
      </c>
      <c r="L146" s="103">
        <f>VLOOKUP($A146,'OI(Value)'!$A$7:$O$306,8,0)</f>
        <v>478</v>
      </c>
      <c r="M146" s="103">
        <f>VLOOKUP($A146,'OI(Value)'!$A$7:$O$306,9,0)</f>
        <v>39</v>
      </c>
      <c r="N146" s="103">
        <f>VLOOKUP($A146,'OI(Value)'!$A$7:$O$306,11,0)</f>
        <v>351</v>
      </c>
      <c r="O146" s="103">
        <f>VLOOKUP($A146,'OI(Value)'!$A$7:$O$306,12,0)</f>
        <v>-32</v>
      </c>
      <c r="P146" s="179">
        <f>VLOOKUP(A146,'OI(Value)'!A146:O347,8,0)</f>
        <v>478</v>
      </c>
      <c r="Q146" s="179">
        <f>VLOOKUP(A146,'OI(Value)'!A146:O347,9,0)</f>
        <v>39</v>
      </c>
      <c r="R146" s="179">
        <f>VLOOKUP(A146,'OI(Value)'!A146:O347,11,0)</f>
        <v>351</v>
      </c>
      <c r="S146" s="179">
        <f>VLOOKUP(A146,'OI(Value)'!A146:O347,11,0)</f>
        <v>351</v>
      </c>
    </row>
    <row r="147" spans="1:19" x14ac:dyDescent="0.25">
      <c r="A147" s="105" t="str">
        <f>'Data shares'!C142</f>
        <v>MPHASIS</v>
      </c>
      <c r="B147" s="143">
        <f>VLOOKUP($A147,'Data shares'!$C:$FA,118)</f>
        <v>0.74</v>
      </c>
      <c r="C147" s="143">
        <f>VLOOKUP($A147,'Data shares'!$C:$FA,119)</f>
        <v>0.54</v>
      </c>
      <c r="D147" s="143">
        <f>VLOOKUP($A147,'Data shares'!$C:$FA,121)*100</f>
        <v>37.04</v>
      </c>
      <c r="E147" s="143">
        <f>VLOOKUP($A147,'Data shares'!$C:$FA,124)</f>
        <v>0.35</v>
      </c>
      <c r="F147" s="143">
        <f>VLOOKUP($A147,'Data shares'!$C:$FA,125)</f>
        <v>0.27</v>
      </c>
      <c r="G147" s="143">
        <f>VLOOKUP($A147,'Data shares'!$C:$FA,127)*100</f>
        <v>29.630000000000003</v>
      </c>
      <c r="H147" s="103">
        <f>VLOOKUP($A147,'OI(Volume)'!$A$7:$O$427,8)</f>
        <v>833525</v>
      </c>
      <c r="I147" s="103">
        <f>VLOOKUP($A147,'OI(Volume)'!$A$7:$O$427,9)</f>
        <v>8800</v>
      </c>
      <c r="J147" s="103">
        <f>VLOOKUP($A147,'OI(Volume)'!$A$7:$O$427,11)</f>
        <v>619850</v>
      </c>
      <c r="K147" s="103">
        <f>VLOOKUP($A147,'OI(Volume)'!$A$7:$O$427,12)</f>
        <v>172150</v>
      </c>
      <c r="L147" s="103">
        <f>VLOOKUP($A147,'OI(Value)'!$A$7:$O$306,8,0)</f>
        <v>237</v>
      </c>
      <c r="M147" s="103">
        <f>VLOOKUP($A147,'OI(Value)'!$A$7:$O$306,9,0)</f>
        <v>2</v>
      </c>
      <c r="N147" s="103">
        <f>VLOOKUP($A147,'OI(Value)'!$A$7:$O$306,11,0)</f>
        <v>176</v>
      </c>
      <c r="O147" s="103">
        <f>VLOOKUP($A147,'OI(Value)'!$A$7:$O$306,12,0)</f>
        <v>49</v>
      </c>
      <c r="P147" s="179">
        <f>VLOOKUP(A147,'OI(Value)'!A147:O348,8,0)</f>
        <v>237</v>
      </c>
      <c r="Q147" s="179">
        <f>VLOOKUP(A147,'OI(Value)'!A147:O348,9,0)</f>
        <v>2</v>
      </c>
      <c r="R147" s="179">
        <f>VLOOKUP(A147,'OI(Value)'!A147:O348,11,0)</f>
        <v>176</v>
      </c>
      <c r="S147" s="179">
        <f>VLOOKUP(A147,'OI(Value)'!A147:O348,11,0)</f>
        <v>176</v>
      </c>
    </row>
    <row r="148" spans="1:19" x14ac:dyDescent="0.25">
      <c r="A148" s="105" t="str">
        <f>'Data shares'!C143</f>
        <v>MUTHOOTFIN</v>
      </c>
      <c r="B148" s="143">
        <f>VLOOKUP($A148,'Data shares'!$C:$FA,118)</f>
        <v>0.57999999999999996</v>
      </c>
      <c r="C148" s="143">
        <f>VLOOKUP($A148,'Data shares'!$C:$FA,119)</f>
        <v>0.65</v>
      </c>
      <c r="D148" s="143">
        <f>VLOOKUP($A148,'Data shares'!$C:$FA,121)*100</f>
        <v>-10.77</v>
      </c>
      <c r="E148" s="143">
        <f>VLOOKUP($A148,'Data shares'!$C:$FA,124)</f>
        <v>1</v>
      </c>
      <c r="F148" s="143">
        <f>VLOOKUP($A148,'Data shares'!$C:$FA,125)</f>
        <v>0.69</v>
      </c>
      <c r="G148" s="143">
        <f>VLOOKUP($A148,'Data shares'!$C:$FA,127)*100</f>
        <v>44.93</v>
      </c>
      <c r="H148" s="103">
        <f>VLOOKUP($A148,'OI(Volume)'!$A$7:$O$427,8)</f>
        <v>5712300</v>
      </c>
      <c r="I148" s="103">
        <f>VLOOKUP($A148,'OI(Volume)'!$A$7:$O$427,9)</f>
        <v>627550</v>
      </c>
      <c r="J148" s="103">
        <f>VLOOKUP($A148,'OI(Volume)'!$A$7:$O$427,11)</f>
        <v>3295050</v>
      </c>
      <c r="K148" s="103">
        <f>VLOOKUP($A148,'OI(Volume)'!$A$7:$O$427,12)</f>
        <v>2750</v>
      </c>
      <c r="L148" s="103">
        <f>VLOOKUP($A148,'OI(Value)'!$A$7:$O$306,8,0)</f>
        <v>1535</v>
      </c>
      <c r="M148" s="103">
        <f>VLOOKUP($A148,'OI(Value)'!$A$7:$O$306,9,0)</f>
        <v>169</v>
      </c>
      <c r="N148" s="103">
        <f>VLOOKUP($A148,'OI(Value)'!$A$7:$O$306,11,0)</f>
        <v>886</v>
      </c>
      <c r="O148" s="103">
        <f>VLOOKUP($A148,'OI(Value)'!$A$7:$O$306,12,0)</f>
        <v>1</v>
      </c>
      <c r="P148" s="179">
        <f>VLOOKUP(A148,'OI(Value)'!A148:O349,8,0)</f>
        <v>1535</v>
      </c>
      <c r="Q148" s="179">
        <f>VLOOKUP(A148,'OI(Value)'!A148:O349,9,0)</f>
        <v>169</v>
      </c>
      <c r="R148" s="179">
        <f>VLOOKUP(A148,'OI(Value)'!A148:O349,11,0)</f>
        <v>886</v>
      </c>
      <c r="S148" s="179">
        <f>VLOOKUP(A148,'OI(Value)'!A148:O349,11,0)</f>
        <v>886</v>
      </c>
    </row>
    <row r="149" spans="1:19" x14ac:dyDescent="0.25">
      <c r="A149" s="105" t="str">
        <f>'Data shares'!C144</f>
        <v>NATIONALUM</v>
      </c>
      <c r="B149" s="143">
        <f>VLOOKUP($A149,'Data shares'!$C:$FA,118)</f>
        <v>0.77</v>
      </c>
      <c r="C149" s="143">
        <f>VLOOKUP($A149,'Data shares'!$C:$FA,119)</f>
        <v>0.77</v>
      </c>
      <c r="D149" s="143">
        <f>VLOOKUP($A149,'Data shares'!$C:$FA,121)*100</f>
        <v>0</v>
      </c>
      <c r="E149" s="143">
        <f>VLOOKUP($A149,'Data shares'!$C:$FA,124)</f>
        <v>0.52</v>
      </c>
      <c r="F149" s="143">
        <f>VLOOKUP($A149,'Data shares'!$C:$FA,125)</f>
        <v>0.73</v>
      </c>
      <c r="G149" s="143">
        <f>VLOOKUP($A149,'Data shares'!$C:$FA,127)*100</f>
        <v>-28.77</v>
      </c>
      <c r="H149" s="103">
        <f>VLOOKUP($A149,'OI(Volume)'!$A$7:$O$427,8)</f>
        <v>24495000</v>
      </c>
      <c r="I149" s="103">
        <f>VLOOKUP($A149,'OI(Volume)'!$A$7:$O$427,9)</f>
        <v>956250</v>
      </c>
      <c r="J149" s="103">
        <f>VLOOKUP($A149,'OI(Volume)'!$A$7:$O$427,11)</f>
        <v>18896250</v>
      </c>
      <c r="K149" s="103">
        <f>VLOOKUP($A149,'OI(Volume)'!$A$7:$O$427,12)</f>
        <v>761250</v>
      </c>
      <c r="L149" s="103">
        <f>VLOOKUP($A149,'OI(Value)'!$A$7:$O$306,8,0)</f>
        <v>471</v>
      </c>
      <c r="M149" s="103">
        <f>VLOOKUP($A149,'OI(Value)'!$A$7:$O$306,9,0)</f>
        <v>18</v>
      </c>
      <c r="N149" s="103">
        <f>VLOOKUP($A149,'OI(Value)'!$A$7:$O$306,11,0)</f>
        <v>363</v>
      </c>
      <c r="O149" s="103">
        <f>VLOOKUP($A149,'OI(Value)'!$A$7:$O$306,12,0)</f>
        <v>15</v>
      </c>
      <c r="P149" s="179">
        <f>VLOOKUP(A149,'OI(Value)'!A149:O350,8,0)</f>
        <v>471</v>
      </c>
      <c r="Q149" s="179">
        <f>VLOOKUP(A149,'OI(Value)'!A149:O350,9,0)</f>
        <v>18</v>
      </c>
      <c r="R149" s="179">
        <f>VLOOKUP(A149,'OI(Value)'!A149:O350,11,0)</f>
        <v>363</v>
      </c>
      <c r="S149" s="179">
        <f>VLOOKUP(A149,'OI(Value)'!A149:O350,11,0)</f>
        <v>363</v>
      </c>
    </row>
    <row r="150" spans="1:19" x14ac:dyDescent="0.25">
      <c r="A150" s="105" t="str">
        <f>'Data shares'!C145</f>
        <v>NAUKRI</v>
      </c>
      <c r="B150" s="143">
        <f>VLOOKUP($A150,'Data shares'!$C:$FA,118)</f>
        <v>0.77</v>
      </c>
      <c r="C150" s="143">
        <f>VLOOKUP($A150,'Data shares'!$C:$FA,119)</f>
        <v>0.75</v>
      </c>
      <c r="D150" s="143">
        <f>VLOOKUP($A150,'Data shares'!$C:$FA,121)*100</f>
        <v>2.67</v>
      </c>
      <c r="E150" s="143">
        <f>VLOOKUP($A150,'Data shares'!$C:$FA,124)</f>
        <v>0.75</v>
      </c>
      <c r="F150" s="143">
        <f>VLOOKUP($A150,'Data shares'!$C:$FA,125)</f>
        <v>0.59</v>
      </c>
      <c r="G150" s="143">
        <f>VLOOKUP($A150,'Data shares'!$C:$FA,127)*100</f>
        <v>27.12</v>
      </c>
      <c r="H150" s="103">
        <f>VLOOKUP($A150,'OI(Volume)'!$A$7:$O$427,8)</f>
        <v>1726500</v>
      </c>
      <c r="I150" s="103">
        <f>VLOOKUP($A150,'OI(Volume)'!$A$7:$O$427,9)</f>
        <v>-63000</v>
      </c>
      <c r="J150" s="103">
        <f>VLOOKUP($A150,'OI(Volume)'!$A$7:$O$427,11)</f>
        <v>1328250</v>
      </c>
      <c r="K150" s="103">
        <f>VLOOKUP($A150,'OI(Volume)'!$A$7:$O$427,12)</f>
        <v>-5625</v>
      </c>
      <c r="L150" s="103">
        <f>VLOOKUP($A150,'OI(Value)'!$A$7:$O$306,8,0)</f>
        <v>242</v>
      </c>
      <c r="M150" s="103">
        <f>VLOOKUP($A150,'OI(Value)'!$A$7:$O$306,9,0)</f>
        <v>-9</v>
      </c>
      <c r="N150" s="103">
        <f>VLOOKUP($A150,'OI(Value)'!$A$7:$O$306,11,0)</f>
        <v>186</v>
      </c>
      <c r="O150" s="103">
        <f>VLOOKUP($A150,'OI(Value)'!$A$7:$O$306,12,0)</f>
        <v>-1</v>
      </c>
      <c r="P150" s="179">
        <f>VLOOKUP(A150,'OI(Value)'!A150:O351,8,0)</f>
        <v>242</v>
      </c>
      <c r="Q150" s="179">
        <f>VLOOKUP(A150,'OI(Value)'!A150:O351,9,0)</f>
        <v>-9</v>
      </c>
      <c r="R150" s="179">
        <f>VLOOKUP(A150,'OI(Value)'!A150:O351,11,0)</f>
        <v>186</v>
      </c>
      <c r="S150" s="179">
        <f>VLOOKUP(A150,'OI(Value)'!A150:O351,11,0)</f>
        <v>186</v>
      </c>
    </row>
    <row r="151" spans="1:19" x14ac:dyDescent="0.25">
      <c r="A151" s="105" t="str">
        <f>'Data shares'!C146</f>
        <v>NBCC</v>
      </c>
      <c r="B151" s="143">
        <f>VLOOKUP($A151,'Data shares'!$C:$FA,118)</f>
        <v>0.48</v>
      </c>
      <c r="C151" s="143">
        <f>VLOOKUP($A151,'Data shares'!$C:$FA,119)</f>
        <v>0.5</v>
      </c>
      <c r="D151" s="143">
        <f>VLOOKUP($A151,'Data shares'!$C:$FA,121)*100</f>
        <v>-4</v>
      </c>
      <c r="E151" s="143">
        <f>VLOOKUP($A151,'Data shares'!$C:$FA,124)</f>
        <v>0.41</v>
      </c>
      <c r="F151" s="143">
        <f>VLOOKUP($A151,'Data shares'!$C:$FA,125)</f>
        <v>0.41</v>
      </c>
      <c r="G151" s="143">
        <f>VLOOKUP($A151,'Data shares'!$C:$FA,127)*100</f>
        <v>0</v>
      </c>
      <c r="H151" s="103">
        <f>VLOOKUP($A151,'OI(Volume)'!$A$7:$O$427,8)</f>
        <v>16412500</v>
      </c>
      <c r="I151" s="103">
        <f>VLOOKUP($A151,'OI(Volume)'!$A$7:$O$427,9)</f>
        <v>1215500</v>
      </c>
      <c r="J151" s="103">
        <f>VLOOKUP($A151,'OI(Volume)'!$A$7:$O$427,11)</f>
        <v>7878000</v>
      </c>
      <c r="K151" s="103">
        <f>VLOOKUP($A151,'OI(Volume)'!$A$7:$O$427,12)</f>
        <v>338000</v>
      </c>
      <c r="L151" s="103">
        <f>VLOOKUP($A151,'OI(Value)'!$A$7:$O$306,8,0)</f>
        <v>173</v>
      </c>
      <c r="M151" s="103">
        <f>VLOOKUP($A151,'OI(Value)'!$A$7:$O$306,9,0)</f>
        <v>13</v>
      </c>
      <c r="N151" s="103">
        <f>VLOOKUP($A151,'OI(Value)'!$A$7:$O$306,11,0)</f>
        <v>83</v>
      </c>
      <c r="O151" s="103">
        <f>VLOOKUP($A151,'OI(Value)'!$A$7:$O$306,12,0)</f>
        <v>4</v>
      </c>
      <c r="P151" s="179">
        <f>VLOOKUP(A151,'OI(Value)'!A151:O352,8,0)</f>
        <v>173</v>
      </c>
      <c r="Q151" s="179">
        <f>VLOOKUP(A151,'OI(Value)'!A151:O352,9,0)</f>
        <v>13</v>
      </c>
      <c r="R151" s="179">
        <f>VLOOKUP(A151,'OI(Value)'!A151:O352,11,0)</f>
        <v>83</v>
      </c>
      <c r="S151" s="179">
        <f>VLOOKUP(A151,'OI(Value)'!A151:O352,11,0)</f>
        <v>83</v>
      </c>
    </row>
    <row r="152" spans="1:19" x14ac:dyDescent="0.25">
      <c r="A152" s="105" t="str">
        <f>'Data shares'!C147</f>
        <v>NCC</v>
      </c>
      <c r="B152" s="143">
        <f>VLOOKUP($A152,'Data shares'!$C:$FA,118)</f>
        <v>0.73</v>
      </c>
      <c r="C152" s="143">
        <f>VLOOKUP($A152,'Data shares'!$C:$FA,119)</f>
        <v>0.78</v>
      </c>
      <c r="D152" s="143">
        <f>VLOOKUP($A152,'Data shares'!$C:$FA,121)*100</f>
        <v>-6.41</v>
      </c>
      <c r="E152" s="143">
        <f>VLOOKUP($A152,'Data shares'!$C:$FA,124)</f>
        <v>0.4</v>
      </c>
      <c r="F152" s="143">
        <f>VLOOKUP($A152,'Data shares'!$C:$FA,125)</f>
        <v>0.59</v>
      </c>
      <c r="G152" s="143">
        <f>VLOOKUP($A152,'Data shares'!$C:$FA,127)*100</f>
        <v>-32.200000000000003</v>
      </c>
      <c r="H152" s="103">
        <f>VLOOKUP($A152,'OI(Volume)'!$A$7:$O$427,8)</f>
        <v>7584300</v>
      </c>
      <c r="I152" s="103">
        <f>VLOOKUP($A152,'OI(Volume)'!$A$7:$O$427,9)</f>
        <v>340200</v>
      </c>
      <c r="J152" s="103">
        <f>VLOOKUP($A152,'OI(Volume)'!$A$7:$O$427,11)</f>
        <v>5556600</v>
      </c>
      <c r="K152" s="103">
        <f>VLOOKUP($A152,'OI(Volume)'!$A$7:$O$427,12)</f>
        <v>-86400</v>
      </c>
      <c r="L152" s="103">
        <f>VLOOKUP($A152,'OI(Value)'!$A$7:$O$306,8,0)</f>
        <v>168</v>
      </c>
      <c r="M152" s="103">
        <f>VLOOKUP($A152,'OI(Value)'!$A$7:$O$306,9,0)</f>
        <v>8</v>
      </c>
      <c r="N152" s="103">
        <f>VLOOKUP($A152,'OI(Value)'!$A$7:$O$306,11,0)</f>
        <v>123</v>
      </c>
      <c r="O152" s="103">
        <f>VLOOKUP($A152,'OI(Value)'!$A$7:$O$306,12,0)</f>
        <v>-2</v>
      </c>
      <c r="P152" s="179">
        <f>VLOOKUP(A152,'OI(Value)'!A152:O353,8,0)</f>
        <v>168</v>
      </c>
      <c r="Q152" s="179">
        <f>VLOOKUP(A152,'OI(Value)'!A152:O353,9,0)</f>
        <v>8</v>
      </c>
      <c r="R152" s="179">
        <f>VLOOKUP(A152,'OI(Value)'!A152:O353,11,0)</f>
        <v>123</v>
      </c>
      <c r="S152" s="179">
        <f>VLOOKUP(A152,'OI(Value)'!A152:O353,11,0)</f>
        <v>123</v>
      </c>
    </row>
    <row r="153" spans="1:19" x14ac:dyDescent="0.25">
      <c r="A153" s="105" t="str">
        <f>'Data shares'!C148</f>
        <v>NESTLEIND</v>
      </c>
      <c r="B153" s="143">
        <f>VLOOKUP($A153,'Data shares'!$C:$FA,118)</f>
        <v>0.86</v>
      </c>
      <c r="C153" s="143">
        <f>VLOOKUP($A153,'Data shares'!$C:$FA,119)</f>
        <v>0.77</v>
      </c>
      <c r="D153" s="143">
        <f>VLOOKUP($A153,'Data shares'!$C:$FA,121)*100</f>
        <v>11.690000000000001</v>
      </c>
      <c r="E153" s="143">
        <f>VLOOKUP($A153,'Data shares'!$C:$FA,124)</f>
        <v>0.34</v>
      </c>
      <c r="F153" s="143">
        <f>VLOOKUP($A153,'Data shares'!$C:$FA,125)</f>
        <v>0.59</v>
      </c>
      <c r="G153" s="143">
        <f>VLOOKUP($A153,'Data shares'!$C:$FA,127)*100</f>
        <v>-42.370000000000005</v>
      </c>
      <c r="H153" s="103">
        <f>VLOOKUP($A153,'OI(Volume)'!$A$7:$O$427,8)</f>
        <v>4367500</v>
      </c>
      <c r="I153" s="103">
        <f>VLOOKUP($A153,'OI(Volume)'!$A$7:$O$427,9)</f>
        <v>193000</v>
      </c>
      <c r="J153" s="103">
        <f>VLOOKUP($A153,'OI(Volume)'!$A$7:$O$427,11)</f>
        <v>3735000</v>
      </c>
      <c r="K153" s="103">
        <f>VLOOKUP($A153,'OI(Volume)'!$A$7:$O$427,12)</f>
        <v>525000</v>
      </c>
      <c r="L153" s="103">
        <f>VLOOKUP($A153,'OI(Value)'!$A$7:$O$306,8,0)</f>
        <v>520</v>
      </c>
      <c r="M153" s="103">
        <f>VLOOKUP($A153,'OI(Value)'!$A$7:$O$306,9,0)</f>
        <v>23</v>
      </c>
      <c r="N153" s="103">
        <f>VLOOKUP($A153,'OI(Value)'!$A$7:$O$306,11,0)</f>
        <v>445</v>
      </c>
      <c r="O153" s="103">
        <f>VLOOKUP($A153,'OI(Value)'!$A$7:$O$306,12,0)</f>
        <v>63</v>
      </c>
      <c r="P153" s="179">
        <f>VLOOKUP(A153,'OI(Value)'!A153:O354,8,0)</f>
        <v>520</v>
      </c>
      <c r="Q153" s="179">
        <f>VLOOKUP(A153,'OI(Value)'!A153:O354,9,0)</f>
        <v>23</v>
      </c>
      <c r="R153" s="179">
        <f>VLOOKUP(A153,'OI(Value)'!A153:O354,11,0)</f>
        <v>445</v>
      </c>
      <c r="S153" s="179">
        <f>VLOOKUP(A153,'OI(Value)'!A153:O354,11,0)</f>
        <v>445</v>
      </c>
    </row>
    <row r="154" spans="1:19" x14ac:dyDescent="0.25">
      <c r="A154" s="105" t="str">
        <f>'Data shares'!C149</f>
        <v>NHPC</v>
      </c>
      <c r="B154" s="143">
        <f>VLOOKUP($A154,'Data shares'!$C:$FA,118)</f>
        <v>0.62</v>
      </c>
      <c r="C154" s="143">
        <f>VLOOKUP($A154,'Data shares'!$C:$FA,119)</f>
        <v>0.56999999999999995</v>
      </c>
      <c r="D154" s="143">
        <f>VLOOKUP($A154,'Data shares'!$C:$FA,121)*100</f>
        <v>8.77</v>
      </c>
      <c r="E154" s="143">
        <f>VLOOKUP($A154,'Data shares'!$C:$FA,124)</f>
        <v>0.52</v>
      </c>
      <c r="F154" s="143">
        <f>VLOOKUP($A154,'Data shares'!$C:$FA,125)</f>
        <v>0.5</v>
      </c>
      <c r="G154" s="143">
        <f>VLOOKUP($A154,'Data shares'!$C:$FA,127)*100</f>
        <v>4</v>
      </c>
      <c r="H154" s="103">
        <f>VLOOKUP($A154,'OI(Volume)'!$A$7:$O$427,8)</f>
        <v>16934400</v>
      </c>
      <c r="I154" s="103">
        <f>VLOOKUP($A154,'OI(Volume)'!$A$7:$O$427,9)</f>
        <v>-1030400</v>
      </c>
      <c r="J154" s="103">
        <f>VLOOKUP($A154,'OI(Volume)'!$A$7:$O$427,11)</f>
        <v>10534400</v>
      </c>
      <c r="K154" s="103">
        <f>VLOOKUP($A154,'OI(Volume)'!$A$7:$O$427,12)</f>
        <v>236800</v>
      </c>
      <c r="L154" s="103">
        <f>VLOOKUP($A154,'OI(Value)'!$A$7:$O$306,8,0)</f>
        <v>141</v>
      </c>
      <c r="M154" s="103">
        <f>VLOOKUP($A154,'OI(Value)'!$A$7:$O$306,9,0)</f>
        <v>-9</v>
      </c>
      <c r="N154" s="103">
        <f>VLOOKUP($A154,'OI(Value)'!$A$7:$O$306,11,0)</f>
        <v>88</v>
      </c>
      <c r="O154" s="103">
        <f>VLOOKUP($A154,'OI(Value)'!$A$7:$O$306,12,0)</f>
        <v>2</v>
      </c>
      <c r="P154" s="179">
        <f>VLOOKUP(A154,'OI(Value)'!A154:O355,8,0)</f>
        <v>141</v>
      </c>
      <c r="Q154" s="179">
        <f>VLOOKUP(A154,'OI(Value)'!A154:O355,9,0)</f>
        <v>-9</v>
      </c>
      <c r="R154" s="179">
        <f>VLOOKUP(A154,'OI(Value)'!A154:O355,11,0)</f>
        <v>88</v>
      </c>
      <c r="S154" s="179">
        <f>VLOOKUP(A154,'OI(Value)'!A154:O355,11,0)</f>
        <v>88</v>
      </c>
    </row>
    <row r="155" spans="1:19" x14ac:dyDescent="0.25">
      <c r="A155" s="105" t="str">
        <f>'Data shares'!C150</f>
        <v>NIFTY</v>
      </c>
      <c r="B155" s="143">
        <f>VLOOKUP($A155,'Data shares'!$C:$FA,118)</f>
        <v>1.28</v>
      </c>
      <c r="C155" s="143">
        <f>VLOOKUP($A155,'Data shares'!$C:$FA,119)</f>
        <v>1.1399999999999999</v>
      </c>
      <c r="D155" s="143">
        <f>VLOOKUP($A155,'Data shares'!$C:$FA,121)*100</f>
        <v>12.280000000000001</v>
      </c>
      <c r="E155" s="143">
        <f>VLOOKUP($A155,'Data shares'!$C:$FA,124)</f>
        <v>0.82</v>
      </c>
      <c r="F155" s="143">
        <f>VLOOKUP($A155,'Data shares'!$C:$FA,125)</f>
        <v>0.82</v>
      </c>
      <c r="G155" s="143">
        <f>VLOOKUP($A155,'Data shares'!$C:$FA,127)*100</f>
        <v>0</v>
      </c>
      <c r="H155" s="103">
        <f>VLOOKUP($A155,'OI(Volume)'!$A$7:$O$427,8)</f>
        <v>237964100</v>
      </c>
      <c r="I155" s="103">
        <f>VLOOKUP($A155,'OI(Volume)'!$A$7:$O$427,9)</f>
        <v>20596000</v>
      </c>
      <c r="J155" s="103">
        <f>VLOOKUP($A155,'OI(Volume)'!$A$7:$O$427,11)</f>
        <v>303636425</v>
      </c>
      <c r="K155" s="103">
        <f>VLOOKUP($A155,'OI(Volume)'!$A$7:$O$427,12)</f>
        <v>55654875</v>
      </c>
      <c r="L155" s="103">
        <f>VLOOKUP($A155,'OI(Value)'!$A$7:$O$306,8,0)</f>
        <v>596892</v>
      </c>
      <c r="M155" s="103">
        <f>VLOOKUP($A155,'OI(Value)'!$A$7:$O$306,9,0)</f>
        <v>51662</v>
      </c>
      <c r="N155" s="103">
        <f>VLOOKUP($A155,'OI(Value)'!$A$7:$O$306,11,0)</f>
        <v>761620</v>
      </c>
      <c r="O155" s="103">
        <f>VLOOKUP($A155,'OI(Value)'!$A$7:$O$306,12,0)</f>
        <v>139601</v>
      </c>
      <c r="P155" s="179">
        <f>VLOOKUP(A155,'OI(Value)'!A155:O356,8,0)</f>
        <v>596892</v>
      </c>
      <c r="Q155" s="179">
        <f>VLOOKUP(A155,'OI(Value)'!A155:O356,9,0)</f>
        <v>51662</v>
      </c>
      <c r="R155" s="179">
        <f>VLOOKUP(A155,'OI(Value)'!A155:O356,11,0)</f>
        <v>761620</v>
      </c>
      <c r="S155" s="179">
        <f>VLOOKUP(A155,'OI(Value)'!A155:O356,11,0)</f>
        <v>761620</v>
      </c>
    </row>
    <row r="156" spans="1:19" x14ac:dyDescent="0.25">
      <c r="A156" s="105" t="str">
        <f>'Data shares'!C151</f>
        <v>NIFTYNXT50</v>
      </c>
      <c r="B156" s="143">
        <f>VLOOKUP($A156,'Data shares'!$C:$FA,118)</f>
        <v>0.54</v>
      </c>
      <c r="C156" s="143">
        <f>VLOOKUP($A156,'Data shares'!$C:$FA,119)</f>
        <v>0.6</v>
      </c>
      <c r="D156" s="143">
        <f>VLOOKUP($A156,'Data shares'!$C:$FA,121)*100</f>
        <v>-10</v>
      </c>
      <c r="E156" s="143">
        <f>VLOOKUP($A156,'Data shares'!$C:$FA,124)</f>
        <v>0.43</v>
      </c>
      <c r="F156" s="143">
        <f>VLOOKUP($A156,'Data shares'!$C:$FA,125)</f>
        <v>1.06</v>
      </c>
      <c r="G156" s="143">
        <f>VLOOKUP($A156,'Data shares'!$C:$FA,127)*100</f>
        <v>-59.430000000000007</v>
      </c>
      <c r="H156" s="103">
        <f>VLOOKUP($A156,'OI(Volume)'!$A$7:$O$427,8)</f>
        <v>9000</v>
      </c>
      <c r="I156" s="103">
        <f>VLOOKUP($A156,'OI(Volume)'!$A$7:$O$427,9)</f>
        <v>1625</v>
      </c>
      <c r="J156" s="103">
        <f>VLOOKUP($A156,'OI(Volume)'!$A$7:$O$427,11)</f>
        <v>4875</v>
      </c>
      <c r="K156" s="103">
        <f>VLOOKUP($A156,'OI(Volume)'!$A$7:$O$427,12)</f>
        <v>475</v>
      </c>
      <c r="L156" s="103">
        <f>VLOOKUP($A156,'OI(Value)'!$A$7:$O$306,8,0)</f>
        <v>61</v>
      </c>
      <c r="M156" s="103">
        <f>VLOOKUP($A156,'OI(Value)'!$A$7:$O$306,9,0)</f>
        <v>11</v>
      </c>
      <c r="N156" s="103">
        <f>VLOOKUP($A156,'OI(Value)'!$A$7:$O$306,11,0)</f>
        <v>33</v>
      </c>
      <c r="O156" s="103">
        <f>VLOOKUP($A156,'OI(Value)'!$A$7:$O$306,12,0)</f>
        <v>3</v>
      </c>
      <c r="P156" s="179">
        <f>VLOOKUP(A156,'OI(Value)'!A156:O357,8,0)</f>
        <v>61</v>
      </c>
      <c r="Q156" s="179">
        <f>VLOOKUP(A156,'OI(Value)'!A156:O357,9,0)</f>
        <v>11</v>
      </c>
      <c r="R156" s="179">
        <f>VLOOKUP(A156,'OI(Value)'!A156:O357,11,0)</f>
        <v>33</v>
      </c>
      <c r="S156" s="179">
        <f>VLOOKUP(A156,'OI(Value)'!A156:O357,11,0)</f>
        <v>33</v>
      </c>
    </row>
    <row r="157" spans="1:19" x14ac:dyDescent="0.25">
      <c r="A157" s="105" t="str">
        <f>'Data shares'!C152</f>
        <v>NMDC</v>
      </c>
      <c r="B157" s="143">
        <f>VLOOKUP($A157,'Data shares'!$C:$FA,118)</f>
        <v>0.77</v>
      </c>
      <c r="C157" s="143">
        <f>VLOOKUP($A157,'Data shares'!$C:$FA,119)</f>
        <v>0.73</v>
      </c>
      <c r="D157" s="143">
        <f>VLOOKUP($A157,'Data shares'!$C:$FA,121)*100</f>
        <v>5.48</v>
      </c>
      <c r="E157" s="143">
        <f>VLOOKUP($A157,'Data shares'!$C:$FA,124)</f>
        <v>0.39</v>
      </c>
      <c r="F157" s="143">
        <f>VLOOKUP($A157,'Data shares'!$C:$FA,125)</f>
        <v>0.61</v>
      </c>
      <c r="G157" s="143">
        <f>VLOOKUP($A157,'Data shares'!$C:$FA,127)*100</f>
        <v>-36.07</v>
      </c>
      <c r="H157" s="103">
        <f>VLOOKUP($A157,'OI(Volume)'!$A$7:$O$427,8)</f>
        <v>127737000</v>
      </c>
      <c r="I157" s="103">
        <f>VLOOKUP($A157,'OI(Volume)'!$A$7:$O$427,9)</f>
        <v>-3159000</v>
      </c>
      <c r="J157" s="103">
        <f>VLOOKUP($A157,'OI(Volume)'!$A$7:$O$427,11)</f>
        <v>97794000</v>
      </c>
      <c r="K157" s="103">
        <f>VLOOKUP($A157,'OI(Volume)'!$A$7:$O$427,12)</f>
        <v>2403000</v>
      </c>
      <c r="L157" s="103">
        <f>VLOOKUP($A157,'OI(Value)'!$A$7:$O$306,8,0)</f>
        <v>921</v>
      </c>
      <c r="M157" s="103">
        <f>VLOOKUP($A157,'OI(Value)'!$A$7:$O$306,9,0)</f>
        <v>-23</v>
      </c>
      <c r="N157" s="103">
        <f>VLOOKUP($A157,'OI(Value)'!$A$7:$O$306,11,0)</f>
        <v>705</v>
      </c>
      <c r="O157" s="103">
        <f>VLOOKUP($A157,'OI(Value)'!$A$7:$O$306,12,0)</f>
        <v>17</v>
      </c>
      <c r="P157" s="179">
        <f>VLOOKUP(A157,'OI(Value)'!A157:O358,8,0)</f>
        <v>921</v>
      </c>
      <c r="Q157" s="179">
        <f>VLOOKUP(A157,'OI(Value)'!A157:O358,9,0)</f>
        <v>-23</v>
      </c>
      <c r="R157" s="179">
        <f>VLOOKUP(A157,'OI(Value)'!A157:O358,11,0)</f>
        <v>705</v>
      </c>
      <c r="S157" s="179">
        <f>VLOOKUP(A157,'OI(Value)'!A157:O358,11,0)</f>
        <v>705</v>
      </c>
    </row>
    <row r="158" spans="1:19" x14ac:dyDescent="0.25">
      <c r="A158" s="105" t="str">
        <f>'Data shares'!C153</f>
        <v>NTPC</v>
      </c>
      <c r="B158" s="143">
        <f>VLOOKUP($A158,'Data shares'!$C:$FA,118)</f>
        <v>0.51</v>
      </c>
      <c r="C158" s="143">
        <f>VLOOKUP($A158,'Data shares'!$C:$FA,119)</f>
        <v>0.43</v>
      </c>
      <c r="D158" s="143">
        <f>VLOOKUP($A158,'Data shares'!$C:$FA,121)*100</f>
        <v>18.600000000000001</v>
      </c>
      <c r="E158" s="143">
        <f>VLOOKUP($A158,'Data shares'!$C:$FA,124)</f>
        <v>0.31</v>
      </c>
      <c r="F158" s="143">
        <f>VLOOKUP($A158,'Data shares'!$C:$FA,125)</f>
        <v>0.5</v>
      </c>
      <c r="G158" s="143">
        <f>VLOOKUP($A158,'Data shares'!$C:$FA,127)*100</f>
        <v>-38</v>
      </c>
      <c r="H158" s="103">
        <f>VLOOKUP($A158,'OI(Volume)'!$A$7:$O$427,8)</f>
        <v>44614500</v>
      </c>
      <c r="I158" s="103">
        <f>VLOOKUP($A158,'OI(Volume)'!$A$7:$O$427,9)</f>
        <v>2910000</v>
      </c>
      <c r="J158" s="103">
        <f>VLOOKUP($A158,'OI(Volume)'!$A$7:$O$427,11)</f>
        <v>22885500</v>
      </c>
      <c r="K158" s="103">
        <f>VLOOKUP($A158,'OI(Volume)'!$A$7:$O$427,12)</f>
        <v>5038500</v>
      </c>
      <c r="L158" s="103">
        <f>VLOOKUP($A158,'OI(Value)'!$A$7:$O$306,8,0)</f>
        <v>1526</v>
      </c>
      <c r="M158" s="103">
        <f>VLOOKUP($A158,'OI(Value)'!$A$7:$O$306,9,0)</f>
        <v>100</v>
      </c>
      <c r="N158" s="103">
        <f>VLOOKUP($A158,'OI(Value)'!$A$7:$O$306,11,0)</f>
        <v>783</v>
      </c>
      <c r="O158" s="103">
        <f>VLOOKUP($A158,'OI(Value)'!$A$7:$O$306,12,0)</f>
        <v>172</v>
      </c>
      <c r="P158" s="179">
        <f>VLOOKUP(A158,'OI(Value)'!A158:O359,8,0)</f>
        <v>1526</v>
      </c>
      <c r="Q158" s="179">
        <f>VLOOKUP(A158,'OI(Value)'!A158:O359,9,0)</f>
        <v>100</v>
      </c>
      <c r="R158" s="179">
        <f>VLOOKUP(A158,'OI(Value)'!A158:O359,11,0)</f>
        <v>783</v>
      </c>
      <c r="S158" s="179">
        <f>VLOOKUP(A158,'OI(Value)'!A158:O359,11,0)</f>
        <v>783</v>
      </c>
    </row>
    <row r="159" spans="1:19" x14ac:dyDescent="0.25">
      <c r="A159" s="105" t="str">
        <f>'Data shares'!C154</f>
        <v>NUVAMA</v>
      </c>
      <c r="B159" s="143">
        <f>VLOOKUP($A159,'Data shares'!$C:$FA,118)</f>
        <v>0.62</v>
      </c>
      <c r="C159" s="143">
        <f>VLOOKUP($A159,'Data shares'!$C:$FA,119)</f>
        <v>0.48</v>
      </c>
      <c r="D159" s="143">
        <f>VLOOKUP($A159,'Data shares'!$C:$FA,121)*100</f>
        <v>29.17</v>
      </c>
      <c r="E159" s="143">
        <f>VLOOKUP($A159,'Data shares'!$C:$FA,124)</f>
        <v>0.5</v>
      </c>
      <c r="F159" s="143">
        <f>VLOOKUP($A159,'Data shares'!$C:$FA,125)</f>
        <v>0.92</v>
      </c>
      <c r="G159" s="143">
        <f>VLOOKUP($A159,'Data shares'!$C:$FA,127)*100</f>
        <v>-45.65</v>
      </c>
      <c r="H159" s="103">
        <f>VLOOKUP($A159,'OI(Volume)'!$A$7:$O$427,8)</f>
        <v>303300</v>
      </c>
      <c r="I159" s="103">
        <f>VLOOKUP($A159,'OI(Volume)'!$A$7:$O$427,9)</f>
        <v>-110100</v>
      </c>
      <c r="J159" s="103">
        <f>VLOOKUP($A159,'OI(Volume)'!$A$7:$O$427,11)</f>
        <v>188325</v>
      </c>
      <c r="K159" s="103">
        <f>VLOOKUP($A159,'OI(Volume)'!$A$7:$O$427,12)</f>
        <v>-8175</v>
      </c>
      <c r="L159" s="103">
        <f>VLOOKUP($A159,'OI(Value)'!$A$7:$O$306,8,0)</f>
        <v>208</v>
      </c>
      <c r="M159" s="103">
        <f>VLOOKUP($A159,'OI(Value)'!$A$7:$O$306,9,0)</f>
        <v>-75</v>
      </c>
      <c r="N159" s="103">
        <f>VLOOKUP($A159,'OI(Value)'!$A$7:$O$306,11,0)</f>
        <v>129</v>
      </c>
      <c r="O159" s="103">
        <f>VLOOKUP($A159,'OI(Value)'!$A$7:$O$306,12,0)</f>
        <v>-6</v>
      </c>
      <c r="P159" s="179">
        <f>VLOOKUP(A159,'OI(Value)'!A159:O360,8,0)</f>
        <v>208</v>
      </c>
      <c r="Q159" s="179">
        <f>VLOOKUP(A159,'OI(Value)'!A159:O360,9,0)</f>
        <v>-75</v>
      </c>
      <c r="R159" s="179">
        <f>VLOOKUP(A159,'OI(Value)'!A159:O360,11,0)</f>
        <v>129</v>
      </c>
      <c r="S159" s="179">
        <f>VLOOKUP(A159,'OI(Value)'!A159:O360,11,0)</f>
        <v>129</v>
      </c>
    </row>
    <row r="160" spans="1:19" x14ac:dyDescent="0.25">
      <c r="A160" s="105" t="str">
        <f>'Data shares'!C155</f>
        <v>NYKAA</v>
      </c>
      <c r="B160" s="143">
        <f>VLOOKUP($A160,'Data shares'!$C:$FA,118)</f>
        <v>0.8</v>
      </c>
      <c r="C160" s="143">
        <f>VLOOKUP($A160,'Data shares'!$C:$FA,119)</f>
        <v>0.75</v>
      </c>
      <c r="D160" s="143">
        <f>VLOOKUP($A160,'Data shares'!$C:$FA,121)*100</f>
        <v>6.67</v>
      </c>
      <c r="E160" s="143">
        <f>VLOOKUP($A160,'Data shares'!$C:$FA,124)</f>
        <v>0.39</v>
      </c>
      <c r="F160" s="143">
        <f>VLOOKUP($A160,'Data shares'!$C:$FA,125)</f>
        <v>0.31</v>
      </c>
      <c r="G160" s="143">
        <f>VLOOKUP($A160,'Data shares'!$C:$FA,127)*100</f>
        <v>25.81</v>
      </c>
      <c r="H160" s="103">
        <f>VLOOKUP($A160,'OI(Volume)'!$A$7:$O$427,8)</f>
        <v>14340625</v>
      </c>
      <c r="I160" s="103">
        <f>VLOOKUP($A160,'OI(Volume)'!$A$7:$O$427,9)</f>
        <v>-596875</v>
      </c>
      <c r="J160" s="103">
        <f>VLOOKUP($A160,'OI(Volume)'!$A$7:$O$427,11)</f>
        <v>11465625</v>
      </c>
      <c r="K160" s="103">
        <f>VLOOKUP($A160,'OI(Volume)'!$A$7:$O$427,12)</f>
        <v>231250</v>
      </c>
      <c r="L160" s="103">
        <f>VLOOKUP($A160,'OI(Value)'!$A$7:$O$306,8,0)</f>
        <v>322</v>
      </c>
      <c r="M160" s="103">
        <f>VLOOKUP($A160,'OI(Value)'!$A$7:$O$306,9,0)</f>
        <v>-13</v>
      </c>
      <c r="N160" s="103">
        <f>VLOOKUP($A160,'OI(Value)'!$A$7:$O$306,11,0)</f>
        <v>257</v>
      </c>
      <c r="O160" s="103">
        <f>VLOOKUP($A160,'OI(Value)'!$A$7:$O$306,12,0)</f>
        <v>5</v>
      </c>
      <c r="P160" s="179">
        <f>VLOOKUP(A160,'OI(Value)'!A160:O361,8,0)</f>
        <v>322</v>
      </c>
      <c r="Q160" s="179">
        <f>VLOOKUP(A160,'OI(Value)'!A160:O361,9,0)</f>
        <v>-13</v>
      </c>
      <c r="R160" s="179">
        <f>VLOOKUP(A160,'OI(Value)'!A160:O361,11,0)</f>
        <v>257</v>
      </c>
      <c r="S160" s="179">
        <f>VLOOKUP(A160,'OI(Value)'!A160:O361,11,0)</f>
        <v>257</v>
      </c>
    </row>
    <row r="161" spans="1:19" x14ac:dyDescent="0.25">
      <c r="A161" s="105" t="str">
        <f>'Data shares'!C156</f>
        <v>OBEROIRLTY</v>
      </c>
      <c r="B161" s="143">
        <f>VLOOKUP($A161,'Data shares'!$C:$FA,118)</f>
        <v>0.56000000000000005</v>
      </c>
      <c r="C161" s="143">
        <f>VLOOKUP($A161,'Data shares'!$C:$FA,119)</f>
        <v>0.63</v>
      </c>
      <c r="D161" s="143">
        <f>VLOOKUP($A161,'Data shares'!$C:$FA,121)*100</f>
        <v>-11.110000000000001</v>
      </c>
      <c r="E161" s="143">
        <f>VLOOKUP($A161,'Data shares'!$C:$FA,124)</f>
        <v>0.25</v>
      </c>
      <c r="F161" s="143">
        <f>VLOOKUP($A161,'Data shares'!$C:$FA,125)</f>
        <v>0.63</v>
      </c>
      <c r="G161" s="143">
        <f>VLOOKUP($A161,'Data shares'!$C:$FA,127)*100</f>
        <v>-60.319999999999993</v>
      </c>
      <c r="H161" s="103">
        <f>VLOOKUP($A161,'OI(Volume)'!$A$7:$O$427,8)</f>
        <v>1751750</v>
      </c>
      <c r="I161" s="103">
        <f>VLOOKUP($A161,'OI(Volume)'!$A$7:$O$427,9)</f>
        <v>177100</v>
      </c>
      <c r="J161" s="103">
        <f>VLOOKUP($A161,'OI(Volume)'!$A$7:$O$427,11)</f>
        <v>976500</v>
      </c>
      <c r="K161" s="103">
        <f>VLOOKUP($A161,'OI(Volume)'!$A$7:$O$427,12)</f>
        <v>-14000</v>
      </c>
      <c r="L161" s="103">
        <f>VLOOKUP($A161,'OI(Value)'!$A$7:$O$306,8,0)</f>
        <v>291</v>
      </c>
      <c r="M161" s="103">
        <f>VLOOKUP($A161,'OI(Value)'!$A$7:$O$306,9,0)</f>
        <v>29</v>
      </c>
      <c r="N161" s="103">
        <f>VLOOKUP($A161,'OI(Value)'!$A$7:$O$306,11,0)</f>
        <v>162</v>
      </c>
      <c r="O161" s="103">
        <f>VLOOKUP($A161,'OI(Value)'!$A$7:$O$306,12,0)</f>
        <v>-2</v>
      </c>
      <c r="P161" s="179">
        <f>VLOOKUP(A161,'OI(Value)'!A161:O362,8,0)</f>
        <v>291</v>
      </c>
      <c r="Q161" s="179">
        <f>VLOOKUP(A161,'OI(Value)'!A161:O362,9,0)</f>
        <v>29</v>
      </c>
      <c r="R161" s="179">
        <f>VLOOKUP(A161,'OI(Value)'!A161:O362,11,0)</f>
        <v>162</v>
      </c>
      <c r="S161" s="179">
        <f>VLOOKUP(A161,'OI(Value)'!A161:O362,11,0)</f>
        <v>162</v>
      </c>
    </row>
    <row r="162" spans="1:19" x14ac:dyDescent="0.25">
      <c r="A162" s="105" t="str">
        <f>'Data shares'!C157</f>
        <v>OFSS</v>
      </c>
      <c r="B162" s="143">
        <f>VLOOKUP($A162,'Data shares'!$C:$FA,118)</f>
        <v>0.57999999999999996</v>
      </c>
      <c r="C162" s="143">
        <f>VLOOKUP($A162,'Data shares'!$C:$FA,119)</f>
        <v>0.49</v>
      </c>
      <c r="D162" s="143">
        <f>VLOOKUP($A162,'Data shares'!$C:$FA,121)*100</f>
        <v>18.37</v>
      </c>
      <c r="E162" s="143">
        <f>VLOOKUP($A162,'Data shares'!$C:$FA,124)</f>
        <v>0.34</v>
      </c>
      <c r="F162" s="143">
        <f>VLOOKUP($A162,'Data shares'!$C:$FA,125)</f>
        <v>0.23</v>
      </c>
      <c r="G162" s="143">
        <f>VLOOKUP($A162,'Data shares'!$C:$FA,127)*100</f>
        <v>47.83</v>
      </c>
      <c r="H162" s="103">
        <f>VLOOKUP($A162,'OI(Volume)'!$A$7:$O$427,8)</f>
        <v>380100</v>
      </c>
      <c r="I162" s="103">
        <f>VLOOKUP($A162,'OI(Volume)'!$A$7:$O$427,9)</f>
        <v>20625</v>
      </c>
      <c r="J162" s="103">
        <f>VLOOKUP($A162,'OI(Volume)'!$A$7:$O$427,11)</f>
        <v>219450</v>
      </c>
      <c r="K162" s="103">
        <f>VLOOKUP($A162,'OI(Volume)'!$A$7:$O$427,12)</f>
        <v>44775</v>
      </c>
      <c r="L162" s="103">
        <f>VLOOKUP($A162,'OI(Value)'!$A$7:$O$306,8,0)</f>
        <v>334</v>
      </c>
      <c r="M162" s="103">
        <f>VLOOKUP($A162,'OI(Value)'!$A$7:$O$306,9,0)</f>
        <v>18</v>
      </c>
      <c r="N162" s="103">
        <f>VLOOKUP($A162,'OI(Value)'!$A$7:$O$306,11,0)</f>
        <v>193</v>
      </c>
      <c r="O162" s="103">
        <f>VLOOKUP($A162,'OI(Value)'!$A$7:$O$306,12,0)</f>
        <v>39</v>
      </c>
      <c r="P162" s="179">
        <f>VLOOKUP(A162,'OI(Value)'!A162:O363,8,0)</f>
        <v>334</v>
      </c>
      <c r="Q162" s="179">
        <f>VLOOKUP(A162,'OI(Value)'!A162:O363,9,0)</f>
        <v>18</v>
      </c>
      <c r="R162" s="179">
        <f>VLOOKUP(A162,'OI(Value)'!A162:O363,11,0)</f>
        <v>193</v>
      </c>
      <c r="S162" s="179">
        <f>VLOOKUP(A162,'OI(Value)'!A162:O363,11,0)</f>
        <v>193</v>
      </c>
    </row>
    <row r="163" spans="1:19" x14ac:dyDescent="0.25">
      <c r="A163" s="105" t="str">
        <f>'Data shares'!C158</f>
        <v>OIL</v>
      </c>
      <c r="B163" s="143">
        <f>VLOOKUP($A163,'Data shares'!$C:$FA,118)</f>
        <v>0.54</v>
      </c>
      <c r="C163" s="143">
        <f>VLOOKUP($A163,'Data shares'!$C:$FA,119)</f>
        <v>0.52</v>
      </c>
      <c r="D163" s="143">
        <f>VLOOKUP($A163,'Data shares'!$C:$FA,121)*100</f>
        <v>3.85</v>
      </c>
      <c r="E163" s="143">
        <f>VLOOKUP($A163,'Data shares'!$C:$FA,124)</f>
        <v>0.43</v>
      </c>
      <c r="F163" s="143">
        <f>VLOOKUP($A163,'Data shares'!$C:$FA,125)</f>
        <v>0.38</v>
      </c>
      <c r="G163" s="143">
        <f>VLOOKUP($A163,'Data shares'!$C:$FA,127)*100</f>
        <v>13.16</v>
      </c>
      <c r="H163" s="103">
        <f>VLOOKUP($A163,'OI(Volume)'!$A$7:$O$427,8)</f>
        <v>5635000</v>
      </c>
      <c r="I163" s="103">
        <f>VLOOKUP($A163,'OI(Volume)'!$A$7:$O$427,9)</f>
        <v>-112000</v>
      </c>
      <c r="J163" s="103">
        <f>VLOOKUP($A163,'OI(Volume)'!$A$7:$O$427,11)</f>
        <v>3057600</v>
      </c>
      <c r="K163" s="103">
        <f>VLOOKUP($A163,'OI(Volume)'!$A$7:$O$427,12)</f>
        <v>93800</v>
      </c>
      <c r="L163" s="103">
        <f>VLOOKUP($A163,'OI(Value)'!$A$7:$O$306,8,0)</f>
        <v>230</v>
      </c>
      <c r="M163" s="103">
        <f>VLOOKUP($A163,'OI(Value)'!$A$7:$O$306,9,0)</f>
        <v>-5</v>
      </c>
      <c r="N163" s="103">
        <f>VLOOKUP($A163,'OI(Value)'!$A$7:$O$306,11,0)</f>
        <v>125</v>
      </c>
      <c r="O163" s="103">
        <f>VLOOKUP($A163,'OI(Value)'!$A$7:$O$306,12,0)</f>
        <v>4</v>
      </c>
      <c r="P163" s="179">
        <f>VLOOKUP(A163,'OI(Value)'!A163:O364,8,0)</f>
        <v>230</v>
      </c>
      <c r="Q163" s="179">
        <f>VLOOKUP(A163,'OI(Value)'!A163:O364,9,0)</f>
        <v>-5</v>
      </c>
      <c r="R163" s="179">
        <f>VLOOKUP(A163,'OI(Value)'!A163:O364,11,0)</f>
        <v>125</v>
      </c>
      <c r="S163" s="179">
        <f>VLOOKUP(A163,'OI(Value)'!A163:O364,11,0)</f>
        <v>125</v>
      </c>
    </row>
    <row r="164" spans="1:19" x14ac:dyDescent="0.25">
      <c r="A164" s="105" t="str">
        <f>'Data shares'!C159</f>
        <v>ONGC</v>
      </c>
      <c r="B164" s="143">
        <f>VLOOKUP($A164,'Data shares'!$C:$FA,118)</f>
        <v>0.41</v>
      </c>
      <c r="C164" s="143">
        <f>VLOOKUP($A164,'Data shares'!$C:$FA,119)</f>
        <v>0.43</v>
      </c>
      <c r="D164" s="143">
        <f>VLOOKUP($A164,'Data shares'!$C:$FA,121)*100</f>
        <v>-4.6500000000000004</v>
      </c>
      <c r="E164" s="143">
        <f>VLOOKUP($A164,'Data shares'!$C:$FA,124)</f>
        <v>0.37</v>
      </c>
      <c r="F164" s="143">
        <f>VLOOKUP($A164,'Data shares'!$C:$FA,125)</f>
        <v>0.53</v>
      </c>
      <c r="G164" s="143">
        <f>VLOOKUP($A164,'Data shares'!$C:$FA,127)*100</f>
        <v>-30.19</v>
      </c>
      <c r="H164" s="103">
        <f>VLOOKUP($A164,'OI(Volume)'!$A$7:$O$427,8)</f>
        <v>52843500</v>
      </c>
      <c r="I164" s="103">
        <f>VLOOKUP($A164,'OI(Volume)'!$A$7:$O$427,9)</f>
        <v>2875500</v>
      </c>
      <c r="J164" s="103">
        <f>VLOOKUP($A164,'OI(Volume)'!$A$7:$O$427,11)</f>
        <v>21888000</v>
      </c>
      <c r="K164" s="103">
        <f>VLOOKUP($A164,'OI(Volume)'!$A$7:$O$427,12)</f>
        <v>596250</v>
      </c>
      <c r="L164" s="103">
        <f>VLOOKUP($A164,'OI(Value)'!$A$7:$O$306,8,0)</f>
        <v>1261</v>
      </c>
      <c r="M164" s="103">
        <f>VLOOKUP($A164,'OI(Value)'!$A$7:$O$306,9,0)</f>
        <v>69</v>
      </c>
      <c r="N164" s="103">
        <f>VLOOKUP($A164,'OI(Value)'!$A$7:$O$306,11,0)</f>
        <v>522</v>
      </c>
      <c r="O164" s="103">
        <f>VLOOKUP($A164,'OI(Value)'!$A$7:$O$306,12,0)</f>
        <v>14</v>
      </c>
      <c r="P164" s="179">
        <f>VLOOKUP(A164,'OI(Value)'!A164:O365,8,0)</f>
        <v>1261</v>
      </c>
      <c r="Q164" s="179">
        <f>VLOOKUP(A164,'OI(Value)'!A164:O365,9,0)</f>
        <v>69</v>
      </c>
      <c r="R164" s="179">
        <f>VLOOKUP(A164,'OI(Value)'!A164:O365,11,0)</f>
        <v>522</v>
      </c>
      <c r="S164" s="179">
        <f>VLOOKUP(A164,'OI(Value)'!A164:O365,11,0)</f>
        <v>522</v>
      </c>
    </row>
    <row r="165" spans="1:19" x14ac:dyDescent="0.25">
      <c r="A165" s="105" t="str">
        <f>'Data shares'!C160</f>
        <v>PAGEIND</v>
      </c>
      <c r="B165" s="143">
        <f>VLOOKUP($A165,'Data shares'!$C:$FA,118)</f>
        <v>0.34</v>
      </c>
      <c r="C165" s="143">
        <f>VLOOKUP($A165,'Data shares'!$C:$FA,119)</f>
        <v>0.35</v>
      </c>
      <c r="D165" s="143">
        <f>VLOOKUP($A165,'Data shares'!$C:$FA,121)*100</f>
        <v>-2.86</v>
      </c>
      <c r="E165" s="143">
        <f>VLOOKUP($A165,'Data shares'!$C:$FA,124)</f>
        <v>0.51</v>
      </c>
      <c r="F165" s="143">
        <f>VLOOKUP($A165,'Data shares'!$C:$FA,125)</f>
        <v>0.45</v>
      </c>
      <c r="G165" s="143">
        <f>VLOOKUP($A165,'Data shares'!$C:$FA,127)*100</f>
        <v>13.33</v>
      </c>
      <c r="H165" s="103">
        <f>VLOOKUP($A165,'OI(Volume)'!$A$7:$O$427,8)</f>
        <v>115410</v>
      </c>
      <c r="I165" s="103">
        <f>VLOOKUP($A165,'OI(Volume)'!$A$7:$O$427,9)</f>
        <v>9135</v>
      </c>
      <c r="J165" s="103">
        <f>VLOOKUP($A165,'OI(Volume)'!$A$7:$O$427,11)</f>
        <v>39555</v>
      </c>
      <c r="K165" s="103">
        <f>VLOOKUP($A165,'OI(Volume)'!$A$7:$O$427,12)</f>
        <v>2400</v>
      </c>
      <c r="L165" s="103">
        <f>VLOOKUP($A165,'OI(Value)'!$A$7:$O$306,8,0)</f>
        <v>525</v>
      </c>
      <c r="M165" s="103">
        <f>VLOOKUP($A165,'OI(Value)'!$A$7:$O$306,9,0)</f>
        <v>42</v>
      </c>
      <c r="N165" s="103">
        <f>VLOOKUP($A165,'OI(Value)'!$A$7:$O$306,11,0)</f>
        <v>180</v>
      </c>
      <c r="O165" s="103">
        <f>VLOOKUP($A165,'OI(Value)'!$A$7:$O$306,12,0)</f>
        <v>11</v>
      </c>
      <c r="P165" s="179">
        <f>VLOOKUP(A165,'OI(Value)'!A165:O366,8,0)</f>
        <v>525</v>
      </c>
      <c r="Q165" s="179">
        <f>VLOOKUP(A165,'OI(Value)'!A165:O366,9,0)</f>
        <v>42</v>
      </c>
      <c r="R165" s="179">
        <f>VLOOKUP(A165,'OI(Value)'!A165:O366,11,0)</f>
        <v>180</v>
      </c>
      <c r="S165" s="179">
        <f>VLOOKUP(A165,'OI(Value)'!A165:O366,11,0)</f>
        <v>180</v>
      </c>
    </row>
    <row r="166" spans="1:19" x14ac:dyDescent="0.25">
      <c r="A166" s="105" t="str">
        <f>'Data shares'!C161</f>
        <v>PATANJALI</v>
      </c>
      <c r="B166" s="143">
        <f>VLOOKUP($A166,'Data shares'!$C:$FA,118)</f>
        <v>0.44</v>
      </c>
      <c r="C166" s="143">
        <f>VLOOKUP($A166,'Data shares'!$C:$FA,119)</f>
        <v>0.45</v>
      </c>
      <c r="D166" s="143">
        <f>VLOOKUP($A166,'Data shares'!$C:$FA,121)*100</f>
        <v>-2.2200000000000002</v>
      </c>
      <c r="E166" s="143">
        <f>VLOOKUP($A166,'Data shares'!$C:$FA,124)</f>
        <v>0.28000000000000003</v>
      </c>
      <c r="F166" s="143">
        <f>VLOOKUP($A166,'Data shares'!$C:$FA,125)</f>
        <v>0.48</v>
      </c>
      <c r="G166" s="143">
        <f>VLOOKUP($A166,'Data shares'!$C:$FA,127)*100</f>
        <v>-41.67</v>
      </c>
      <c r="H166" s="103">
        <f>VLOOKUP($A166,'OI(Volume)'!$A$7:$O$427,8)</f>
        <v>2595000</v>
      </c>
      <c r="I166" s="103">
        <f>VLOOKUP($A166,'OI(Volume)'!$A$7:$O$427,9)</f>
        <v>97200</v>
      </c>
      <c r="J166" s="103">
        <f>VLOOKUP($A166,'OI(Volume)'!$A$7:$O$427,11)</f>
        <v>1128900</v>
      </c>
      <c r="K166" s="103">
        <f>VLOOKUP($A166,'OI(Volume)'!$A$7:$O$427,12)</f>
        <v>-6600</v>
      </c>
      <c r="L166" s="103">
        <f>VLOOKUP($A166,'OI(Value)'!$A$7:$O$306,8,0)</f>
        <v>472</v>
      </c>
      <c r="M166" s="103">
        <f>VLOOKUP($A166,'OI(Value)'!$A$7:$O$306,9,0)</f>
        <v>18</v>
      </c>
      <c r="N166" s="103">
        <f>VLOOKUP($A166,'OI(Value)'!$A$7:$O$306,11,0)</f>
        <v>205</v>
      </c>
      <c r="O166" s="103">
        <f>VLOOKUP($A166,'OI(Value)'!$A$7:$O$306,12,0)</f>
        <v>-1</v>
      </c>
      <c r="P166" s="179">
        <f>VLOOKUP(A166,'OI(Value)'!A166:O367,8,0)</f>
        <v>472</v>
      </c>
      <c r="Q166" s="179">
        <f>VLOOKUP(A166,'OI(Value)'!A166:O367,9,0)</f>
        <v>18</v>
      </c>
      <c r="R166" s="179">
        <f>VLOOKUP(A166,'OI(Value)'!A166:O367,11,0)</f>
        <v>205</v>
      </c>
      <c r="S166" s="179">
        <f>VLOOKUP(A166,'OI(Value)'!A166:O367,11,0)</f>
        <v>205</v>
      </c>
    </row>
    <row r="167" spans="1:19" x14ac:dyDescent="0.25">
      <c r="A167" s="105" t="str">
        <f>'Data shares'!C162</f>
        <v>PAYTM</v>
      </c>
      <c r="B167" s="143">
        <f>VLOOKUP($A167,'Data shares'!$C:$FA,118)</f>
        <v>0.91</v>
      </c>
      <c r="C167" s="143">
        <f>VLOOKUP($A167,'Data shares'!$C:$FA,119)</f>
        <v>0.96</v>
      </c>
      <c r="D167" s="143">
        <f>VLOOKUP($A167,'Data shares'!$C:$FA,121)*100</f>
        <v>-5.21</v>
      </c>
      <c r="E167" s="143">
        <f>VLOOKUP($A167,'Data shares'!$C:$FA,124)</f>
        <v>0.46</v>
      </c>
      <c r="F167" s="143">
        <f>VLOOKUP($A167,'Data shares'!$C:$FA,125)</f>
        <v>0.45</v>
      </c>
      <c r="G167" s="143">
        <f>VLOOKUP($A167,'Data shares'!$C:$FA,127)*100</f>
        <v>2.2200000000000002</v>
      </c>
      <c r="H167" s="103">
        <f>VLOOKUP($A167,'OI(Volume)'!$A$7:$O$427,8)</f>
        <v>13148600</v>
      </c>
      <c r="I167" s="103">
        <f>VLOOKUP($A167,'OI(Volume)'!$A$7:$O$427,9)</f>
        <v>1440575</v>
      </c>
      <c r="J167" s="103">
        <f>VLOOKUP($A167,'OI(Volume)'!$A$7:$O$427,11)</f>
        <v>11928425</v>
      </c>
      <c r="K167" s="103">
        <f>VLOOKUP($A167,'OI(Volume)'!$A$7:$O$427,12)</f>
        <v>640900</v>
      </c>
      <c r="L167" s="103">
        <f>VLOOKUP($A167,'OI(Value)'!$A$7:$O$306,8,0)</f>
        <v>1641</v>
      </c>
      <c r="M167" s="103">
        <f>VLOOKUP($A167,'OI(Value)'!$A$7:$O$306,9,0)</f>
        <v>180</v>
      </c>
      <c r="N167" s="103">
        <f>VLOOKUP($A167,'OI(Value)'!$A$7:$O$306,11,0)</f>
        <v>1489</v>
      </c>
      <c r="O167" s="103">
        <f>VLOOKUP($A167,'OI(Value)'!$A$7:$O$306,12,0)</f>
        <v>80</v>
      </c>
      <c r="P167" s="179">
        <f>VLOOKUP(A167,'OI(Value)'!A167:O368,8,0)</f>
        <v>1641</v>
      </c>
      <c r="Q167" s="179">
        <f>VLOOKUP(A167,'OI(Value)'!A167:O368,9,0)</f>
        <v>180</v>
      </c>
      <c r="R167" s="179">
        <f>VLOOKUP(A167,'OI(Value)'!A167:O368,11,0)</f>
        <v>1489</v>
      </c>
      <c r="S167" s="179">
        <f>VLOOKUP(A167,'OI(Value)'!A167:O368,11,0)</f>
        <v>1489</v>
      </c>
    </row>
    <row r="168" spans="1:19" x14ac:dyDescent="0.25">
      <c r="A168" s="105" t="str">
        <f>'Data shares'!C163</f>
        <v>PERSISTENT</v>
      </c>
      <c r="B168" s="143">
        <f>VLOOKUP($A168,'Data shares'!$C:$FA,118)</f>
        <v>0.62</v>
      </c>
      <c r="C168" s="143">
        <f>VLOOKUP($A168,'Data shares'!$C:$FA,119)</f>
        <v>0.56999999999999995</v>
      </c>
      <c r="D168" s="143">
        <f>VLOOKUP($A168,'Data shares'!$C:$FA,121)*100</f>
        <v>8.77</v>
      </c>
      <c r="E168" s="143">
        <f>VLOOKUP($A168,'Data shares'!$C:$FA,124)</f>
        <v>0.37</v>
      </c>
      <c r="F168" s="143">
        <f>VLOOKUP($A168,'Data shares'!$C:$FA,125)</f>
        <v>0.33</v>
      </c>
      <c r="G168" s="143">
        <f>VLOOKUP($A168,'Data shares'!$C:$FA,127)*100</f>
        <v>12.120000000000001</v>
      </c>
      <c r="H168" s="103">
        <f>VLOOKUP($A168,'OI(Volume)'!$A$7:$O$427,8)</f>
        <v>1238800</v>
      </c>
      <c r="I168" s="103">
        <f>VLOOKUP($A168,'OI(Volume)'!$A$7:$O$427,9)</f>
        <v>-148000</v>
      </c>
      <c r="J168" s="103">
        <f>VLOOKUP($A168,'OI(Volume)'!$A$7:$O$427,11)</f>
        <v>767300</v>
      </c>
      <c r="K168" s="103">
        <f>VLOOKUP($A168,'OI(Volume)'!$A$7:$O$427,12)</f>
        <v>-21000</v>
      </c>
      <c r="L168" s="103">
        <f>VLOOKUP($A168,'OI(Value)'!$A$7:$O$306,8,0)</f>
        <v>664</v>
      </c>
      <c r="M168" s="103">
        <f>VLOOKUP($A168,'OI(Value)'!$A$7:$O$306,9,0)</f>
        <v>-79</v>
      </c>
      <c r="N168" s="103">
        <f>VLOOKUP($A168,'OI(Value)'!$A$7:$O$306,11,0)</f>
        <v>411</v>
      </c>
      <c r="O168" s="103">
        <f>VLOOKUP($A168,'OI(Value)'!$A$7:$O$306,12,0)</f>
        <v>-11</v>
      </c>
      <c r="P168" s="179">
        <f>VLOOKUP(A168,'OI(Value)'!A168:O369,8,0)</f>
        <v>664</v>
      </c>
      <c r="Q168" s="179">
        <f>VLOOKUP(A168,'OI(Value)'!A168:O369,9,0)</f>
        <v>-79</v>
      </c>
      <c r="R168" s="179">
        <f>VLOOKUP(A168,'OI(Value)'!A168:O369,11,0)</f>
        <v>411</v>
      </c>
      <c r="S168" s="179">
        <f>VLOOKUP(A168,'OI(Value)'!A168:O369,11,0)</f>
        <v>411</v>
      </c>
    </row>
    <row r="169" spans="1:19" x14ac:dyDescent="0.25">
      <c r="A169" s="105" t="str">
        <f>'Data shares'!C164</f>
        <v>PETRONET</v>
      </c>
      <c r="B169" s="143">
        <f>VLOOKUP($A169,'Data shares'!$C:$FA,118)</f>
        <v>1.1200000000000001</v>
      </c>
      <c r="C169" s="143">
        <f>VLOOKUP($A169,'Data shares'!$C:$FA,119)</f>
        <v>1.07</v>
      </c>
      <c r="D169" s="143">
        <f>VLOOKUP($A169,'Data shares'!$C:$FA,121)*100</f>
        <v>4.67</v>
      </c>
      <c r="E169" s="143">
        <f>VLOOKUP($A169,'Data shares'!$C:$FA,124)</f>
        <v>1.28</v>
      </c>
      <c r="F169" s="143">
        <f>VLOOKUP($A169,'Data shares'!$C:$FA,125)</f>
        <v>0.61</v>
      </c>
      <c r="G169" s="143">
        <f>VLOOKUP($A169,'Data shares'!$C:$FA,127)*100</f>
        <v>109.84</v>
      </c>
      <c r="H169" s="103">
        <f>VLOOKUP($A169,'OI(Volume)'!$A$7:$O$427,8)</f>
        <v>14720400</v>
      </c>
      <c r="I169" s="103">
        <f>VLOOKUP($A169,'OI(Volume)'!$A$7:$O$427,9)</f>
        <v>-178200</v>
      </c>
      <c r="J169" s="103">
        <f>VLOOKUP($A169,'OI(Volume)'!$A$7:$O$427,11)</f>
        <v>16453800</v>
      </c>
      <c r="K169" s="103">
        <f>VLOOKUP($A169,'OI(Volume)'!$A$7:$O$427,12)</f>
        <v>570600</v>
      </c>
      <c r="L169" s="103">
        <f>VLOOKUP($A169,'OI(Value)'!$A$7:$O$306,8,0)</f>
        <v>413</v>
      </c>
      <c r="M169" s="103">
        <f>VLOOKUP($A169,'OI(Value)'!$A$7:$O$306,9,0)</f>
        <v>-5</v>
      </c>
      <c r="N169" s="103">
        <f>VLOOKUP($A169,'OI(Value)'!$A$7:$O$306,11,0)</f>
        <v>462</v>
      </c>
      <c r="O169" s="103">
        <f>VLOOKUP($A169,'OI(Value)'!$A$7:$O$306,12,0)</f>
        <v>16</v>
      </c>
      <c r="P169" s="179">
        <f>VLOOKUP(A169,'OI(Value)'!A169:O370,8,0)</f>
        <v>413</v>
      </c>
      <c r="Q169" s="179">
        <f>VLOOKUP(A169,'OI(Value)'!A169:O370,9,0)</f>
        <v>-5</v>
      </c>
      <c r="R169" s="179">
        <f>VLOOKUP(A169,'OI(Value)'!A169:O370,11,0)</f>
        <v>462</v>
      </c>
      <c r="S169" s="179">
        <f>VLOOKUP(A169,'OI(Value)'!A169:O370,11,0)</f>
        <v>462</v>
      </c>
    </row>
    <row r="170" spans="1:19" x14ac:dyDescent="0.25">
      <c r="A170" s="105" t="str">
        <f>'Data shares'!C165</f>
        <v>PFC</v>
      </c>
      <c r="B170" s="143">
        <f>VLOOKUP($A170,'Data shares'!$C:$FA,118)</f>
        <v>0.79</v>
      </c>
      <c r="C170" s="143">
        <f>VLOOKUP($A170,'Data shares'!$C:$FA,119)</f>
        <v>0.88</v>
      </c>
      <c r="D170" s="143">
        <f>VLOOKUP($A170,'Data shares'!$C:$FA,121)*100</f>
        <v>-10.23</v>
      </c>
      <c r="E170" s="143">
        <f>VLOOKUP($A170,'Data shares'!$C:$FA,124)</f>
        <v>0.55000000000000004</v>
      </c>
      <c r="F170" s="143">
        <f>VLOOKUP($A170,'Data shares'!$C:$FA,125)</f>
        <v>0.5</v>
      </c>
      <c r="G170" s="143">
        <f>VLOOKUP($A170,'Data shares'!$C:$FA,127)*100</f>
        <v>10</v>
      </c>
      <c r="H170" s="103">
        <f>VLOOKUP($A170,'OI(Volume)'!$A$7:$O$427,8)</f>
        <v>26302900</v>
      </c>
      <c r="I170" s="103">
        <f>VLOOKUP($A170,'OI(Volume)'!$A$7:$O$427,9)</f>
        <v>4979000</v>
      </c>
      <c r="J170" s="103">
        <f>VLOOKUP($A170,'OI(Volume)'!$A$7:$O$427,11)</f>
        <v>20771400</v>
      </c>
      <c r="K170" s="103">
        <f>VLOOKUP($A170,'OI(Volume)'!$A$7:$O$427,12)</f>
        <v>2073500</v>
      </c>
      <c r="L170" s="103">
        <f>VLOOKUP($A170,'OI(Value)'!$A$7:$O$306,8,0)</f>
        <v>1063</v>
      </c>
      <c r="M170" s="103">
        <f>VLOOKUP($A170,'OI(Value)'!$A$7:$O$306,9,0)</f>
        <v>201</v>
      </c>
      <c r="N170" s="103">
        <f>VLOOKUP($A170,'OI(Value)'!$A$7:$O$306,11,0)</f>
        <v>840</v>
      </c>
      <c r="O170" s="103">
        <f>VLOOKUP($A170,'OI(Value)'!$A$7:$O$306,12,0)</f>
        <v>84</v>
      </c>
      <c r="P170" s="179">
        <f>VLOOKUP(A170,'OI(Value)'!A170:O371,8,0)</f>
        <v>1063</v>
      </c>
      <c r="Q170" s="179">
        <f>VLOOKUP(A170,'OI(Value)'!A170:O371,9,0)</f>
        <v>201</v>
      </c>
      <c r="R170" s="179">
        <f>VLOOKUP(A170,'OI(Value)'!A170:O371,11,0)</f>
        <v>840</v>
      </c>
      <c r="S170" s="179">
        <f>VLOOKUP(A170,'OI(Value)'!A170:O371,11,0)</f>
        <v>840</v>
      </c>
    </row>
    <row r="171" spans="1:19" x14ac:dyDescent="0.25">
      <c r="A171" s="105" t="str">
        <f>'Data shares'!C166</f>
        <v>PGEL</v>
      </c>
      <c r="B171" s="143">
        <f>VLOOKUP($A171,'Data shares'!$C:$FA,118)</f>
        <v>0.46</v>
      </c>
      <c r="C171" s="143">
        <f>VLOOKUP($A171,'Data shares'!$C:$FA,119)</f>
        <v>0.46</v>
      </c>
      <c r="D171" s="143">
        <f>VLOOKUP($A171,'Data shares'!$C:$FA,121)*100</f>
        <v>0</v>
      </c>
      <c r="E171" s="143">
        <f>VLOOKUP($A171,'Data shares'!$C:$FA,124)</f>
        <v>0.41</v>
      </c>
      <c r="F171" s="143">
        <f>VLOOKUP($A171,'Data shares'!$C:$FA,125)</f>
        <v>0.41</v>
      </c>
      <c r="G171" s="143">
        <f>VLOOKUP($A171,'Data shares'!$C:$FA,127)*100</f>
        <v>0</v>
      </c>
      <c r="H171" s="103">
        <f>VLOOKUP($A171,'OI(Volume)'!$A$7:$O$427,8)</f>
        <v>14520800</v>
      </c>
      <c r="I171" s="103">
        <f>VLOOKUP($A171,'OI(Volume)'!$A$7:$O$427,9)</f>
        <v>5627300</v>
      </c>
      <c r="J171" s="103">
        <f>VLOOKUP($A171,'OI(Volume)'!$A$7:$O$427,11)</f>
        <v>6678000</v>
      </c>
      <c r="K171" s="103">
        <f>VLOOKUP($A171,'OI(Volume)'!$A$7:$O$427,12)</f>
        <v>2622200</v>
      </c>
      <c r="L171" s="103">
        <f>VLOOKUP($A171,'OI(Value)'!$A$7:$O$306,8,0)</f>
        <v>779</v>
      </c>
      <c r="M171" s="103">
        <f>VLOOKUP($A171,'OI(Value)'!$A$7:$O$306,9,0)</f>
        <v>302</v>
      </c>
      <c r="N171" s="103">
        <f>VLOOKUP($A171,'OI(Value)'!$A$7:$O$306,11,0)</f>
        <v>358</v>
      </c>
      <c r="O171" s="103">
        <f>VLOOKUP($A171,'OI(Value)'!$A$7:$O$306,12,0)</f>
        <v>141</v>
      </c>
      <c r="P171" s="179">
        <f>VLOOKUP(A171,'OI(Value)'!A171:O372,8,0)</f>
        <v>779</v>
      </c>
      <c r="Q171" s="179">
        <f>VLOOKUP(A171,'OI(Value)'!A171:O372,9,0)</f>
        <v>302</v>
      </c>
      <c r="R171" s="179">
        <f>VLOOKUP(A171,'OI(Value)'!A171:O372,11,0)</f>
        <v>358</v>
      </c>
      <c r="S171" s="179">
        <f>VLOOKUP(A171,'OI(Value)'!A171:O372,11,0)</f>
        <v>358</v>
      </c>
    </row>
    <row r="172" spans="1:19" x14ac:dyDescent="0.25">
      <c r="A172" s="105" t="str">
        <f>'Data shares'!C167</f>
        <v>PHOENIXLTD</v>
      </c>
      <c r="B172" s="143">
        <f>VLOOKUP($A172,'Data shares'!$C:$FA,118)</f>
        <v>0.65</v>
      </c>
      <c r="C172" s="143">
        <f>VLOOKUP($A172,'Data shares'!$C:$FA,119)</f>
        <v>0.56999999999999995</v>
      </c>
      <c r="D172" s="143">
        <f>VLOOKUP($A172,'Data shares'!$C:$FA,121)*100</f>
        <v>14.04</v>
      </c>
      <c r="E172" s="143">
        <f>VLOOKUP($A172,'Data shares'!$C:$FA,124)</f>
        <v>0.31</v>
      </c>
      <c r="F172" s="143">
        <f>VLOOKUP($A172,'Data shares'!$C:$FA,125)</f>
        <v>0.42</v>
      </c>
      <c r="G172" s="143">
        <f>VLOOKUP($A172,'Data shares'!$C:$FA,127)*100</f>
        <v>-26.19</v>
      </c>
      <c r="H172" s="103">
        <f>VLOOKUP($A172,'OI(Volume)'!$A$7:$O$427,8)</f>
        <v>884800</v>
      </c>
      <c r="I172" s="103">
        <f>VLOOKUP($A172,'OI(Volume)'!$A$7:$O$427,9)</f>
        <v>60200</v>
      </c>
      <c r="J172" s="103">
        <f>VLOOKUP($A172,'OI(Volume)'!$A$7:$O$427,11)</f>
        <v>570850</v>
      </c>
      <c r="K172" s="103">
        <f>VLOOKUP($A172,'OI(Volume)'!$A$7:$O$427,12)</f>
        <v>101850</v>
      </c>
      <c r="L172" s="103">
        <f>VLOOKUP($A172,'OI(Value)'!$A$7:$O$306,8,0)</f>
        <v>138</v>
      </c>
      <c r="M172" s="103">
        <f>VLOOKUP($A172,'OI(Value)'!$A$7:$O$306,9,0)</f>
        <v>9</v>
      </c>
      <c r="N172" s="103">
        <f>VLOOKUP($A172,'OI(Value)'!$A$7:$O$306,11,0)</f>
        <v>89</v>
      </c>
      <c r="O172" s="103">
        <f>VLOOKUP($A172,'OI(Value)'!$A$7:$O$306,12,0)</f>
        <v>16</v>
      </c>
      <c r="P172" s="179">
        <f>VLOOKUP(A172,'OI(Value)'!A172:O373,8,0)</f>
        <v>138</v>
      </c>
      <c r="Q172" s="179">
        <f>VLOOKUP(A172,'OI(Value)'!A172:O373,9,0)</f>
        <v>9</v>
      </c>
      <c r="R172" s="179">
        <f>VLOOKUP(A172,'OI(Value)'!A172:O373,11,0)</f>
        <v>89</v>
      </c>
      <c r="S172" s="179">
        <f>VLOOKUP(A172,'OI(Value)'!A172:O373,11,0)</f>
        <v>89</v>
      </c>
    </row>
    <row r="173" spans="1:19" x14ac:dyDescent="0.25">
      <c r="A173" s="105" t="str">
        <f>'Data shares'!C168</f>
        <v>PIDILITIND</v>
      </c>
      <c r="B173" s="143">
        <f>VLOOKUP($A173,'Data shares'!$C:$FA,118)</f>
        <v>0.77</v>
      </c>
      <c r="C173" s="143">
        <f>VLOOKUP($A173,'Data shares'!$C:$FA,119)</f>
        <v>0.77</v>
      </c>
      <c r="D173" s="143">
        <f>VLOOKUP($A173,'Data shares'!$C:$FA,121)*100</f>
        <v>0</v>
      </c>
      <c r="E173" s="143">
        <f>VLOOKUP($A173,'Data shares'!$C:$FA,124)</f>
        <v>0.28999999999999998</v>
      </c>
      <c r="F173" s="143">
        <f>VLOOKUP($A173,'Data shares'!$C:$FA,125)</f>
        <v>0.36</v>
      </c>
      <c r="G173" s="143">
        <f>VLOOKUP($A173,'Data shares'!$C:$FA,127)*100</f>
        <v>-19.439999999999998</v>
      </c>
      <c r="H173" s="103">
        <f>VLOOKUP($A173,'OI(Volume)'!$A$7:$O$427,8)</f>
        <v>1006750</v>
      </c>
      <c r="I173" s="103">
        <f>VLOOKUP($A173,'OI(Volume)'!$A$7:$O$427,9)</f>
        <v>-21750</v>
      </c>
      <c r="J173" s="103">
        <f>VLOOKUP($A173,'OI(Volume)'!$A$7:$O$427,11)</f>
        <v>778000</v>
      </c>
      <c r="K173" s="103">
        <f>VLOOKUP($A173,'OI(Volume)'!$A$7:$O$427,12)</f>
        <v>-10500</v>
      </c>
      <c r="L173" s="103">
        <f>VLOOKUP($A173,'OI(Value)'!$A$7:$O$306,8,0)</f>
        <v>311</v>
      </c>
      <c r="M173" s="103">
        <f>VLOOKUP($A173,'OI(Value)'!$A$7:$O$306,9,0)</f>
        <v>-7</v>
      </c>
      <c r="N173" s="103">
        <f>VLOOKUP($A173,'OI(Value)'!$A$7:$O$306,11,0)</f>
        <v>240</v>
      </c>
      <c r="O173" s="103">
        <f>VLOOKUP($A173,'OI(Value)'!$A$7:$O$306,12,0)</f>
        <v>-3</v>
      </c>
    </row>
    <row r="174" spans="1:19" x14ac:dyDescent="0.25">
      <c r="A174" s="105" t="str">
        <f>'Data shares'!C169</f>
        <v>PIIND</v>
      </c>
      <c r="B174" s="143">
        <f>VLOOKUP($A174,'Data shares'!$C:$FA,118)</f>
        <v>0.66</v>
      </c>
      <c r="C174" s="143">
        <f>VLOOKUP($A174,'Data shares'!$C:$FA,119)</f>
        <v>0.63</v>
      </c>
      <c r="D174" s="143">
        <f>VLOOKUP($A174,'Data shares'!$C:$FA,121)*100</f>
        <v>4.7600000000000007</v>
      </c>
      <c r="E174" s="143">
        <f>VLOOKUP($A174,'Data shares'!$C:$FA,124)</f>
        <v>0.28000000000000003</v>
      </c>
      <c r="F174" s="143">
        <f>VLOOKUP($A174,'Data shares'!$C:$FA,125)</f>
        <v>0.46</v>
      </c>
      <c r="G174" s="143">
        <f>VLOOKUP($A174,'Data shares'!$C:$FA,127)*100</f>
        <v>-39.129999999999995</v>
      </c>
      <c r="H174" s="103">
        <f>VLOOKUP($A174,'OI(Volume)'!$A$7:$O$427,8)</f>
        <v>942200</v>
      </c>
      <c r="I174" s="103">
        <f>VLOOKUP($A174,'OI(Volume)'!$A$7:$O$427,9)</f>
        <v>-117250</v>
      </c>
      <c r="J174" s="103">
        <f>VLOOKUP($A174,'OI(Volume)'!$A$7:$O$427,11)</f>
        <v>618100</v>
      </c>
      <c r="K174" s="103">
        <f>VLOOKUP($A174,'OI(Volume)'!$A$7:$O$427,12)</f>
        <v>-49525</v>
      </c>
      <c r="L174" s="103">
        <f>VLOOKUP($A174,'OI(Value)'!$A$7:$O$306,8,0)</f>
        <v>359</v>
      </c>
      <c r="M174" s="103">
        <f>VLOOKUP($A174,'OI(Value)'!$A$7:$O$306,9,0)</f>
        <v>-45</v>
      </c>
      <c r="N174" s="103">
        <f>VLOOKUP($A174,'OI(Value)'!$A$7:$O$306,11,0)</f>
        <v>235</v>
      </c>
      <c r="O174" s="103">
        <f>VLOOKUP($A174,'OI(Value)'!$A$7:$O$306,12,0)</f>
        <v>-19</v>
      </c>
    </row>
    <row r="175" spans="1:19" x14ac:dyDescent="0.25">
      <c r="A175" s="105" t="str">
        <f>'Data shares'!C170</f>
        <v>PNB</v>
      </c>
      <c r="B175" s="143">
        <f>VLOOKUP($A175,'Data shares'!$C:$FA,118)</f>
        <v>0.6</v>
      </c>
      <c r="C175" s="143">
        <f>VLOOKUP($A175,'Data shares'!$C:$FA,119)</f>
        <v>0.63</v>
      </c>
      <c r="D175" s="143">
        <f>VLOOKUP($A175,'Data shares'!$C:$FA,121)*100</f>
        <v>-4.7600000000000007</v>
      </c>
      <c r="E175" s="143">
        <f>VLOOKUP($A175,'Data shares'!$C:$FA,124)</f>
        <v>0.57999999999999996</v>
      </c>
      <c r="F175" s="143">
        <f>VLOOKUP($A175,'Data shares'!$C:$FA,125)</f>
        <v>0.57999999999999996</v>
      </c>
      <c r="G175" s="143">
        <f>VLOOKUP($A175,'Data shares'!$C:$FA,127)*100</f>
        <v>0</v>
      </c>
      <c r="H175" s="103">
        <f>VLOOKUP($A175,'OI(Volume)'!$A$7:$O$427,8)</f>
        <v>128280000</v>
      </c>
      <c r="I175" s="103">
        <f>VLOOKUP($A175,'OI(Volume)'!$A$7:$O$427,9)</f>
        <v>6336000</v>
      </c>
      <c r="J175" s="103">
        <f>VLOOKUP($A175,'OI(Volume)'!$A$7:$O$427,11)</f>
        <v>76824000</v>
      </c>
      <c r="K175" s="103">
        <f>VLOOKUP($A175,'OI(Volume)'!$A$7:$O$427,12)</f>
        <v>240000</v>
      </c>
      <c r="L175" s="103">
        <f>VLOOKUP($A175,'OI(Value)'!$A$7:$O$306,8,0)</f>
        <v>1376</v>
      </c>
      <c r="M175" s="103">
        <f>VLOOKUP($A175,'OI(Value)'!$A$7:$O$306,9,0)</f>
        <v>68</v>
      </c>
      <c r="N175" s="103">
        <f>VLOOKUP($A175,'OI(Value)'!$A$7:$O$306,11,0)</f>
        <v>824</v>
      </c>
      <c r="O175" s="103">
        <f>VLOOKUP($A175,'OI(Value)'!$A$7:$O$306,12,0)</f>
        <v>3</v>
      </c>
    </row>
    <row r="176" spans="1:19" x14ac:dyDescent="0.25">
      <c r="A176" s="105" t="str">
        <f>'Data shares'!C171</f>
        <v>PNBHOUSING</v>
      </c>
      <c r="B176" s="143">
        <f>VLOOKUP($A176,'Data shares'!$C:$FA,118)</f>
        <v>0.41</v>
      </c>
      <c r="C176" s="143">
        <f>VLOOKUP($A176,'Data shares'!$C:$FA,119)</f>
        <v>0.41</v>
      </c>
      <c r="D176" s="143">
        <f>VLOOKUP($A176,'Data shares'!$C:$FA,121)*100</f>
        <v>0</v>
      </c>
      <c r="E176" s="143">
        <f>VLOOKUP($A176,'Data shares'!$C:$FA,124)</f>
        <v>0.38</v>
      </c>
      <c r="F176" s="143">
        <f>VLOOKUP($A176,'Data shares'!$C:$FA,125)</f>
        <v>0.35</v>
      </c>
      <c r="G176" s="143">
        <f>VLOOKUP($A176,'Data shares'!$C:$FA,127)*100</f>
        <v>8.57</v>
      </c>
      <c r="H176" s="103">
        <f>VLOOKUP($A176,'OI(Volume)'!$A$7:$O$427,8)</f>
        <v>12051650</v>
      </c>
      <c r="I176" s="103">
        <f>VLOOKUP($A176,'OI(Volume)'!$A$7:$O$427,9)</f>
        <v>738400</v>
      </c>
      <c r="J176" s="103">
        <f>VLOOKUP($A176,'OI(Volume)'!$A$7:$O$427,11)</f>
        <v>4990050</v>
      </c>
      <c r="K176" s="103">
        <f>VLOOKUP($A176,'OI(Volume)'!$A$7:$O$427,12)</f>
        <v>398450</v>
      </c>
      <c r="L176" s="103">
        <f>VLOOKUP($A176,'OI(Value)'!$A$7:$O$306,8,0)</f>
        <v>978</v>
      </c>
      <c r="M176" s="103">
        <f>VLOOKUP($A176,'OI(Value)'!$A$7:$O$306,9,0)</f>
        <v>60</v>
      </c>
      <c r="N176" s="103">
        <f>VLOOKUP($A176,'OI(Value)'!$A$7:$O$306,11,0)</f>
        <v>405</v>
      </c>
      <c r="O176" s="103">
        <f>VLOOKUP($A176,'OI(Value)'!$A$7:$O$306,12,0)</f>
        <v>32</v>
      </c>
    </row>
    <row r="177" spans="1:15" x14ac:dyDescent="0.25">
      <c r="A177" s="105" t="str">
        <f>'Data shares'!C172</f>
        <v>POLICYBZR</v>
      </c>
      <c r="B177" s="143">
        <f>VLOOKUP($A177,'Data shares'!$C:$FA,118)</f>
        <v>0.88</v>
      </c>
      <c r="C177" s="143">
        <f>VLOOKUP($A177,'Data shares'!$C:$FA,119)</f>
        <v>0.88</v>
      </c>
      <c r="D177" s="143">
        <f>VLOOKUP($A177,'Data shares'!$C:$FA,121)*100</f>
        <v>0</v>
      </c>
      <c r="E177" s="143">
        <f>VLOOKUP($A177,'Data shares'!$C:$FA,124)</f>
        <v>0.34</v>
      </c>
      <c r="F177" s="143">
        <f>VLOOKUP($A177,'Data shares'!$C:$FA,125)</f>
        <v>0.34</v>
      </c>
      <c r="G177" s="143">
        <f>VLOOKUP($A177,'Data shares'!$C:$FA,127)*100</f>
        <v>0</v>
      </c>
      <c r="H177" s="103">
        <f>VLOOKUP($A177,'OI(Volume)'!$A$7:$O$427,8)</f>
        <v>977900</v>
      </c>
      <c r="I177" s="103">
        <f>VLOOKUP($A177,'OI(Volume)'!$A$7:$O$427,9)</f>
        <v>3850</v>
      </c>
      <c r="J177" s="103">
        <f>VLOOKUP($A177,'OI(Volume)'!$A$7:$O$427,11)</f>
        <v>861000</v>
      </c>
      <c r="K177" s="103">
        <f>VLOOKUP($A177,'OI(Volume)'!$A$7:$O$427,12)</f>
        <v>5250</v>
      </c>
      <c r="L177" s="103">
        <f>VLOOKUP($A177,'OI(Value)'!$A$7:$O$306,8,0)</f>
        <v>188</v>
      </c>
      <c r="M177" s="103">
        <f>VLOOKUP($A177,'OI(Value)'!$A$7:$O$306,9,0)</f>
        <v>1</v>
      </c>
      <c r="N177" s="103">
        <f>VLOOKUP($A177,'OI(Value)'!$A$7:$O$306,11,0)</f>
        <v>165</v>
      </c>
      <c r="O177" s="103">
        <f>VLOOKUP($A177,'OI(Value)'!$A$7:$O$306,12,0)</f>
        <v>1</v>
      </c>
    </row>
    <row r="178" spans="1:15" x14ac:dyDescent="0.25">
      <c r="A178" s="105" t="str">
        <f>'Data shares'!C173</f>
        <v>POLYCAB</v>
      </c>
      <c r="B178" s="143">
        <f>VLOOKUP($A178,'Data shares'!$C:$FA,118)</f>
        <v>0.79</v>
      </c>
      <c r="C178" s="143">
        <f>VLOOKUP($A178,'Data shares'!$C:$FA,119)</f>
        <v>0.75</v>
      </c>
      <c r="D178" s="143">
        <f>VLOOKUP($A178,'Data shares'!$C:$FA,121)*100</f>
        <v>5.33</v>
      </c>
      <c r="E178" s="143">
        <f>VLOOKUP($A178,'Data shares'!$C:$FA,124)</f>
        <v>0.38</v>
      </c>
      <c r="F178" s="143">
        <f>VLOOKUP($A178,'Data shares'!$C:$FA,125)</f>
        <v>0.52</v>
      </c>
      <c r="G178" s="143">
        <f>VLOOKUP($A178,'Data shares'!$C:$FA,127)*100</f>
        <v>-26.919999999999998</v>
      </c>
      <c r="H178" s="103">
        <f>VLOOKUP($A178,'OI(Volume)'!$A$7:$O$427,8)</f>
        <v>853750</v>
      </c>
      <c r="I178" s="103">
        <f>VLOOKUP($A178,'OI(Volume)'!$A$7:$O$427,9)</f>
        <v>2375</v>
      </c>
      <c r="J178" s="103">
        <f>VLOOKUP($A178,'OI(Volume)'!$A$7:$O$427,11)</f>
        <v>671500</v>
      </c>
      <c r="K178" s="103">
        <f>VLOOKUP($A178,'OI(Volume)'!$A$7:$O$427,12)</f>
        <v>36625</v>
      </c>
      <c r="L178" s="103">
        <f>VLOOKUP($A178,'OI(Value)'!$A$7:$O$306,8,0)</f>
        <v>612</v>
      </c>
      <c r="M178" s="103">
        <f>VLOOKUP($A178,'OI(Value)'!$A$7:$O$306,9,0)</f>
        <v>2</v>
      </c>
      <c r="N178" s="103">
        <f>VLOOKUP($A178,'OI(Value)'!$A$7:$O$306,11,0)</f>
        <v>481</v>
      </c>
      <c r="O178" s="103">
        <f>VLOOKUP($A178,'OI(Value)'!$A$7:$O$306,12,0)</f>
        <v>26</v>
      </c>
    </row>
    <row r="179" spans="1:15" x14ac:dyDescent="0.25">
      <c r="A179" s="105" t="str">
        <f>'Data shares'!C174</f>
        <v>POONAWALLA</v>
      </c>
      <c r="B179" s="143">
        <f>VLOOKUP($A179,'Data shares'!$C:$FA,118)</f>
        <v>0.82</v>
      </c>
      <c r="C179" s="143">
        <f>VLOOKUP($A179,'Data shares'!$C:$FA,119)</f>
        <v>0.85</v>
      </c>
      <c r="D179" s="143">
        <f>VLOOKUP($A179,'Data shares'!$C:$FA,121)*100</f>
        <v>-3.53</v>
      </c>
      <c r="E179" s="143">
        <f>VLOOKUP($A179,'Data shares'!$C:$FA,124)</f>
        <v>0.71</v>
      </c>
      <c r="F179" s="143">
        <f>VLOOKUP($A179,'Data shares'!$C:$FA,125)</f>
        <v>0.46</v>
      </c>
      <c r="G179" s="143">
        <f>VLOOKUP($A179,'Data shares'!$C:$FA,127)*100</f>
        <v>54.35</v>
      </c>
      <c r="H179" s="103">
        <f>VLOOKUP($A179,'OI(Volume)'!$A$7:$O$427,8)</f>
        <v>2714900</v>
      </c>
      <c r="I179" s="103">
        <f>VLOOKUP($A179,'OI(Volume)'!$A$7:$O$427,9)</f>
        <v>-1700</v>
      </c>
      <c r="J179" s="103">
        <f>VLOOKUP($A179,'OI(Volume)'!$A$7:$O$427,11)</f>
        <v>2225300</v>
      </c>
      <c r="K179" s="103">
        <f>VLOOKUP($A179,'OI(Volume)'!$A$7:$O$427,12)</f>
        <v>-71400</v>
      </c>
      <c r="L179" s="103">
        <f>VLOOKUP($A179,'OI(Value)'!$A$7:$O$306,8,0)</f>
        <v>126</v>
      </c>
      <c r="M179" s="103">
        <f>VLOOKUP($A179,'OI(Value)'!$A$7:$O$306,9,0)</f>
        <v>0</v>
      </c>
      <c r="N179" s="103">
        <f>VLOOKUP($A179,'OI(Value)'!$A$7:$O$306,11,0)</f>
        <v>103</v>
      </c>
      <c r="O179" s="103">
        <f>VLOOKUP($A179,'OI(Value)'!$A$7:$O$306,12,0)</f>
        <v>-3</v>
      </c>
    </row>
    <row r="180" spans="1:15" x14ac:dyDescent="0.25">
      <c r="A180" s="105" t="str">
        <f>'Data shares'!C175</f>
        <v>POWERGRID</v>
      </c>
      <c r="B180" s="143">
        <f>VLOOKUP($A180,'Data shares'!$C:$FA,118)</f>
        <v>0.52</v>
      </c>
      <c r="C180" s="143">
        <f>VLOOKUP($A180,'Data shares'!$C:$FA,119)</f>
        <v>0.5</v>
      </c>
      <c r="D180" s="143">
        <f>VLOOKUP($A180,'Data shares'!$C:$FA,121)*100</f>
        <v>4</v>
      </c>
      <c r="E180" s="143">
        <f>VLOOKUP($A180,'Data shares'!$C:$FA,124)</f>
        <v>0.38</v>
      </c>
      <c r="F180" s="143">
        <f>VLOOKUP($A180,'Data shares'!$C:$FA,125)</f>
        <v>0.45</v>
      </c>
      <c r="G180" s="143">
        <f>VLOOKUP($A180,'Data shares'!$C:$FA,127)*100</f>
        <v>-15.559999999999999</v>
      </c>
      <c r="H180" s="103">
        <f>VLOOKUP($A180,'OI(Volume)'!$A$7:$O$427,8)</f>
        <v>21635300</v>
      </c>
      <c r="I180" s="103">
        <f>VLOOKUP($A180,'OI(Volume)'!$A$7:$O$427,9)</f>
        <v>-68400</v>
      </c>
      <c r="J180" s="103">
        <f>VLOOKUP($A180,'OI(Volume)'!$A$7:$O$427,11)</f>
        <v>11248000</v>
      </c>
      <c r="K180" s="103">
        <f>VLOOKUP($A180,'OI(Volume)'!$A$7:$O$427,12)</f>
        <v>359100</v>
      </c>
      <c r="L180" s="103">
        <f>VLOOKUP($A180,'OI(Value)'!$A$7:$O$306,8,0)</f>
        <v>624</v>
      </c>
      <c r="M180" s="103">
        <f>VLOOKUP($A180,'OI(Value)'!$A$7:$O$306,9,0)</f>
        <v>-2</v>
      </c>
      <c r="N180" s="103">
        <f>VLOOKUP($A180,'OI(Value)'!$A$7:$O$306,11,0)</f>
        <v>325</v>
      </c>
      <c r="O180" s="103">
        <f>VLOOKUP($A180,'OI(Value)'!$A$7:$O$306,12,0)</f>
        <v>10</v>
      </c>
    </row>
    <row r="181" spans="1:15" x14ac:dyDescent="0.25">
      <c r="A181" s="105" t="str">
        <f>'Data shares'!C176</f>
        <v>PPLPHARMA</v>
      </c>
      <c r="B181" s="143">
        <f>VLOOKUP($A181,'Data shares'!$C:$FA,118)</f>
        <v>0.6</v>
      </c>
      <c r="C181" s="143">
        <f>VLOOKUP($A181,'Data shares'!$C:$FA,119)</f>
        <v>0.57999999999999996</v>
      </c>
      <c r="D181" s="143">
        <f>VLOOKUP($A181,'Data shares'!$C:$FA,121)*100</f>
        <v>3.45</v>
      </c>
      <c r="E181" s="143">
        <f>VLOOKUP($A181,'Data shares'!$C:$FA,124)</f>
        <v>0.56999999999999995</v>
      </c>
      <c r="F181" s="143">
        <f>VLOOKUP($A181,'Data shares'!$C:$FA,125)</f>
        <v>0.34</v>
      </c>
      <c r="G181" s="143">
        <f>VLOOKUP($A181,'Data shares'!$C:$FA,127)*100</f>
        <v>67.650000000000006</v>
      </c>
      <c r="H181" s="103">
        <f>VLOOKUP($A181,'OI(Volume)'!$A$7:$O$427,8)</f>
        <v>7577500</v>
      </c>
      <c r="I181" s="103">
        <f>VLOOKUP($A181,'OI(Volume)'!$A$7:$O$427,9)</f>
        <v>-67500</v>
      </c>
      <c r="J181" s="103">
        <f>VLOOKUP($A181,'OI(Volume)'!$A$7:$O$427,11)</f>
        <v>4577500</v>
      </c>
      <c r="K181" s="103">
        <f>VLOOKUP($A181,'OI(Volume)'!$A$7:$O$427,12)</f>
        <v>152500</v>
      </c>
      <c r="L181" s="103">
        <f>VLOOKUP($A181,'OI(Value)'!$A$7:$O$306,8,0)</f>
        <v>146</v>
      </c>
      <c r="M181" s="103">
        <f>VLOOKUP($A181,'OI(Value)'!$A$7:$O$306,9,0)</f>
        <v>-1</v>
      </c>
      <c r="N181" s="103">
        <f>VLOOKUP($A181,'OI(Value)'!$A$7:$O$306,11,0)</f>
        <v>88</v>
      </c>
      <c r="O181" s="103">
        <f>VLOOKUP($A181,'OI(Value)'!$A$7:$O$306,12,0)</f>
        <v>3</v>
      </c>
    </row>
    <row r="182" spans="1:15" x14ac:dyDescent="0.25">
      <c r="A182" s="105" t="str">
        <f>'Data shares'!C177</f>
        <v>PRESTIGE</v>
      </c>
      <c r="B182" s="143">
        <f>VLOOKUP($A182,'Data shares'!$C:$FA,118)</f>
        <v>0.44</v>
      </c>
      <c r="C182" s="143">
        <f>VLOOKUP($A182,'Data shares'!$C:$FA,119)</f>
        <v>0.45</v>
      </c>
      <c r="D182" s="143">
        <f>VLOOKUP($A182,'Data shares'!$C:$FA,121)*100</f>
        <v>-2.2200000000000002</v>
      </c>
      <c r="E182" s="143">
        <f>VLOOKUP($A182,'Data shares'!$C:$FA,124)</f>
        <v>0.28000000000000003</v>
      </c>
      <c r="F182" s="143">
        <f>VLOOKUP($A182,'Data shares'!$C:$FA,125)</f>
        <v>0.94</v>
      </c>
      <c r="G182" s="143">
        <f>VLOOKUP($A182,'Data shares'!$C:$FA,127)*100</f>
        <v>-70.209999999999994</v>
      </c>
      <c r="H182" s="103">
        <f>VLOOKUP($A182,'OI(Volume)'!$A$7:$O$427,8)</f>
        <v>2083050</v>
      </c>
      <c r="I182" s="103">
        <f>VLOOKUP($A182,'OI(Volume)'!$A$7:$O$427,9)</f>
        <v>16650</v>
      </c>
      <c r="J182" s="103">
        <f>VLOOKUP($A182,'OI(Volume)'!$A$7:$O$427,11)</f>
        <v>916200</v>
      </c>
      <c r="K182" s="103">
        <f>VLOOKUP($A182,'OI(Volume)'!$A$7:$O$427,12)</f>
        <v>-17550</v>
      </c>
      <c r="L182" s="103">
        <f>VLOOKUP($A182,'OI(Value)'!$A$7:$O$306,8,0)</f>
        <v>340</v>
      </c>
      <c r="M182" s="103">
        <f>VLOOKUP($A182,'OI(Value)'!$A$7:$O$306,9,0)</f>
        <v>3</v>
      </c>
      <c r="N182" s="103">
        <f>VLOOKUP($A182,'OI(Value)'!$A$7:$O$306,11,0)</f>
        <v>150</v>
      </c>
      <c r="O182" s="103">
        <f>VLOOKUP($A182,'OI(Value)'!$A$7:$O$306,12,0)</f>
        <v>-3</v>
      </c>
    </row>
    <row r="183" spans="1:15" x14ac:dyDescent="0.25">
      <c r="A183" s="105" t="str">
        <f>'Data shares'!C178</f>
        <v>RBLBANK</v>
      </c>
      <c r="B183" s="143">
        <f>VLOOKUP($A183,'Data shares'!$C:$FA,118)</f>
        <v>0.55000000000000004</v>
      </c>
      <c r="C183" s="143">
        <f>VLOOKUP($A183,'Data shares'!$C:$FA,119)</f>
        <v>0.54</v>
      </c>
      <c r="D183" s="143">
        <f>VLOOKUP($A183,'Data shares'!$C:$FA,121)*100</f>
        <v>1.8499999999999999</v>
      </c>
      <c r="E183" s="143">
        <f>VLOOKUP($A183,'Data shares'!$C:$FA,124)</f>
        <v>0.18</v>
      </c>
      <c r="F183" s="143">
        <f>VLOOKUP($A183,'Data shares'!$C:$FA,125)</f>
        <v>0.26</v>
      </c>
      <c r="G183" s="143">
        <f>VLOOKUP($A183,'Data shares'!$C:$FA,127)*100</f>
        <v>-30.769999999999996</v>
      </c>
      <c r="H183" s="103">
        <f>VLOOKUP($A183,'OI(Volume)'!$A$7:$O$427,8)</f>
        <v>18719800</v>
      </c>
      <c r="I183" s="103">
        <f>VLOOKUP($A183,'OI(Volume)'!$A$7:$O$427,9)</f>
        <v>-438150</v>
      </c>
      <c r="J183" s="103">
        <f>VLOOKUP($A183,'OI(Volume)'!$A$7:$O$427,11)</f>
        <v>10255250</v>
      </c>
      <c r="K183" s="103">
        <f>VLOOKUP($A183,'OI(Volume)'!$A$7:$O$427,12)</f>
        <v>-79375</v>
      </c>
      <c r="L183" s="103">
        <f>VLOOKUP($A183,'OI(Value)'!$A$7:$O$306,8,0)</f>
        <v>481</v>
      </c>
      <c r="M183" s="103">
        <f>VLOOKUP($A183,'OI(Value)'!$A$7:$O$306,9,0)</f>
        <v>-11</v>
      </c>
      <c r="N183" s="103">
        <f>VLOOKUP($A183,'OI(Value)'!$A$7:$O$306,11,0)</f>
        <v>263</v>
      </c>
      <c r="O183" s="103">
        <f>VLOOKUP($A183,'OI(Value)'!$A$7:$O$306,12,0)</f>
        <v>-2</v>
      </c>
    </row>
    <row r="184" spans="1:15" x14ac:dyDescent="0.25">
      <c r="A184" s="105" t="str">
        <f>'Data shares'!C179</f>
        <v>RECLTD</v>
      </c>
      <c r="B184" s="143">
        <f>VLOOKUP($A184,'Data shares'!$C:$FA,118)</f>
        <v>0.65</v>
      </c>
      <c r="C184" s="143">
        <f>VLOOKUP($A184,'Data shares'!$C:$FA,119)</f>
        <v>0.64</v>
      </c>
      <c r="D184" s="143">
        <f>VLOOKUP($A184,'Data shares'!$C:$FA,121)*100</f>
        <v>1.5599999999999998</v>
      </c>
      <c r="E184" s="143">
        <f>VLOOKUP($A184,'Data shares'!$C:$FA,124)</f>
        <v>0.43</v>
      </c>
      <c r="F184" s="143">
        <f>VLOOKUP($A184,'Data shares'!$C:$FA,125)</f>
        <v>0.35</v>
      </c>
      <c r="G184" s="143">
        <f>VLOOKUP($A184,'Data shares'!$C:$FA,127)*100</f>
        <v>22.86</v>
      </c>
      <c r="H184" s="103">
        <f>VLOOKUP($A184,'OI(Volume)'!$A$7:$O$427,8)</f>
        <v>32452575</v>
      </c>
      <c r="I184" s="103">
        <f>VLOOKUP($A184,'OI(Volume)'!$A$7:$O$427,9)</f>
        <v>293250</v>
      </c>
      <c r="J184" s="103">
        <f>VLOOKUP($A184,'OI(Volume)'!$A$7:$O$427,11)</f>
        <v>20934225</v>
      </c>
      <c r="K184" s="103">
        <f>VLOOKUP($A184,'OI(Volume)'!$A$7:$O$427,12)</f>
        <v>235875</v>
      </c>
      <c r="L184" s="103">
        <f>VLOOKUP($A184,'OI(Value)'!$A$7:$O$306,8,0)</f>
        <v>1239</v>
      </c>
      <c r="M184" s="103">
        <f>VLOOKUP($A184,'OI(Value)'!$A$7:$O$306,9,0)</f>
        <v>11</v>
      </c>
      <c r="N184" s="103">
        <f>VLOOKUP($A184,'OI(Value)'!$A$7:$O$306,11,0)</f>
        <v>799</v>
      </c>
      <c r="O184" s="103">
        <f>VLOOKUP($A184,'OI(Value)'!$A$7:$O$306,12,0)</f>
        <v>9</v>
      </c>
    </row>
    <row r="185" spans="1:15" x14ac:dyDescent="0.25">
      <c r="A185" s="105" t="str">
        <f>'Data shares'!C180</f>
        <v>RELIANCE</v>
      </c>
      <c r="B185" s="143">
        <f>VLOOKUP($A185,'Data shares'!$C:$FA,118)</f>
        <v>0.63</v>
      </c>
      <c r="C185" s="143">
        <f>VLOOKUP($A185,'Data shares'!$C:$FA,119)</f>
        <v>0.7</v>
      </c>
      <c r="D185" s="143">
        <f>VLOOKUP($A185,'Data shares'!$C:$FA,121)*100</f>
        <v>-10</v>
      </c>
      <c r="E185" s="143">
        <f>VLOOKUP($A185,'Data shares'!$C:$FA,124)</f>
        <v>0.5</v>
      </c>
      <c r="F185" s="143">
        <f>VLOOKUP($A185,'Data shares'!$C:$FA,125)</f>
        <v>0.48</v>
      </c>
      <c r="G185" s="143">
        <f>VLOOKUP($A185,'Data shares'!$C:$FA,127)*100</f>
        <v>4.17</v>
      </c>
      <c r="H185" s="103">
        <f>VLOOKUP($A185,'OI(Volume)'!$A$7:$O$427,8)</f>
        <v>62328500</v>
      </c>
      <c r="I185" s="103">
        <f>VLOOKUP($A185,'OI(Volume)'!$A$7:$O$427,9)</f>
        <v>4764500</v>
      </c>
      <c r="J185" s="103">
        <f>VLOOKUP($A185,'OI(Volume)'!$A$7:$O$427,11)</f>
        <v>39536000</v>
      </c>
      <c r="K185" s="103">
        <f>VLOOKUP($A185,'OI(Volume)'!$A$7:$O$427,12)</f>
        <v>-810000</v>
      </c>
      <c r="L185" s="103">
        <f>VLOOKUP($A185,'OI(Value)'!$A$7:$O$306,8,0)</f>
        <v>8823</v>
      </c>
      <c r="M185" s="103">
        <f>VLOOKUP($A185,'OI(Value)'!$A$7:$O$306,9,0)</f>
        <v>674</v>
      </c>
      <c r="N185" s="103">
        <f>VLOOKUP($A185,'OI(Value)'!$A$7:$O$306,11,0)</f>
        <v>5596</v>
      </c>
      <c r="O185" s="103">
        <f>VLOOKUP($A185,'OI(Value)'!$A$7:$O$306,12,0)</f>
        <v>-115</v>
      </c>
    </row>
    <row r="186" spans="1:15" x14ac:dyDescent="0.25">
      <c r="A186" s="105" t="str">
        <f>'Data shares'!C181</f>
        <v>RVNL</v>
      </c>
      <c r="B186" s="143">
        <f>VLOOKUP($A186,'Data shares'!$C:$FA,118)</f>
        <v>0.6</v>
      </c>
      <c r="C186" s="143">
        <f>VLOOKUP($A186,'Data shares'!$C:$FA,119)</f>
        <v>0.6</v>
      </c>
      <c r="D186" s="143">
        <f>VLOOKUP($A186,'Data shares'!$C:$FA,121)*100</f>
        <v>0</v>
      </c>
      <c r="E186" s="143">
        <f>VLOOKUP($A186,'Data shares'!$C:$FA,124)</f>
        <v>0.41</v>
      </c>
      <c r="F186" s="143">
        <f>VLOOKUP($A186,'Data shares'!$C:$FA,125)</f>
        <v>0.37</v>
      </c>
      <c r="G186" s="143">
        <f>VLOOKUP($A186,'Data shares'!$C:$FA,127)*100</f>
        <v>10.81</v>
      </c>
      <c r="H186" s="103">
        <f>VLOOKUP($A186,'OI(Volume)'!$A$7:$O$427,8)</f>
        <v>8618500</v>
      </c>
      <c r="I186" s="103">
        <f>VLOOKUP($A186,'OI(Volume)'!$A$7:$O$427,9)</f>
        <v>356125</v>
      </c>
      <c r="J186" s="103">
        <f>VLOOKUP($A186,'OI(Volume)'!$A$7:$O$427,11)</f>
        <v>5208500</v>
      </c>
      <c r="K186" s="103">
        <f>VLOOKUP($A186,'OI(Volume)'!$A$7:$O$427,12)</f>
        <v>288750</v>
      </c>
      <c r="L186" s="103">
        <f>VLOOKUP($A186,'OI(Value)'!$A$7:$O$306,8,0)</f>
        <v>280</v>
      </c>
      <c r="M186" s="103">
        <f>VLOOKUP($A186,'OI(Value)'!$A$7:$O$306,9,0)</f>
        <v>12</v>
      </c>
      <c r="N186" s="103">
        <f>VLOOKUP($A186,'OI(Value)'!$A$7:$O$306,11,0)</f>
        <v>169</v>
      </c>
      <c r="O186" s="103">
        <f>VLOOKUP($A186,'OI(Value)'!$A$7:$O$306,12,0)</f>
        <v>9</v>
      </c>
    </row>
    <row r="187" spans="1:15" x14ac:dyDescent="0.25">
      <c r="A187" s="105" t="str">
        <f>'Data shares'!C182</f>
        <v>SAIL</v>
      </c>
      <c r="B187" s="143">
        <f>VLOOKUP($A187,'Data shares'!$C:$FA,118)</f>
        <v>0.64</v>
      </c>
      <c r="C187" s="143">
        <f>VLOOKUP($A187,'Data shares'!$C:$FA,119)</f>
        <v>0.59</v>
      </c>
      <c r="D187" s="143">
        <f>VLOOKUP($A187,'Data shares'!$C:$FA,121)*100</f>
        <v>8.4699999999999989</v>
      </c>
      <c r="E187" s="143">
        <f>VLOOKUP($A187,'Data shares'!$C:$FA,124)</f>
        <v>0.44</v>
      </c>
      <c r="F187" s="143">
        <f>VLOOKUP($A187,'Data shares'!$C:$FA,125)</f>
        <v>0.6</v>
      </c>
      <c r="G187" s="143">
        <f>VLOOKUP($A187,'Data shares'!$C:$FA,127)*100</f>
        <v>-26.669999999999998</v>
      </c>
      <c r="H187" s="103">
        <f>VLOOKUP($A187,'OI(Volume)'!$A$7:$O$427,8)</f>
        <v>35734100</v>
      </c>
      <c r="I187" s="103">
        <f>VLOOKUP($A187,'OI(Volume)'!$A$7:$O$427,9)</f>
        <v>-1259600</v>
      </c>
      <c r="J187" s="103">
        <f>VLOOKUP($A187,'OI(Volume)'!$A$7:$O$427,11)</f>
        <v>22842000</v>
      </c>
      <c r="K187" s="103">
        <f>VLOOKUP($A187,'OI(Volume)'!$A$7:$O$427,12)</f>
        <v>869500</v>
      </c>
      <c r="L187" s="103">
        <f>VLOOKUP($A187,'OI(Value)'!$A$7:$O$306,8,0)</f>
        <v>444</v>
      </c>
      <c r="M187" s="103">
        <f>VLOOKUP($A187,'OI(Value)'!$A$7:$O$306,9,0)</f>
        <v>-16</v>
      </c>
      <c r="N187" s="103">
        <f>VLOOKUP($A187,'OI(Value)'!$A$7:$O$306,11,0)</f>
        <v>284</v>
      </c>
      <c r="O187" s="103">
        <f>VLOOKUP($A187,'OI(Value)'!$A$7:$O$306,12,0)</f>
        <v>11</v>
      </c>
    </row>
    <row r="188" spans="1:15" x14ac:dyDescent="0.25">
      <c r="A188" s="105" t="str">
        <f>'Data shares'!C183</f>
        <v>SBICARD</v>
      </c>
      <c r="B188" s="143">
        <f>VLOOKUP($A188,'Data shares'!$C:$FA,118)</f>
        <v>0.65</v>
      </c>
      <c r="C188" s="143">
        <f>VLOOKUP($A188,'Data shares'!$C:$FA,119)</f>
        <v>0.55000000000000004</v>
      </c>
      <c r="D188" s="143">
        <f>VLOOKUP($A188,'Data shares'!$C:$FA,121)*100</f>
        <v>18.18</v>
      </c>
      <c r="E188" s="143">
        <f>VLOOKUP($A188,'Data shares'!$C:$FA,124)</f>
        <v>0.7</v>
      </c>
      <c r="F188" s="143">
        <f>VLOOKUP($A188,'Data shares'!$C:$FA,125)</f>
        <v>0.44</v>
      </c>
      <c r="G188" s="143">
        <f>VLOOKUP($A188,'Data shares'!$C:$FA,127)*100</f>
        <v>59.089999999999996</v>
      </c>
      <c r="H188" s="103">
        <f>VLOOKUP($A188,'OI(Volume)'!$A$7:$O$427,8)</f>
        <v>5829600</v>
      </c>
      <c r="I188" s="103">
        <f>VLOOKUP($A188,'OI(Volume)'!$A$7:$O$427,9)</f>
        <v>-381600</v>
      </c>
      <c r="J188" s="103">
        <f>VLOOKUP($A188,'OI(Volume)'!$A$7:$O$427,11)</f>
        <v>3817600</v>
      </c>
      <c r="K188" s="103">
        <f>VLOOKUP($A188,'OI(Volume)'!$A$7:$O$427,12)</f>
        <v>397600</v>
      </c>
      <c r="L188" s="103">
        <f>VLOOKUP($A188,'OI(Value)'!$A$7:$O$306,8,0)</f>
        <v>476</v>
      </c>
      <c r="M188" s="103">
        <f>VLOOKUP($A188,'OI(Value)'!$A$7:$O$306,9,0)</f>
        <v>-31</v>
      </c>
      <c r="N188" s="103">
        <f>VLOOKUP($A188,'OI(Value)'!$A$7:$O$306,11,0)</f>
        <v>312</v>
      </c>
      <c r="O188" s="103">
        <f>VLOOKUP($A188,'OI(Value)'!$A$7:$O$306,12,0)</f>
        <v>32</v>
      </c>
    </row>
    <row r="189" spans="1:15" x14ac:dyDescent="0.25">
      <c r="A189" s="105" t="str">
        <f>'Data shares'!C184</f>
        <v>SBILIFE</v>
      </c>
      <c r="B189" s="143">
        <f>VLOOKUP($A189,'Data shares'!$C:$FA,118)</f>
        <v>0.43</v>
      </c>
      <c r="C189" s="143">
        <f>VLOOKUP($A189,'Data shares'!$C:$FA,119)</f>
        <v>0.42</v>
      </c>
      <c r="D189" s="143">
        <f>VLOOKUP($A189,'Data shares'!$C:$FA,121)*100</f>
        <v>2.3800000000000003</v>
      </c>
      <c r="E189" s="143">
        <f>VLOOKUP($A189,'Data shares'!$C:$FA,124)</f>
        <v>0.74</v>
      </c>
      <c r="F189" s="143">
        <f>VLOOKUP($A189,'Data shares'!$C:$FA,125)</f>
        <v>0.63</v>
      </c>
      <c r="G189" s="143">
        <f>VLOOKUP($A189,'Data shares'!$C:$FA,127)*100</f>
        <v>17.46</v>
      </c>
      <c r="H189" s="103">
        <f>VLOOKUP($A189,'OI(Volume)'!$A$7:$O$427,8)</f>
        <v>5829600</v>
      </c>
      <c r="I189" s="103">
        <f>VLOOKUP($A189,'OI(Volume)'!$A$7:$O$427,9)</f>
        <v>-381600</v>
      </c>
      <c r="J189" s="103">
        <f>VLOOKUP($A189,'OI(Volume)'!$A$7:$O$427,11)</f>
        <v>3817600</v>
      </c>
      <c r="K189" s="103">
        <f>VLOOKUP($A189,'OI(Volume)'!$A$7:$O$427,12)</f>
        <v>397600</v>
      </c>
      <c r="L189" s="103"/>
      <c r="M189" s="103"/>
      <c r="N189" s="103"/>
      <c r="O189" s="103"/>
    </row>
    <row r="190" spans="1:15" x14ac:dyDescent="0.25">
      <c r="A190" s="105" t="str">
        <f>'Data shares'!C223</f>
        <v>ZYDUSLIFE</v>
      </c>
      <c r="B190" s="143">
        <f>VLOOKUP($A190,'Data shares'!$C:$FA,118)</f>
        <v>0.98</v>
      </c>
      <c r="C190" s="143">
        <f>VLOOKUP($A190,'Data shares'!$C:$FA,119)</f>
        <v>0.94</v>
      </c>
      <c r="D190" s="143">
        <f>VLOOKUP($A190,'Data shares'!$C:$FA,121)*100</f>
        <v>4.26</v>
      </c>
      <c r="E190" s="143">
        <f>VLOOKUP($A190,'Data shares'!$C:$FA,124)</f>
        <v>0.49</v>
      </c>
      <c r="F190" s="143">
        <f>VLOOKUP($A190,'Data shares'!$C:$FA,125)</f>
        <v>0.37</v>
      </c>
      <c r="G190" s="143">
        <f>VLOOKUP($A190,'Data shares'!$C:$FA,127)*100</f>
        <v>32.43</v>
      </c>
      <c r="H190" s="103">
        <f>VLOOKUP($A190,'OI(Volume)'!$A$7:$O$427,8)</f>
        <v>0</v>
      </c>
      <c r="I190" s="103">
        <f>VLOOKUP($A190,'OI(Volume)'!$A$7:$O$427,9)</f>
        <v>0</v>
      </c>
      <c r="J190" s="103">
        <f>VLOOKUP($A190,'OI(Volume)'!$A$7:$O$427,11)</f>
        <v>0</v>
      </c>
      <c r="K190" s="103">
        <f>VLOOKUP($A190,'OI(Volume)'!$A$7:$O$427,12)</f>
        <v>0</v>
      </c>
      <c r="L190" s="103">
        <f>VLOOKUP($A190,'OI(Value)'!$A$7:$O$306,8,0)</f>
        <v>290</v>
      </c>
      <c r="M190" s="103">
        <f>VLOOKUP($A190,'OI(Value)'!$A$7:$O$306,9,0)</f>
        <v>-12</v>
      </c>
      <c r="N190" s="103">
        <f>VLOOKUP($A190,'OI(Value)'!$A$7:$O$306,11,0)</f>
        <v>284</v>
      </c>
      <c r="O190" s="103">
        <f>VLOOKUP($A190,'OI(Value)'!$A$7:$O$306,12,0)</f>
        <v>1</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4407200588</v>
      </c>
      <c r="I192" s="135">
        <f t="shared" si="0"/>
        <v>96629628</v>
      </c>
      <c r="J192" s="135">
        <f t="shared" si="0"/>
        <v>2868423629</v>
      </c>
      <c r="K192" s="135">
        <f t="shared" si="0"/>
        <v>103275946</v>
      </c>
      <c r="L192" s="135">
        <f t="shared" si="0"/>
        <v>902470</v>
      </c>
      <c r="M192" s="135">
        <f t="shared" si="0"/>
        <v>68560</v>
      </c>
      <c r="N192" s="135">
        <f t="shared" si="0"/>
        <v>987103</v>
      </c>
      <c r="O192" s="135">
        <f t="shared" si="0"/>
        <v>145997</v>
      </c>
    </row>
    <row r="193" spans="1:15" x14ac:dyDescent="0.25">
      <c r="A193" s="126" t="s">
        <v>415</v>
      </c>
      <c r="B193" s="136"/>
      <c r="C193" s="136"/>
      <c r="D193" s="136"/>
      <c r="E193" s="136"/>
      <c r="F193" s="136"/>
      <c r="G193" s="136"/>
      <c r="H193" s="137">
        <f>H192/10000000</f>
        <v>440.7200588</v>
      </c>
      <c r="I193" s="137">
        <f>I192/10000000</f>
        <v>9.6629628000000007</v>
      </c>
      <c r="J193" s="137">
        <f>J192/10000000</f>
        <v>286.84236290000001</v>
      </c>
      <c r="K193" s="137">
        <f>K192/10000000</f>
        <v>10.327594599999999</v>
      </c>
      <c r="L193" s="138">
        <f>L192</f>
        <v>902470</v>
      </c>
      <c r="M193" s="138">
        <f>M192</f>
        <v>68560</v>
      </c>
      <c r="N193" s="138">
        <f>N192</f>
        <v>987103</v>
      </c>
      <c r="O193" s="138">
        <f>O192</f>
        <v>145997</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2025-08-21T03:23:41Z</dcterms:modified>
</cp:coreProperties>
</file>